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Users\randrusz\Castellan Dropbox\Ryan Andrusz\HamAdv-CRP shared folder\CDLAC 2024 - 4% Round 2\Hillcrest Hall\PART6\6.1_TCAC Req 1-6\"/>
    </mc:Choice>
  </mc:AlternateContent>
  <xr:revisionPtr revIDLastSave="0" documentId="8_{039D28E1-DAB5-4ADF-9B2A-03331489A1D1}" xr6:coauthVersionLast="47" xr6:coauthVersionMax="47" xr10:uidLastSave="{00000000-0000-0000-0000-000000000000}"/>
  <bookViews>
    <workbookView xWindow="-28920" yWindow="-120" windowWidth="29040" windowHeight="17640" firstSheet="5"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8" i="3" l="1"/>
  <c r="AG446" i="3"/>
  <c r="F48" i="13" l="1"/>
  <c r="C48" i="13"/>
  <c r="F10" i="13"/>
  <c r="C10" i="13"/>
  <c r="S94" i="4"/>
  <c r="S99" i="4"/>
  <c r="H30" i="4"/>
  <c r="E48" i="4"/>
  <c r="E88" i="4" l="1"/>
  <c r="C88" i="4"/>
  <c r="AE66" i="7"/>
  <c r="W866" i="3" l="1"/>
  <c r="W859" i="3"/>
  <c r="W861" i="3"/>
  <c r="W869" i="3"/>
  <c r="W868" i="3"/>
  <c r="W865" i="3"/>
  <c r="AG66" i="7" l="1"/>
  <c r="Q629" i="3" l="1"/>
  <c r="H573" i="3"/>
  <c r="E45" i="4" l="1"/>
  <c r="E69" i="4"/>
  <c r="G30" i="4"/>
  <c r="F30" i="4"/>
  <c r="E30" i="4" s="1"/>
  <c r="T627" i="3" l="1"/>
  <c r="Q627" i="3"/>
  <c r="C69" i="4" l="1"/>
  <c r="AA918" i="3"/>
  <c r="AA917" i="3"/>
  <c r="H309" i="3" l="1"/>
  <c r="H307" i="3"/>
  <c r="H306" i="3"/>
  <c r="H305" i="3"/>
  <c r="H304" i="3"/>
  <c r="H303" i="3"/>
  <c r="L275"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D85" i="11" s="1"/>
  <c r="B86" i="11"/>
  <c r="B87" i="11"/>
  <c r="D87" i="11" s="1"/>
  <c r="B88" i="11"/>
  <c r="D88" i="11" s="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C69" i="13" s="1"/>
  <c r="A53" i="13"/>
  <c r="H36" i="13"/>
  <c r="B36" i="13"/>
  <c r="H24" i="13"/>
  <c r="E24" i="13"/>
  <c r="B24" i="13"/>
  <c r="C104" i="4"/>
  <c r="B104" i="13" s="1"/>
  <c r="B99" i="4"/>
  <c r="G68" i="7"/>
  <c r="I68" i="7" s="1"/>
  <c r="K68" i="7" s="1"/>
  <c r="M68" i="7" s="1"/>
  <c r="O68" i="7" s="1"/>
  <c r="Q68" i="7" s="1"/>
  <c r="S68" i="7" s="1"/>
  <c r="U68" i="7" s="1"/>
  <c r="W68" i="7" s="1"/>
  <c r="Y68" i="7" s="1"/>
  <c r="AA68" i="7" s="1"/>
  <c r="G69" i="7"/>
  <c r="I69" i="7" s="1"/>
  <c r="K69" i="7" s="1"/>
  <c r="M69" i="7" s="1"/>
  <c r="O69" i="7" s="1"/>
  <c r="Q69" i="7" s="1"/>
  <c r="S69" i="7" s="1"/>
  <c r="U69" i="7" s="1"/>
  <c r="W69" i="7" s="1"/>
  <c r="Y69" i="7" s="1"/>
  <c r="AA69" i="7" s="1"/>
  <c r="AC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87" i="13"/>
  <c r="E50" i="13"/>
  <c r="F50" i="13" s="1"/>
  <c r="E48" i="13"/>
  <c r="E47" i="13"/>
  <c r="F47" i="13" s="1"/>
  <c r="E46" i="13"/>
  <c r="F46" i="13" s="1"/>
  <c r="E45" i="13"/>
  <c r="F45" i="13" s="1"/>
  <c r="E41" i="13"/>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B74" i="13"/>
  <c r="B73" i="13"/>
  <c r="B72" i="13"/>
  <c r="C72" i="13" s="1"/>
  <c r="C77" i="13" s="1"/>
  <c r="B65" i="13"/>
  <c r="C65" i="13" s="1"/>
  <c r="B61" i="13"/>
  <c r="C61" i="13" s="1"/>
  <c r="B60" i="13"/>
  <c r="B59" i="13"/>
  <c r="B58" i="13"/>
  <c r="C58" i="13" s="1"/>
  <c r="B57" i="13"/>
  <c r="B56" i="13"/>
  <c r="B53" i="13"/>
  <c r="B52" i="13"/>
  <c r="B51" i="13"/>
  <c r="B50" i="13"/>
  <c r="B49" i="13"/>
  <c r="C49" i="13" s="1"/>
  <c r="B48" i="13"/>
  <c r="B47" i="13"/>
  <c r="B46" i="13"/>
  <c r="C46" i="13" s="1"/>
  <c r="B45" i="13"/>
  <c r="C45" i="13" s="1"/>
  <c r="B43" i="13"/>
  <c r="C43" i="13" s="1"/>
  <c r="C42" i="4"/>
  <c r="B42" i="13" s="1"/>
  <c r="B41" i="13"/>
  <c r="B40" i="13"/>
  <c r="C40" i="13" s="1"/>
  <c r="C42" i="13" s="1"/>
  <c r="B37" i="13"/>
  <c r="B35" i="13"/>
  <c r="B34" i="13"/>
  <c r="B33" i="13"/>
  <c r="B32" i="13"/>
  <c r="B31" i="13"/>
  <c r="B30" i="13"/>
  <c r="B29" i="13"/>
  <c r="B27" i="13"/>
  <c r="B25" i="13"/>
  <c r="B23" i="13"/>
  <c r="B22" i="13"/>
  <c r="B21" i="13"/>
  <c r="B20" i="13"/>
  <c r="B19" i="13"/>
  <c r="B18" i="13"/>
  <c r="B17" i="13"/>
  <c r="B5" i="13"/>
  <c r="C5" i="13" s="1"/>
  <c r="B6" i="13"/>
  <c r="B7" i="13"/>
  <c r="C8" i="4"/>
  <c r="B8" i="13" s="1"/>
  <c r="B9" i="13"/>
  <c r="B10" i="13"/>
  <c r="B13" i="13"/>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R103" i="4"/>
  <c r="R102" i="4"/>
  <c r="R101" i="4"/>
  <c r="R99" i="4"/>
  <c r="E99" i="13" s="1"/>
  <c r="F99" i="13" s="1"/>
  <c r="F104" i="13" s="1"/>
  <c r="R95" i="4"/>
  <c r="S95" i="4" s="1"/>
  <c r="E95" i="13" s="1"/>
  <c r="F95" i="13" s="1"/>
  <c r="R94" i="4"/>
  <c r="E94" i="13" s="1"/>
  <c r="F94" i="13" s="1"/>
  <c r="R93" i="4"/>
  <c r="S93" i="4" s="1"/>
  <c r="E93" i="13" s="1"/>
  <c r="F93" i="13" s="1"/>
  <c r="R92" i="4"/>
  <c r="S92" i="4" s="1"/>
  <c r="E92" i="13" s="1"/>
  <c r="F92" i="13" s="1"/>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S52" i="4" s="1"/>
  <c r="E52" i="13" s="1"/>
  <c r="F52" i="13" s="1"/>
  <c r="R51" i="4"/>
  <c r="S51" i="4" s="1"/>
  <c r="E51" i="13" s="1"/>
  <c r="F51" i="13" s="1"/>
  <c r="R50" i="4"/>
  <c r="R49" i="4"/>
  <c r="S49" i="4" s="1"/>
  <c r="E49" i="13" s="1"/>
  <c r="F49" i="13" s="1"/>
  <c r="R48" i="4"/>
  <c r="R47" i="4"/>
  <c r="R46" i="4"/>
  <c r="R45" i="4"/>
  <c r="R43" i="4"/>
  <c r="S43" i="4" s="1"/>
  <c r="E43" i="13" s="1"/>
  <c r="F43" i="13" s="1"/>
  <c r="R41" i="4"/>
  <c r="R40" i="4"/>
  <c r="S40" i="4" s="1"/>
  <c r="E40" i="13" s="1"/>
  <c r="F40" i="13" s="1"/>
  <c r="F42" i="13" s="1"/>
  <c r="R37" i="4"/>
  <c r="S37" i="4" s="1"/>
  <c r="E37" i="13" s="1"/>
  <c r="F37" i="13" s="1"/>
  <c r="R35" i="4"/>
  <c r="S35" i="4" s="1"/>
  <c r="E35" i="13" s="1"/>
  <c r="F35" i="13" s="1"/>
  <c r="R34" i="4"/>
  <c r="S34" i="4" s="1"/>
  <c r="E34" i="13" s="1"/>
  <c r="R33" i="4"/>
  <c r="S33" i="4"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B5" i="11"/>
  <c r="C5" i="11"/>
  <c r="D5" i="11" s="1"/>
  <c r="B6" i="11"/>
  <c r="C6" i="11"/>
  <c r="B7" i="11"/>
  <c r="C7" i="11"/>
  <c r="C8" i="11"/>
  <c r="B8" i="11"/>
  <c r="B10" i="11"/>
  <c r="B11" i="11"/>
  <c r="C10" i="11"/>
  <c r="C11" i="11"/>
  <c r="B14" i="11"/>
  <c r="C14" i="11"/>
  <c r="D14" i="11" s="1"/>
  <c r="B15" i="11"/>
  <c r="C15" i="11"/>
  <c r="D15" i="11" s="1"/>
  <c r="B16" i="11"/>
  <c r="C16" i="11"/>
  <c r="B18" i="11"/>
  <c r="C18" i="11"/>
  <c r="B19" i="11"/>
  <c r="C19" i="11"/>
  <c r="B20" i="11"/>
  <c r="C20" i="11"/>
  <c r="B21" i="11"/>
  <c r="C21" i="11"/>
  <c r="D21" i="11" s="1"/>
  <c r="B22" i="11"/>
  <c r="C22" i="11"/>
  <c r="B23" i="11"/>
  <c r="C23" i="11"/>
  <c r="B24" i="11"/>
  <c r="B28" i="11"/>
  <c r="C28" i="11"/>
  <c r="B30" i="11"/>
  <c r="C30" i="11"/>
  <c r="B41" i="11"/>
  <c r="C41" i="11"/>
  <c r="C42" i="11"/>
  <c r="B42" i="11"/>
  <c r="B44" i="11"/>
  <c r="C44" i="11"/>
  <c r="B46" i="11"/>
  <c r="C46" i="11"/>
  <c r="B47" i="11"/>
  <c r="C47" i="11"/>
  <c r="D47" i="11" s="1"/>
  <c r="B48" i="11"/>
  <c r="B49" i="11"/>
  <c r="B50" i="11"/>
  <c r="B51" i="11"/>
  <c r="B52" i="11"/>
  <c r="B53" i="11"/>
  <c r="C48" i="11"/>
  <c r="C49" i="11"/>
  <c r="C50" i="11"/>
  <c r="C51" i="11"/>
  <c r="C52" i="11"/>
  <c r="C53" i="11"/>
  <c r="B57" i="11"/>
  <c r="C57" i="11"/>
  <c r="B58" i="11"/>
  <c r="C58" i="11"/>
  <c r="D58" i="11" s="1"/>
  <c r="B59" i="11"/>
  <c r="C59" i="11"/>
  <c r="B60" i="11"/>
  <c r="C60" i="11"/>
  <c r="D60" i="11" s="1"/>
  <c r="B61" i="11"/>
  <c r="C61" i="11"/>
  <c r="B62" i="11"/>
  <c r="C62" i="11"/>
  <c r="B66" i="11"/>
  <c r="C66" i="11"/>
  <c r="B73" i="11"/>
  <c r="C73" i="11"/>
  <c r="B74" i="11"/>
  <c r="D74" i="11" s="1"/>
  <c r="C74" i="11"/>
  <c r="B75" i="11"/>
  <c r="C75" i="11"/>
  <c r="B76" i="11"/>
  <c r="C76" i="1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C77" i="4"/>
  <c r="B77" i="13" s="1"/>
  <c r="C96" i="4"/>
  <c r="B96" i="13" s="1"/>
  <c r="D8" i="4"/>
  <c r="D11" i="4"/>
  <c r="D26" i="4"/>
  <c r="D38" i="4"/>
  <c r="D42" i="4"/>
  <c r="D54" i="4"/>
  <c r="D62" i="4"/>
  <c r="D77" i="4"/>
  <c r="D96" i="4"/>
  <c r="D104" i="4"/>
  <c r="F2" i="4"/>
  <c r="G2" i="4"/>
  <c r="H2" i="4"/>
  <c r="I2" i="4"/>
  <c r="J2" i="4"/>
  <c r="K2" i="4"/>
  <c r="L2" i="4"/>
  <c r="M2" i="4"/>
  <c r="N2" i="4"/>
  <c r="O2" i="4"/>
  <c r="P2" i="4"/>
  <c r="Q2" i="4"/>
  <c r="B4" i="4"/>
  <c r="R4" i="4" s="1"/>
  <c r="B5" i="4"/>
  <c r="B6" i="4"/>
  <c r="B7" i="4"/>
  <c r="E8" i="4"/>
  <c r="F8" i="4"/>
  <c r="G8" i="4"/>
  <c r="G11" i="4"/>
  <c r="H8" i="4"/>
  <c r="H11" i="4"/>
  <c r="I8" i="4"/>
  <c r="I11" i="4"/>
  <c r="J8" i="4"/>
  <c r="J11" i="4"/>
  <c r="J26" i="4"/>
  <c r="J38" i="4"/>
  <c r="J42" i="4"/>
  <c r="J54" i="4"/>
  <c r="J62" i="4"/>
  <c r="J70" i="4"/>
  <c r="J77" i="4"/>
  <c r="J96" i="4"/>
  <c r="J104" i="4"/>
  <c r="K8" i="4"/>
  <c r="K11" i="4"/>
  <c r="K12" i="4" s="1"/>
  <c r="L8" i="4"/>
  <c r="L11" i="4"/>
  <c r="M8" i="4"/>
  <c r="M11" i="4"/>
  <c r="N8" i="4"/>
  <c r="O8" i="4"/>
  <c r="Q8" i="4"/>
  <c r="Q11" i="4"/>
  <c r="B9" i="4"/>
  <c r="B10" i="4"/>
  <c r="E11" i="4"/>
  <c r="F11" i="4"/>
  <c r="F26" i="4"/>
  <c r="F38"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75" i="11"/>
  <c r="D11" i="11"/>
  <c r="AH723" i="3" l="1"/>
  <c r="D61" i="11"/>
  <c r="D24" i="11"/>
  <c r="B26" i="4"/>
  <c r="D95" i="11"/>
  <c r="M12" i="4"/>
  <c r="B71" i="11"/>
  <c r="F12" i="4"/>
  <c r="H12" i="4"/>
  <c r="D100" i="11"/>
  <c r="B26" i="13"/>
  <c r="C70" i="13"/>
  <c r="D18" i="11"/>
  <c r="C8" i="13"/>
  <c r="C12" i="13" s="1"/>
  <c r="G12" i="4"/>
  <c r="D7" i="11"/>
  <c r="D12" i="13"/>
  <c r="D12" i="4"/>
  <c r="B11" i="4"/>
  <c r="D52" i="11"/>
  <c r="S81" i="4"/>
  <c r="E81" i="13" s="1"/>
  <c r="D20" i="11"/>
  <c r="D104" i="11"/>
  <c r="D93" i="11"/>
  <c r="D23" i="11"/>
  <c r="P63" i="4"/>
  <c r="P97" i="4" s="1"/>
  <c r="P105" i="4" s="1"/>
  <c r="D49" i="11"/>
  <c r="D103" i="11"/>
  <c r="D48" i="11"/>
  <c r="D19" i="11"/>
  <c r="D102" i="11"/>
  <c r="B42" i="4"/>
  <c r="J63" i="13"/>
  <c r="J97" i="13" s="1"/>
  <c r="J105" i="13" s="1"/>
  <c r="J107" i="13" s="1"/>
  <c r="E12" i="4"/>
  <c r="D59" i="11"/>
  <c r="D22" i="11"/>
  <c r="D25" i="11"/>
  <c r="D36" i="11"/>
  <c r="D34" i="11"/>
  <c r="D70" i="11"/>
  <c r="L12" i="4"/>
  <c r="J63" i="4"/>
  <c r="J97" i="4" s="1"/>
  <c r="J105" i="4" s="1"/>
  <c r="C12" i="11"/>
  <c r="R11" i="4"/>
  <c r="G58" i="7"/>
  <c r="C62" i="13"/>
  <c r="Q63" i="4"/>
  <c r="I63" i="13"/>
  <c r="I97" i="13" s="1"/>
  <c r="I105" i="13" s="1"/>
  <c r="I107" i="13" s="1"/>
  <c r="O63" i="4"/>
  <c r="O97" i="4" s="1"/>
  <c r="O105" i="4" s="1"/>
  <c r="B70" i="4"/>
  <c r="C81" i="13"/>
  <c r="R42" i="4"/>
  <c r="D84" i="11"/>
  <c r="S42" i="4"/>
  <c r="E42" i="13" s="1"/>
  <c r="D62" i="11"/>
  <c r="C96" i="13"/>
  <c r="F81" i="13"/>
  <c r="B82" i="11"/>
  <c r="S54" i="4"/>
  <c r="E54" i="13" s="1"/>
  <c r="C54" i="13"/>
  <c r="D46" i="11"/>
  <c r="C38" i="13"/>
  <c r="D38" i="11"/>
  <c r="S38" i="4"/>
  <c r="E38" i="13" s="1"/>
  <c r="D73" i="11"/>
  <c r="I58" i="7"/>
  <c r="K53" i="7"/>
  <c r="F54" i="13"/>
  <c r="F96" i="13"/>
  <c r="G63" i="4"/>
  <c r="G97" i="4" s="1"/>
  <c r="G105" i="4" s="1"/>
  <c r="N12" i="4"/>
  <c r="I12" i="4"/>
  <c r="S96" i="4"/>
  <c r="E96" i="13" s="1"/>
  <c r="D28" i="11"/>
  <c r="D16" i="11"/>
  <c r="B12" i="11"/>
  <c r="R77" i="4"/>
  <c r="D54" i="11"/>
  <c r="AB48" i="15"/>
  <c r="R62" i="4"/>
  <c r="D63" i="13"/>
  <c r="D97" i="13" s="1"/>
  <c r="D105" i="13" s="1"/>
  <c r="L63" i="4"/>
  <c r="L97" i="4" s="1"/>
  <c r="L105" i="4" s="1"/>
  <c r="Q97" i="4"/>
  <c r="Q105" i="4" s="1"/>
  <c r="D8" i="11"/>
  <c r="G63" i="13"/>
  <c r="G97" i="13" s="1"/>
  <c r="G105" i="13" s="1"/>
  <c r="G107" i="13" s="1"/>
  <c r="E33" i="13"/>
  <c r="F33" i="13" s="1"/>
  <c r="F38" i="13" s="1"/>
  <c r="C71" i="11"/>
  <c r="D71" i="11" s="1"/>
  <c r="D96" i="11"/>
  <c r="Q12" i="4"/>
  <c r="D63" i="4"/>
  <c r="D97" i="4" s="1"/>
  <c r="C55" i="11"/>
  <c r="R26" i="4"/>
  <c r="AH721" i="3"/>
  <c r="S104" i="4"/>
  <c r="E104" i="13" s="1"/>
  <c r="M63" i="4"/>
  <c r="M97" i="4" s="1"/>
  <c r="M105" i="4" s="1"/>
  <c r="F63" i="4"/>
  <c r="F97" i="4" s="1"/>
  <c r="F105" i="4" s="1"/>
  <c r="O12" i="4"/>
  <c r="B43" i="11"/>
  <c r="B9" i="11"/>
  <c r="R70" i="4"/>
  <c r="S65" i="4"/>
  <c r="B8" i="4"/>
  <c r="N187" i="27" s="1"/>
  <c r="B81" i="4"/>
  <c r="T63" i="4"/>
  <c r="T97" i="4" s="1"/>
  <c r="H97" i="13" s="1"/>
  <c r="D35" i="11"/>
  <c r="AO22" i="20"/>
  <c r="D51" i="11"/>
  <c r="D57" i="11"/>
  <c r="D6" i="11"/>
  <c r="D89" i="11"/>
  <c r="D94" i="11"/>
  <c r="N63" i="4"/>
  <c r="N97" i="4" s="1"/>
  <c r="N105" i="4" s="1"/>
  <c r="B62" i="4"/>
  <c r="R8" i="4"/>
  <c r="K63" i="4"/>
  <c r="K97" i="4" s="1"/>
  <c r="K105" i="4" s="1"/>
  <c r="C105" i="11"/>
  <c r="J12" i="4"/>
  <c r="B54" i="4"/>
  <c r="C43" i="11"/>
  <c r="D43" i="11" s="1"/>
  <c r="D33" i="11"/>
  <c r="D92" i="11"/>
  <c r="C12" i="4"/>
  <c r="B12" i="13" s="1"/>
  <c r="B70" i="13"/>
  <c r="D80" i="11"/>
  <c r="D32" i="11"/>
  <c r="D91" i="11"/>
  <c r="B105" i="11"/>
  <c r="D81" i="11"/>
  <c r="E26" i="13"/>
  <c r="D53" i="11"/>
  <c r="D41" i="11"/>
  <c r="D105" i="4"/>
  <c r="H11" i="13"/>
  <c r="D66" i="11"/>
  <c r="R104" i="4"/>
  <c r="I63" i="4"/>
  <c r="I97" i="4" s="1"/>
  <c r="I105" i="4" s="1"/>
  <c r="C78" i="11"/>
  <c r="D10" i="11"/>
  <c r="B62" i="13"/>
  <c r="B78" i="11"/>
  <c r="D42" i="11"/>
  <c r="B104" i="4"/>
  <c r="H104" i="13"/>
  <c r="C27" i="11"/>
  <c r="D90" i="11"/>
  <c r="D76" i="11"/>
  <c r="D50" i="11"/>
  <c r="D101" i="11"/>
  <c r="D44" i="11"/>
  <c r="B63" i="11"/>
  <c r="D30" i="11"/>
  <c r="R96" i="4"/>
  <c r="R81" i="4"/>
  <c r="R54" i="4"/>
  <c r="H63" i="4"/>
  <c r="H97" i="4" s="1"/>
  <c r="H105" i="4" s="1"/>
  <c r="R38" i="4"/>
  <c r="E63" i="4"/>
  <c r="E97" i="4" s="1"/>
  <c r="E105" i="4" s="1"/>
  <c r="AO640" i="3" s="1"/>
  <c r="E108" i="4" s="1"/>
  <c r="C97" i="11"/>
  <c r="B96" i="4"/>
  <c r="B97" i="11"/>
  <c r="N186" i="27"/>
  <c r="N193" i="27" s="1"/>
  <c r="D86" i="11"/>
  <c r="C82" i="11"/>
  <c r="B77" i="4"/>
  <c r="C63" i="11"/>
  <c r="B54" i="13"/>
  <c r="B55" i="11"/>
  <c r="B39" i="11"/>
  <c r="B38" i="4"/>
  <c r="D31" i="11"/>
  <c r="C39" i="11"/>
  <c r="B12" i="4"/>
  <c r="C9" i="11"/>
  <c r="AH724" i="3"/>
  <c r="AH722" i="3"/>
  <c r="AH720" i="3"/>
  <c r="AH729" i="3"/>
  <c r="AH728" i="3"/>
  <c r="AH727" i="3"/>
  <c r="AH726" i="3"/>
  <c r="AH725" i="3"/>
  <c r="AH719" i="3"/>
  <c r="AH718"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T805" i="20"/>
  <c r="AO17" i="20"/>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AO641" i="3" l="1"/>
  <c r="AM560" i="3" s="1"/>
  <c r="AM566" i="3" s="1"/>
  <c r="R12" i="4"/>
  <c r="D12" i="11"/>
  <c r="D55" i="11"/>
  <c r="H63" i="13"/>
  <c r="B13" i="11"/>
  <c r="AS349" i="20"/>
  <c r="C63" i="13"/>
  <c r="C97" i="13" s="1"/>
  <c r="C105" i="13" s="1"/>
  <c r="D27" i="11"/>
  <c r="AO36" i="20"/>
  <c r="AK56" i="20" s="1"/>
  <c r="AK78" i="20" s="1"/>
  <c r="D82" i="11"/>
  <c r="S63" i="4"/>
  <c r="E63" i="13" s="1"/>
  <c r="F63" i="13"/>
  <c r="C64" i="11"/>
  <c r="C98" i="11" s="1"/>
  <c r="AJ610" i="20"/>
  <c r="G62" i="21"/>
  <c r="AY1004" i="3"/>
  <c r="S70" i="4"/>
  <c r="E70" i="13" s="1"/>
  <c r="E65" i="13"/>
  <c r="F65" i="13" s="1"/>
  <c r="F70" i="13" s="1"/>
  <c r="D78" i="11"/>
  <c r="M53" i="7"/>
  <c r="K58" i="7"/>
  <c r="B63" i="4"/>
  <c r="D105" i="11"/>
  <c r="D97" i="11"/>
  <c r="B64" i="11"/>
  <c r="T105" i="4"/>
  <c r="D63" i="11"/>
  <c r="D39" i="11"/>
  <c r="R63" i="4"/>
  <c r="R97" i="4" s="1"/>
  <c r="R105" i="4" s="1"/>
  <c r="C97" i="4"/>
  <c r="C105" i="4" s="1"/>
  <c r="AC455" i="3" s="1"/>
  <c r="D9" i="11"/>
  <c r="C13" i="1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EH637" i="3"/>
  <c r="DR657" i="3"/>
  <c r="EM632" i="3"/>
  <c r="EM635" i="3"/>
  <c r="EM643" i="3"/>
  <c r="E6" i="7"/>
  <c r="K15" i="7"/>
  <c r="I22" i="7"/>
  <c r="I35" i="7" s="1"/>
  <c r="E27" i="21"/>
  <c r="G22" i="21"/>
  <c r="D13" i="11" l="1"/>
  <c r="T793" i="20"/>
  <c r="AF793" i="20" s="1"/>
  <c r="D64" i="11"/>
  <c r="F97" i="13"/>
  <c r="F105" i="13" s="1"/>
  <c r="F107" i="13" s="1"/>
  <c r="B98" i="11"/>
  <c r="B106" i="11" s="1"/>
  <c r="O53" i="7"/>
  <c r="M58" i="7"/>
  <c r="S97" i="4"/>
  <c r="B105" i="4"/>
  <c r="AC454" i="3" s="1"/>
  <c r="F457" i="3" s="1"/>
  <c r="B97" i="13"/>
  <c r="B105" i="13"/>
  <c r="B97" i="4"/>
  <c r="AG258" i="20"/>
  <c r="T107" i="4"/>
  <c r="H107" i="13" s="1"/>
  <c r="H105" i="13"/>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C106"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D98" i="11" l="1"/>
  <c r="D106" i="11"/>
  <c r="AB47" i="15"/>
  <c r="AB49" i="15" s="1"/>
  <c r="AB54" i="15" s="1"/>
  <c r="AB55" i="15" s="1"/>
  <c r="AB255" i="20"/>
  <c r="AG257" i="20" s="1"/>
  <c r="AG259" i="20" s="1"/>
  <c r="AK262" i="20" s="1"/>
  <c r="T801" i="20" s="1"/>
  <c r="AF801" i="20" s="1"/>
  <c r="E97" i="13"/>
  <c r="S105" i="4"/>
  <c r="O58" i="7"/>
  <c r="Q53" i="7"/>
  <c r="N183" i="27"/>
  <c r="N184" i="27" s="1"/>
  <c r="AD11" i="15"/>
  <c r="AD23" i="15" s="1"/>
  <c r="AD26" i="15" s="1"/>
  <c r="AD28" i="15" s="1"/>
  <c r="AI11" i="15"/>
  <c r="AI23" i="15" s="1"/>
  <c r="AI26" i="15" s="1"/>
  <c r="AI28" i="15" s="1"/>
  <c r="T11" i="15"/>
  <c r="T23" i="15" s="1"/>
  <c r="T26" i="15" s="1"/>
  <c r="T28" i="15" s="1"/>
  <c r="G38" i="21"/>
  <c r="G40" i="21" s="1"/>
  <c r="E10" i="21" s="1"/>
  <c r="AP694" i="20"/>
  <c r="AJ700" i="20" s="1"/>
  <c r="AK783" i="20" s="1"/>
  <c r="T808" i="20" s="1"/>
  <c r="AF808" i="20" s="1"/>
  <c r="AP695" i="20"/>
  <c r="I4" i="7"/>
  <c r="I5" i="7" s="1"/>
  <c r="K9" i="7"/>
  <c r="E11" i="7"/>
  <c r="E37" i="7" s="1"/>
  <c r="E49" i="7" s="1"/>
  <c r="AJ991" i="3"/>
  <c r="AJ1035" i="3" s="1"/>
  <c r="I14" i="21" s="1"/>
  <c r="E132" i="20"/>
  <c r="E133" i="20" s="1"/>
  <c r="AK137" i="20" s="1"/>
  <c r="T796" i="20" s="1"/>
  <c r="AF796" i="20" s="1"/>
  <c r="AB990" i="3"/>
  <c r="CS660" i="3"/>
  <c r="U362" i="20" s="1"/>
  <c r="P421" i="3"/>
  <c r="I6" i="7"/>
  <c r="G7" i="7"/>
  <c r="G11" i="7" s="1"/>
  <c r="G37" i="7" s="1"/>
  <c r="M22" i="7"/>
  <c r="M35" i="7" s="1"/>
  <c r="O15" i="7"/>
  <c r="M9" i="7"/>
  <c r="O8" i="7"/>
  <c r="G25" i="21"/>
  <c r="F24" i="21"/>
  <c r="N194" i="27" l="1"/>
  <c r="Q58" i="7"/>
  <c r="S53" i="7"/>
  <c r="AJ1044" i="3"/>
  <c r="AP541" i="20" s="1"/>
  <c r="AJ1028" i="3"/>
  <c r="AJ1040" i="3"/>
  <c r="E105" i="13"/>
  <c r="S107" i="4"/>
  <c r="B1059" i="3"/>
  <c r="AJ1048" i="3"/>
  <c r="AP542" i="20" s="1"/>
  <c r="AP539" i="20"/>
  <c r="K4" i="7"/>
  <c r="M4" i="7" s="1"/>
  <c r="E45" i="7"/>
  <c r="E48" i="7" s="1"/>
  <c r="G45" i="7"/>
  <c r="G49" i="7"/>
  <c r="K6" i="7"/>
  <c r="I7" i="7"/>
  <c r="I11" i="7" s="1"/>
  <c r="I37" i="7" s="1"/>
  <c r="G24" i="21"/>
  <c r="F27" i="21"/>
  <c r="G27" i="21"/>
  <c r="O22" i="7"/>
  <c r="O35" i="7" s="1"/>
  <c r="Q15" i="7"/>
  <c r="O9" i="7"/>
  <c r="Q8" i="7"/>
  <c r="AZ846" i="3" l="1"/>
  <c r="AZ843" i="3"/>
  <c r="AZ851" i="3" s="1"/>
  <c r="S58" i="7"/>
  <c r="U53" i="7"/>
  <c r="E107" i="13"/>
  <c r="Y11" i="15" s="1"/>
  <c r="Y23" i="15" s="1"/>
  <c r="Y26" i="15" s="1"/>
  <c r="Y28" i="15" s="1"/>
  <c r="AF540" i="20"/>
  <c r="AC456" i="3"/>
  <c r="AP543" i="20"/>
  <c r="AJ1052" i="3"/>
  <c r="T24" i="15"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64" i="15" l="1"/>
  <c r="Y68" i="15" s="1"/>
  <c r="Y69" i="15" s="1"/>
  <c r="T29" i="15"/>
  <c r="W53" i="7"/>
  <c r="U58" i="7"/>
  <c r="Y38" i="15"/>
  <c r="Y40" i="15" s="1"/>
  <c r="AP546" i="20"/>
  <c r="AP545" i="20" s="1"/>
  <c r="AP548" i="20" s="1"/>
  <c r="AF541" i="20" s="1"/>
  <c r="AF542" i="20" s="1"/>
  <c r="AK548" i="20" s="1"/>
  <c r="T807" i="20" s="1"/>
  <c r="AF807" i="20" s="1"/>
  <c r="K11" i="7"/>
  <c r="K37" i="7" s="1"/>
  <c r="K45" i="7" s="1"/>
  <c r="E66" i="7"/>
  <c r="O5" i="7"/>
  <c r="Q4" i="7"/>
  <c r="AD38" i="15"/>
  <c r="AD40" i="15" s="1"/>
  <c r="M7" i="7"/>
  <c r="M11" i="7" s="1"/>
  <c r="M37" i="7" s="1"/>
  <c r="O6" i="7"/>
  <c r="G67" i="7"/>
  <c r="G62" i="7"/>
  <c r="G66" i="7"/>
  <c r="I48" i="7"/>
  <c r="I60" i="7"/>
  <c r="I47" i="7"/>
  <c r="G69" i="21"/>
  <c r="G81" i="21"/>
  <c r="G65" i="21"/>
  <c r="S22" i="7"/>
  <c r="S35" i="7" s="1"/>
  <c r="U15" i="7"/>
  <c r="E14" i="21"/>
  <c r="E15" i="21" s="1"/>
  <c r="U8" i="7"/>
  <c r="S9" i="7"/>
  <c r="Y53" i="7" l="1"/>
  <c r="W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A53" i="7"/>
  <c r="AB57" i="15"/>
  <c r="U4" i="7"/>
  <c r="S5" i="7"/>
  <c r="P204" i="3"/>
  <c r="M48" i="7"/>
  <c r="M47" i="7"/>
  <c r="M60" i="7"/>
  <c r="O45" i="7"/>
  <c r="O49" i="7"/>
  <c r="K66" i="7"/>
  <c r="K67" i="7"/>
  <c r="K62" i="7"/>
  <c r="Q7" i="7"/>
  <c r="Q11" i="7" s="1"/>
  <c r="Q37" i="7" s="1"/>
  <c r="S6" i="7"/>
  <c r="I70" i="7"/>
  <c r="I72" i="7" s="1"/>
  <c r="W22" i="7"/>
  <c r="W35" i="7" s="1"/>
  <c r="Y15" i="7"/>
  <c r="W9" i="7"/>
  <c r="Y8" i="7"/>
  <c r="AC53" i="7" l="1"/>
  <c r="AA58" i="7"/>
  <c r="AB59" i="15"/>
  <c r="AB77" i="15" s="1"/>
  <c r="U5" i="7"/>
  <c r="W4" i="7"/>
  <c r="Q49" i="7"/>
  <c r="Q45" i="7"/>
  <c r="M62" i="7"/>
  <c r="M67"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E47" i="7"/>
  <c r="AE60" i="7"/>
  <c r="AE48" i="7"/>
  <c r="AG49" i="7"/>
  <c r="AG45" i="7"/>
  <c r="AG48" i="7" l="1"/>
  <c r="AG60" i="7"/>
  <c r="AG47" i="7"/>
  <c r="AC70" i="7"/>
  <c r="AC72" i="7" s="1"/>
  <c r="AE70" i="7" l="1"/>
  <c r="AE72" i="7" s="1"/>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<sst xmlns="http://schemas.openxmlformats.org/spreadsheetml/2006/main" count="5321" uniqueCount="2785">
  <si>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</si>
  <si>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</si>
  <si>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</si>
  <si>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</si>
  <si>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</si>
  <si>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</si>
  <si>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</si>
  <si>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</si>
  <si>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</si>
  <si>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</si>
  <si>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</si>
  <si>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</si>
  <si>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</si>
  <si>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</si>
  <si>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</si>
  <si>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</si>
  <si>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</si>
  <si>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</si>
  <si>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</si>
  <si>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</si>
  <si>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</si>
  <si>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</si>
  <si>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</si>
  <si>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</si>
  <si>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</si>
  <si>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</si>
  <si>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</si>
  <si>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</si>
  <si>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</si>
  <si>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</si>
  <si>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</si>
  <si>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</si>
  <si>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</si>
  <si>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</si>
  <si>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</si>
  <si>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</si>
  <si>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</si>
  <si>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</si>
  <si>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</si>
  <si>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</si>
  <si>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</si>
  <si>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</si>
  <si>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</si>
  <si>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</si>
  <si>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</si>
  <si>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</si>
  <si>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</si>
  <si>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</si>
  <si>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</si>
  <si>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</si>
  <si>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</si>
  <si>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</si>
  <si>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</si>
  <si>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</si>
  <si>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</si>
  <si>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</si>
  <si>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</si>
  <si>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</si>
  <si>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</si>
  <si>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</si>
  <si>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</si>
  <si>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</si>
  <si>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</si>
  <si>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</si>
  <si>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</si>
  <si>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</si>
  <si>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</si>
  <si>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</si>
  <si>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</si>
  <si>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</si>
  <si>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</si>
  <si>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</si>
  <si>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</si>
  <si>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</si>
  <si>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</si>
  <si>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</si>
  <si>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</si>
  <si>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</si>
  <si>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</si>
  <si>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</si>
  <si>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</si>
  <si>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</si>
  <si>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</si>
  <si>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</si>
  <si>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</si>
  <si>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</si>
  <si>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</si>
  <si>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</si>
  <si>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</si>
  <si>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</si>
  <si>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</si>
  <si>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</si>
  <si>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</si>
  <si>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</si>
  <si>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</si>
  <si>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</si>
  <si>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</si>
  <si>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</si>
  <si>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</si>
  <si>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</si>
  <si>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</si>
  <si>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</si>
  <si>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</si>
  <si>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</si>
  <si>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</si>
  <si>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</si>
  <si>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</si>
  <si>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</si>
  <si>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</si>
  <si>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</si>
  <si>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</si>
  <si>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</si>
  <si>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</si>
  <si>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</si>
  <si>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</si>
  <si>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</si>
  <si>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</si>
  <si>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</si>
  <si>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</si>
  <si>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</si>
  <si>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</si>
  <si>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</si>
  <si>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</si>
  <si>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</si>
  <si>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</si>
  <si>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</si>
  <si>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</si>
  <si>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</si>
  <si>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</si>
  <si>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</si>
  <si>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</si>
  <si>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</si>
  <si>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</si>
  <si>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</si>
  <si>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</si>
  <si>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</si>
  <si>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</si>
  <si>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</si>
  <si>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</si>
  <si>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</si>
  <si>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</si>
  <si>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</si>
  <si>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</si>
  <si>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</si>
  <si>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</si>
  <si>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</si>
  <si>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</si>
  <si>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</si>
  <si>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</si>
  <si>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</si>
  <si>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</si>
  <si>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</si>
  <si>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</si>
  <si>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</si>
  <si>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</si>
  <si>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</si>
  <si>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</si>
  <si>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</si>
  <si>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</si>
  <si>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</si>
  <si>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</si>
  <si>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</si>
  <si>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</si>
  <si>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</si>
  <si>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</si>
  <si>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</si>
  <si>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</si>
  <si>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</si>
  <si>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</si>
  <si>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</si>
  <si>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</si>
  <si>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</si>
  <si>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</si>
  <si>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</si>
  <si>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</si>
  <si>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</si>
  <si>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</si>
  <si>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</si>
  <si>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</si>
  <si>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</si>
  <si>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</si>
  <si>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</si>
  <si>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</si>
  <si>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</si>
  <si>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</si>
  <si>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</si>
  <si>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</si>
  <si>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</si>
  <si>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</si>
  <si>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</si>
  <si>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</si>
  <si>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</si>
  <si>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</si>
  <si>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</si>
  <si>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</si>
  <si>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</si>
  <si>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</si>
  <si>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</si>
  <si>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</si>
  <si>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</si>
  <si>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</si>
  <si>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</si>
  <si>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</si>
  <si>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</si>
  <si>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</si>
  <si>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</si>
  <si>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</si>
  <si>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</si>
  <si>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</si>
  <si>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</si>
  <si>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</si>
  <si>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</si>
  <si>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</si>
  <si>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</si>
  <si>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</si>
  <si>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</si>
  <si>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</si>
  <si>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</si>
  <si>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</si>
  <si>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</si>
  <si>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</si>
  <si>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</si>
  <si>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</si>
  <si>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</si>
  <si>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</si>
  <si>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</si>
  <si>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</si>
  <si>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</si>
  <si>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</si>
  <si>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</si>
  <si>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</si>
  <si>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</si>
  <si>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</si>
  <si>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</si>
  <si>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</si>
  <si>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</si>
  <si>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</si>
  <si>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</si>
  <si>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</si>
  <si>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</si>
  <si>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</si>
  <si>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</si>
  <si>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</si>
  <si>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</si>
  <si>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</si>
  <si>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</si>
  <si>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</si>
  <si>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</si>
  <si>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</si>
  <si>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</si>
  <si>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</si>
  <si>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</si>
  <si>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</si>
  <si>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</si>
  <si>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</si>
  <si>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</si>
  <si>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</si>
  <si>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</si>
  <si>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</si>
  <si>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</si>
  <si>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</si>
  <si>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</si>
  <si>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</si>
  <si>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</si>
  <si>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</si>
  <si>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</si>
  <si>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</si>
  <si>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</si>
  <si>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</si>
  <si>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</si>
  <si>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</si>
  <si>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</si>
  <si>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</si>
  <si>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</si>
  <si>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</si>
  <si>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</si>
  <si>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</si>
  <si>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</si>
  <si>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</si>
  <si>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</si>
  <si>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</si>
  <si>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</si>
  <si>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</si>
  <si>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</si>
  <si>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</si>
  <si>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</si>
  <si>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</si>
  <si>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</si>
  <si>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</si>
  <si>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</si>
  <si>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</si>
  <si>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</si>
  <si>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</si>
  <si>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</si>
  <si>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</si>
  <si>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</si>
  <si>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</si>
  <si>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</si>
  <si>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</si>
  <si>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</si>
  <si>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</si>
  <si>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</si>
  <si>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</si>
  <si>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</si>
  <si>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</si>
  <si>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</si>
  <si>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</si>
  <si>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</si>
  <si>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</si>
  <si>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</si>
  <si>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</si>
  <si>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</si>
  <si>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</si>
  <si>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</si>
  <si>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</si>
  <si>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</si>
  <si>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</si>
  <si>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</si>
  <si>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</si>
  <si>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</si>
  <si>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</si>
  <si>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</si>
  <si>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</si>
  <si>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</si>
  <si>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</si>
  <si>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</si>
  <si>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</si>
  <si>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</si>
  <si>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</si>
  <si>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</si>
  <si>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</si>
  <si>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</si>
  <si>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</si>
  <si>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</si>
  <si>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</si>
  <si>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</si>
  <si>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</si>
  <si>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</si>
  <si>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</si>
  <si>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</si>
  <si>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</si>
  <si>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</si>
  <si>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</si>
  <si>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</si>
  <si>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</si>
  <si>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</si>
  <si>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</si>
  <si>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</si>
  <si>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</si>
  <si>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</si>
  <si>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</si>
  <si>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</si>
  <si>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</si>
  <si>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</si>
  <si>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</si>
  <si>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</si>
  <si>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</si>
  <si>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</si>
  <si>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</si>
  <si>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</si>
  <si>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</si>
  <si>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</si>
  <si>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</si>
  <si>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</si>
  <si>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</si>
  <si>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</si>
  <si>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</si>
  <si>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</si>
  <si>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</si>
  <si>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</si>
  <si>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</si>
  <si>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</si>
  <si>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</si>
  <si>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</si>
  <si>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</si>
  <si>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</si>
  <si>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</si>
  <si>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</si>
  <si>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</si>
  <si>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</si>
  <si>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</si>
  <si>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</si>
  <si>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</si>
  <si>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</si>
  <si>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</si>
  <si>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</si>
  <si>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</si>
  <si>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</si>
  <si>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</si>
  <si>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</si>
  <si>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</si>
  <si>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</si>
  <si>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</si>
  <si>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</si>
  <si>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</si>
  <si>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</si>
  <si>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</si>
  <si>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</si>
  <si>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</si>
  <si>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</si>
  <si>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</si>
  <si>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</si>
  <si>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</si>
  <si>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</si>
  <si>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</si>
  <si>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</si>
  <si>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</si>
  <si>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</si>
  <si>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</si>
  <si>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</si>
  <si>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</si>
  <si>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</si>
  <si>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</si>
  <si>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</si>
  <si>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</si>
  <si>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</si>
  <si>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</si>
  <si>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</si>
  <si>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</si>
  <si>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</si>
  <si>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</si>
  <si>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</si>
  <si>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</si>
  <si>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</si>
  <si>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</si>
  <si>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</si>
  <si>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</si>
  <si>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</si>
  <si>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</si>
  <si>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</si>
  <si>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</si>
  <si>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</si>
  <si>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</si>
  <si>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</si>
  <si>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</si>
  <si>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</si>
  <si>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</si>
  <si>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</si>
  <si>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</si>
  <si>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</si>
  <si>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</si>
  <si>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</si>
  <si>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</si>
  <si>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</si>
  <si>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</si>
  <si>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</si>
  <si>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</si>
  <si>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</si>
  <si>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</si>
  <si>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</si>
  <si>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</si>
  <si>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</si>
  <si>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</si>
  <si>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</si>
  <si>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</si>
  <si>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</si>
  <si>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</si>
  <si>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</si>
  <si>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</si>
  <si>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</si>
  <si>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</si>
  <si>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</si>
  <si>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</si>
  <si>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</si>
  <si>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</si>
  <si>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</si>
  <si>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</si>
  <si>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</si>
  <si>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</si>
  <si>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</si>
  <si>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</si>
  <si>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</si>
  <si>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</si>
  <si>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</si>
  <si>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</si>
  <si>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</si>
  <si>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</si>
  <si>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</si>
  <si>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</si>
  <si>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</si>
  <si>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</si>
  <si>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</si>
  <si>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</si>
  <si>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</si>
  <si>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</si>
  <si>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</si>
  <si>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</si>
  <si>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</si>
  <si>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</si>
  <si>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</si>
  <si>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</si>
  <si>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</si>
  <si>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</si>
  <si>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</si>
  <si>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</si>
  <si>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</si>
  <si>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</si>
  <si>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</si>
  <si>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</si>
  <si>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</si>
  <si>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</si>
  <si>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</si>
  <si>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</si>
  <si>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</si>
  <si>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</si>
  <si>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</si>
  <si>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</si>
  <si>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</si>
  <si>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</si>
  <si>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</si>
  <si>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</si>
  <si>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</si>
  <si>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</si>
  <si>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</si>
  <si>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</si>
  <si>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</si>
  <si>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</si>
  <si>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</si>
  <si>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</si>
  <si>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</si>
  <si>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</si>
  <si>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</si>
  <si>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</si>
  <si>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</si>
  <si>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</si>
  <si>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</si>
  <si>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</si>
  <si>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</si>
  <si>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</si>
  <si>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</si>
  <si>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</si>
  <si>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</si>
  <si>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</si>
  <si>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</si>
  <si>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</si>
  <si>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</si>
  <si>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</si>
  <si>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</si>
  <si>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</si>
  <si>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</si>
  <si>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</si>
  <si>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</si>
  <si>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</si>
  <si>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</si>
  <si>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</si>
  <si>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</si>
  <si>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</si>
  <si>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</si>
  <si>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</si>
  <si>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</si>
  <si>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</si>
  <si>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</si>
  <si>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</si>
  <si>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</si>
  <si>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</si>
  <si>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</si>
  <si>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</si>
  <si>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</si>
  <si>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</si>
  <si>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</si>
  <si>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</si>
  <si>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</si>
  <si>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</si>
  <si>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</si>
  <si>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</si>
  <si>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</si>
  <si>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</si>
  <si>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</si>
  <si>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</si>
  <si>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</si>
  <si>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</si>
  <si>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</si>
  <si>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</si>
  <si>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</si>
  <si>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</si>
  <si>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</si>
  <si>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</si>
  <si>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</si>
  <si>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</si>
  <si>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</si>
  <si>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</si>
  <si>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</si>
  <si>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</si>
  <si>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</si>
  <si>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</si>
  <si>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</si>
  <si>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</si>
  <si>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</si>
  <si>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</si>
  <si>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</si>
  <si>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</si>
  <si>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</si>
  <si>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</si>
  <si>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</si>
  <si>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</si>
  <si>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</si>
  <si>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</si>
  <si>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</si>
  <si>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</si>
  <si>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</si>
  <si>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</si>
  <si>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</si>
  <si>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</si>
  <si>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</si>
  <si>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</si>
  <si>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</si>
  <si>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</si>
  <si>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</si>
  <si>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</si>
  <si>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</si>
  <si>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</si>
  <si>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</si>
  <si>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</si>
  <si>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</si>
  <si>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</si>
  <si>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</si>
  <si>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</si>
  <si>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</si>
  <si>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</si>
  <si>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</si>
  <si>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</si>
  <si>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</si>
  <si>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</si>
  <si>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</si>
  <si>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</si>
  <si>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</si>
  <si>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</si>
  <si>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</si>
  <si>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</si>
  <si>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</si>
  <si>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</si>
  <si>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</si>
  <si>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</si>
  <si>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</si>
  <si>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</si>
  <si>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</si>
  <si>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</si>
  <si>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</si>
  <si>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</si>
  <si>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</si>
  <si>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</si>
  <si>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</si>
  <si>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</si>
  <si>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</si>
  <si>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</si>
  <si>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</si>
  <si>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</si>
  <si>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</si>
  <si>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</si>
  <si>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</si>
  <si>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</si>
  <si>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</si>
  <si>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</si>
  <si>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</si>
  <si>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</si>
  <si>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</si>
  <si>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</si>
  <si>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</si>
  <si>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</si>
  <si>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</si>
  <si>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</si>
  <si>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</si>
  <si>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</si>
  <si>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</si>
  <si>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</si>
  <si>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</si>
  <si>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</si>
  <si>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</si>
  <si>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</si>
  <si>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</si>
  <si>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</si>
  <si>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</si>
  <si>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</si>
  <si>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</si>
  <si>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</si>
  <si>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</si>
  <si>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</si>
  <si>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</si>
  <si>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</si>
  <si>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</si>
  <si>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</si>
  <si>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</si>
  <si>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</si>
  <si>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</si>
  <si>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</si>
  <si>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</si>
  <si>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</si>
  <si>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</si>
  <si>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</si>
  <si>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</si>
  <si>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</si>
  <si>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</si>
  <si>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</si>
  <si>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</si>
  <si>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</si>
  <si>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</si>
  <si>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</si>
  <si>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</si>
  <si>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</si>
  <si>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</si>
  <si>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</si>
  <si>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</si>
  <si>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</si>
  <si>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</si>
  <si>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</si>
  <si>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</si>
  <si>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</si>
  <si>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</si>
  <si>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</si>
  <si>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</si>
  <si>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</si>
  <si>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</si>
  <si>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</si>
  <si>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</si>
  <si>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</si>
  <si>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</si>
  <si>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</si>
  <si>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</si>
  <si>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</si>
  <si>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</si>
  <si>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</si>
  <si>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</si>
  <si>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</si>
  <si>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</si>
  <si>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</si>
  <si>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</si>
  <si>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</si>
  <si>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</si>
  <si>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</si>
  <si>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</si>
  <si>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</si>
  <si>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</si>
  <si>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</si>
  <si>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</si>
  <si>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</si>
  <si>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</si>
  <si>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</si>
  <si>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</si>
  <si>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</si>
  <si>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</si>
  <si>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</si>
  <si>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</si>
  <si>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</si>
  <si>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</si>
  <si>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</si>
  <si>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</si>
  <si>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</si>
  <si>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</si>
  <si>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</si>
  <si>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</si>
  <si>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</si>
  <si>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</si>
  <si>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</si>
  <si>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</si>
  <si>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</si>
  <si>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</si>
  <si>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</si>
  <si>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</si>
  <si>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</si>
  <si>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</si>
  <si>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</si>
  <si>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</si>
  <si>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</si>
  <si>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</si>
  <si>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</si>
  <si>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</si>
  <si>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</si>
  <si>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</si>
  <si>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</si>
  <si>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</si>
  <si>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</si>
  <si>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</si>
  <si>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</si>
  <si>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</si>
  <si>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</si>
  <si>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</si>
  <si>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</si>
  <si>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</si>
  <si>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</si>
  <si>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</si>
  <si>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</si>
  <si>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</si>
  <si>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</si>
  <si>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</si>
  <si>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</si>
  <si>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</si>
  <si>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</si>
  <si>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</si>
  <si>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</si>
  <si>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</si>
  <si>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</si>
  <si>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</si>
  <si>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</si>
  <si>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</si>
  <si>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</si>
  <si>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</si>
  <si>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</si>
  <si>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</si>
  <si>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</si>
  <si>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</si>
  <si>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</si>
  <si>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</si>
  <si>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</si>
  <si>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</si>
  <si>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</si>
  <si>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</si>
  <si>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</si>
  <si>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</si>
  <si>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</si>
  <si>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</si>
  <si>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</si>
  <si>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</si>
  <si>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</si>
  <si>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</si>
  <si>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</si>
  <si>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</si>
  <si>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</si>
  <si>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</si>
  <si>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</si>
  <si>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</si>
  <si>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</si>
  <si>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</si>
  <si>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</si>
  <si>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</si>
  <si>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</si>
  <si>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</si>
  <si>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</si>
  <si>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</si>
  <si>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</si>
  <si>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</si>
  <si>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</si>
  <si>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</si>
  <si>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</si>
  <si>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</si>
  <si>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</si>
  <si>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</si>
  <si>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</si>
  <si>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</si>
  <si>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</si>
  <si>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</si>
  <si>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</si>
  <si>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</si>
  <si>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</si>
  <si>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</si>
  <si>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</si>
  <si>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</si>
  <si>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</si>
  <si>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</si>
  <si>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</si>
  <si>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</si>
  <si>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</si>
  <si>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</si>
  <si>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</si>
  <si>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</si>
  <si>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</si>
  <si>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</si>
  <si>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</si>
  <si>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</si>
  <si>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</si>
  <si>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</si>
  <si>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</si>
  <si>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</si>
  <si>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</si>
  <si>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</si>
  <si>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</si>
  <si>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</si>
  <si>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</si>
  <si>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</si>
  <si>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</si>
  <si>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</si>
  <si>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</si>
  <si>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</si>
  <si>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</si>
  <si>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</si>
  <si>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</si>
  <si>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</si>
  <si>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</si>
  <si>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</si>
  <si>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</si>
  <si>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</si>
  <si>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</si>
  <si>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</si>
  <si>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</si>
  <si>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</si>
  <si>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</si>
  <si>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</si>
  <si>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</si>
  <si>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</si>
  <si>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</si>
  <si>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</si>
  <si>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</si>
  <si>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</si>
  <si>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</si>
  <si>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</si>
  <si>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</si>
  <si>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</si>
  <si>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</si>
  <si>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</si>
  <si>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</si>
  <si>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</si>
  <si>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</si>
  <si>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</si>
  <si>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</si>
  <si>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</si>
  <si>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</si>
  <si>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</si>
  <si>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</si>
  <si>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</si>
  <si>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</si>
  <si>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</si>
  <si>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</si>
  <si>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</si>
  <si>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</si>
  <si>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</si>
  <si>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</si>
  <si>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</si>
  <si>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</si>
  <si>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</si>
  <si>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</si>
  <si>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</si>
  <si>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</si>
  <si>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</si>
  <si>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</si>
  <si>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</si>
  <si>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</si>
  <si>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</si>
  <si>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</si>
  <si>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</si>
  <si>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</si>
  <si>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</si>
  <si>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</si>
  <si>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</si>
  <si>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</si>
  <si>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</si>
  <si>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</si>
  <si>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</si>
  <si>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</si>
  <si>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</si>
  <si>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</si>
  <si>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</si>
  <si>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</si>
  <si>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</si>
  <si>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</si>
  <si>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</si>
  <si>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</si>
  <si>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</si>
  <si>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</si>
  <si>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</si>
  <si>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</si>
  <si>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</si>
  <si>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</si>
  <si>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</si>
  <si>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</si>
  <si>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</si>
  <si>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</si>
  <si>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</si>
  <si>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</si>
  <si>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</si>
  <si>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</si>
  <si>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</si>
  <si>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</si>
  <si>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</si>
  <si>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</si>
  <si>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</si>
  <si>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</si>
  <si>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</si>
  <si>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</si>
  <si>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</si>
  <si>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</si>
  <si>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</si>
  <si>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</si>
  <si>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</si>
  <si>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</si>
  <si>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</si>
  <si>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</si>
  <si>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</si>
  <si>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</si>
  <si>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</si>
  <si>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</si>
  <si>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</si>
  <si>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</si>
  <si>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</si>
  <si>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</si>
  <si>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</si>
  <si>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</si>
  <si>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</si>
  <si>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</si>
  <si>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</si>
  <si>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</si>
  <si>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</si>
  <si>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</si>
  <si>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</si>
  <si>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</si>
  <si>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</si>
  <si>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</si>
  <si>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</si>
  <si>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</si>
  <si>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</si>
  <si>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</si>
  <si>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</si>
  <si>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</si>
  <si>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</si>
  <si>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</si>
  <si>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</si>
  <si>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</si>
  <si>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</si>
  <si>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</si>
  <si>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</si>
  <si>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</si>
  <si>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</si>
  <si>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</si>
  <si>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</si>
  <si>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</si>
  <si>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</si>
  <si>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</si>
  <si>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</si>
  <si>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</si>
  <si>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</si>
  <si>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</si>
  <si>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</si>
  <si>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</si>
  <si>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</si>
  <si>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</si>
  <si>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</si>
  <si>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</si>
  <si>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</si>
  <si>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</si>
  <si>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</si>
  <si>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</si>
  <si>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</si>
  <si>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</si>
  <si>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</si>
  <si>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</si>
  <si>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</si>
  <si>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</si>
  <si>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</si>
  <si>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</si>
  <si>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</si>
  <si>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</si>
  <si>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</si>
  <si>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</si>
  <si>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</si>
  <si>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</si>
  <si>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</si>
  <si>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</si>
  <si>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</si>
  <si>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</si>
  <si>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</si>
  <si>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</si>
  <si>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</si>
  <si>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</si>
  <si>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</si>
  <si>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</si>
  <si>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</si>
  <si>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</si>
  <si>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</si>
  <si>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</si>
  <si>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</si>
  <si>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</si>
  <si>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</si>
  <si>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</si>
  <si>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</si>
  <si>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</si>
  <si>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</si>
  <si>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</si>
  <si>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</si>
  <si>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</si>
  <si>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</si>
  <si>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</si>
  <si>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</si>
  <si>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</si>
  <si>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</si>
  <si>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</si>
  <si>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</si>
  <si>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</si>
  <si>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</si>
  <si>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</si>
  <si>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</si>
  <si>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</si>
  <si>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</si>
  <si>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</si>
  <si>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</si>
  <si>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</si>
  <si>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</si>
  <si>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</si>
  <si>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</si>
  <si>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</si>
  <si>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</si>
  <si>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</si>
  <si>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</si>
  <si>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</si>
  <si>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</si>
  <si>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</si>
  <si>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</si>
  <si>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</si>
  <si>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</si>
  <si>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</si>
  <si>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</si>
  <si>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</si>
  <si>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</si>
  <si>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</si>
  <si>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</si>
  <si>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</si>
  <si>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</si>
  <si>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</si>
  <si>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</si>
  <si>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</si>
  <si>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</si>
  <si>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</si>
  <si>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</si>
  <si>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</si>
  <si>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</si>
  <si>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</si>
  <si>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</si>
  <si>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</si>
  <si>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</si>
  <si>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</si>
  <si>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</si>
  <si>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</si>
  <si>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</si>
  <si>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</si>
  <si>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</si>
  <si>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</si>
  <si>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</si>
  <si>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</si>
  <si>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</si>
  <si>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</si>
  <si>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</si>
  <si>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</si>
  <si>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</si>
  <si>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</si>
  <si>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</si>
  <si>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</si>
  <si>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</si>
  <si>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</si>
  <si>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</si>
  <si>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</si>
  <si>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</si>
  <si>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</si>
  <si>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</si>
  <si>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</si>
  <si>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</si>
  <si>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</si>
  <si>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</si>
  <si>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</si>
  <si>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</si>
  <si>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</si>
  <si>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</si>
  <si>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</si>
  <si>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</si>
  <si>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</si>
  <si>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</si>
  <si>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</si>
  <si>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</si>
  <si>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</si>
  <si>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</si>
  <si>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</si>
  <si>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</si>
  <si>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</si>
  <si>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</si>
  <si>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</si>
  <si>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</si>
  <si>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</si>
  <si>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</si>
  <si>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</si>
  <si>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</si>
  <si>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</si>
  <si>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</si>
  <si>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</si>
  <si>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</si>
  <si>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</si>
  <si>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</si>
  <si>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</si>
  <si>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</si>
  <si>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</si>
  <si>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</si>
  <si>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</si>
  <si>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</si>
  <si>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</si>
  <si>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</si>
  <si>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</si>
  <si>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</si>
  <si>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</si>
  <si>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</si>
  <si>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</si>
  <si>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</si>
  <si>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</si>
  <si>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</si>
  <si>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</si>
  <si>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</si>
  <si>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</si>
  <si>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</si>
  <si>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</si>
  <si>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</si>
  <si>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</si>
  <si>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</si>
  <si>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</si>
  <si>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</si>
  <si>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</si>
  <si>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</si>
  <si>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</si>
  <si>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</si>
  <si>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</si>
  <si>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</si>
  <si>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</si>
  <si>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</si>
  <si>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</si>
  <si>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</si>
  <si>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</si>
  <si>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</si>
  <si>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</si>
  <si>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</si>
  <si>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</si>
  <si>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</si>
  <si>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</si>
  <si>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</si>
  <si>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</si>
  <si>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</si>
  <si>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</si>
  <si>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</si>
  <si>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</si>
  <si>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</si>
  <si>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</si>
  <si>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</si>
  <si>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</si>
  <si>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</si>
  <si>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</si>
  <si>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</si>
  <si>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</si>
  <si>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</si>
  <si>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</si>
  <si>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</si>
  <si>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</si>
  <si>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</si>
  <si>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</si>
  <si>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</si>
  <si>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</si>
  <si>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</si>
  <si>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</si>
  <si>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</si>
  <si>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</si>
  <si>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</si>
  <si>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</si>
  <si>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</si>
  <si>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</si>
  <si>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</si>
  <si>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</si>
  <si>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</si>
  <si>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</si>
  <si>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</si>
  <si>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</si>
  <si>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</si>
  <si>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</si>
  <si>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</si>
  <si>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</si>
  <si>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</si>
  <si>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</si>
  <si>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</si>
  <si>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</si>
  <si>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</si>
  <si>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</si>
  <si>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</si>
  <si>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</si>
  <si>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</si>
  <si>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</si>
  <si>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</si>
  <si>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</si>
  <si>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</si>
  <si>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</si>
  <si>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</si>
  <si>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</si>
  <si>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</si>
  <si>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</si>
  <si>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</si>
  <si>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</si>
  <si>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</si>
  <si>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</si>
  <si>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</si>
  <si>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</si>
  <si>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</si>
  <si>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</si>
  <si>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</si>
  <si>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</si>
  <si>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</si>
  <si>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</si>
  <si>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</si>
  <si>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</si>
  <si>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</si>
  <si>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</si>
  <si>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</si>
  <si>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</si>
  <si>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</si>
  <si>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</si>
  <si>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</si>
  <si>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</si>
  <si>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</si>
  <si>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</si>
  <si>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</si>
  <si>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</si>
  <si>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</si>
  <si>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</si>
  <si>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</si>
  <si>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</si>
  <si>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</si>
  <si>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</si>
  <si>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</si>
  <si>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</si>
  <si>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</si>
  <si>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</si>
  <si>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</si>
  <si>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</si>
  <si>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</si>
  <si>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</si>
  <si>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</si>
  <si>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</si>
  <si>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</si>
  <si>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</si>
  <si>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</si>
  <si>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</si>
  <si>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</si>
  <si>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</si>
  <si>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</si>
  <si>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</si>
  <si>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</si>
  <si>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</si>
  <si>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</si>
  <si>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</si>
  <si>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</si>
  <si>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</si>
  <si>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</si>
  <si>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</si>
  <si>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</si>
  <si>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</si>
  <si>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</si>
  <si>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</si>
  <si>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</si>
  <si>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</si>
  <si>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</si>
  <si>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</si>
  <si>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</si>
  <si>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</si>
  <si>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</si>
  <si>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</si>
  <si>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</si>
  <si>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</si>
  <si>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</si>
  <si>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</si>
  <si>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</si>
  <si>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</si>
  <si>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</si>
  <si>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</si>
  <si>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</si>
  <si>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</si>
  <si>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</si>
  <si>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</si>
  <si>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</si>
  <si>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</si>
  <si>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</si>
  <si>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</si>
  <si>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</si>
  <si>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</si>
  <si>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</si>
  <si>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</si>
  <si>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</si>
  <si>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</si>
  <si>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</si>
  <si>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</si>
  <si>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</si>
  <si>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</si>
  <si>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</si>
  <si>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</si>
  <si>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</si>
  <si>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</si>
  <si>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</si>
  <si>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</si>
  <si>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</si>
  <si>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</si>
  <si>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</si>
  <si>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</si>
  <si>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</si>
  <si>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</si>
  <si>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</si>
  <si>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</si>
  <si>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</si>
  <si>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</si>
  <si>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</si>
  <si>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</si>
  <si>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</si>
  <si>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</si>
  <si>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</si>
  <si>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</si>
  <si>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</si>
  <si>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</si>
  <si>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</si>
  <si>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</si>
  <si>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</si>
  <si>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</si>
  <si>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</si>
  <si>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</si>
  <si>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</si>
  <si>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</si>
  <si>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</si>
  <si>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</si>
  <si>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</si>
  <si>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</si>
  <si>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</si>
  <si>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</si>
  <si>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</si>
  <si>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</si>
  <si>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</si>
  <si>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</si>
  <si>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</si>
  <si>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</si>
  <si>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</si>
  <si>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</si>
  <si>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</si>
  <si>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</si>
  <si>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</si>
  <si>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</si>
  <si>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</si>
  <si>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</si>
  <si>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</si>
  <si>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</si>
  <si>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</si>
  <si>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</si>
  <si>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</si>
  <si>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</si>
  <si>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</si>
  <si>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</si>
  <si>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</si>
  <si>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</si>
  <si>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</si>
  <si>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</si>
  <si>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</si>
  <si>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</si>
  <si>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</si>
  <si>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</si>
  <si>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</si>
  <si>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</si>
  <si>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</si>
  <si>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</si>
  <si>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</si>
  <si>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</si>
  <si>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</si>
  <si>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</si>
  <si>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</si>
  <si>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</si>
  <si>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</si>
  <si>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</si>
  <si>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</si>
  <si>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</si>
  <si>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</si>
  <si>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</si>
  <si>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</si>
  <si>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</si>
  <si>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</si>
  <si>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</si>
  <si>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</si>
  <si>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</si>
  <si>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</si>
  <si>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</si>
  <si>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</si>
  <si>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</si>
  <si>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</si>
  <si>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</si>
  <si>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</si>
  <si>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</si>
  <si>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</si>
  <si>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</si>
  <si>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</si>
  <si>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</si>
  <si>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</si>
  <si>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</si>
  <si>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</si>
  <si>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</si>
  <si>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</si>
  <si>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</si>
  <si>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</si>
  <si>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</si>
  <si>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</si>
  <si>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</si>
  <si>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</si>
  <si>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</si>
  <si>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</si>
  <si>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</si>
  <si>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</si>
  <si>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</si>
  <si>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</si>
  <si>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</si>
  <si>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</si>
  <si>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</si>
  <si>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</si>
  <si>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</si>
  <si>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</si>
  <si>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</si>
  <si>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</si>
  <si>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</si>
  <si>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</si>
  <si>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</si>
  <si>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</si>
  <si>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</si>
  <si>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</si>
  <si>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</si>
  <si>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</si>
  <si>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</si>
  <si>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</si>
  <si>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</si>
  <si>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</si>
  <si>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</si>
  <si>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</si>
  <si>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</si>
  <si>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</si>
  <si>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</si>
  <si>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</si>
  <si>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</si>
  <si>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</si>
  <si>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</si>
  <si>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</si>
  <si>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</si>
  <si>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</si>
  <si>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</si>
  <si>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</si>
  <si>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</si>
  <si>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</si>
  <si>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</si>
  <si>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</si>
  <si>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</si>
  <si>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</si>
  <si>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</si>
  <si>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</si>
  <si>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</si>
  <si>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</si>
  <si>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</si>
  <si>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</si>
  <si>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</si>
  <si>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</si>
  <si>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</si>
  <si>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</si>
  <si>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</si>
  <si>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</si>
  <si>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</si>
  <si>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</si>
  <si>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</si>
  <si>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</si>
  <si>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</si>
  <si>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</si>
  <si>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</si>
  <si>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</si>
  <si>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</si>
  <si>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</si>
  <si>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</si>
  <si>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</si>
  <si>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</si>
  <si>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</si>
  <si>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</si>
  <si>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</si>
  <si>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</si>
  <si>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</si>
  <si>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</si>
  <si>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</si>
  <si>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</si>
  <si>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</si>
  <si>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</si>
  <si>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</si>
  <si>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</si>
  <si>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</si>
  <si>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</si>
  <si>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</si>
  <si>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</si>
  <si>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</si>
  <si>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</si>
  <si>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</si>
  <si>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</si>
  <si>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</si>
  <si>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</si>
  <si>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</si>
  <si>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</si>
  <si>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</si>
  <si>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</si>
  <si>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</si>
  <si>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</si>
  <si>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</si>
  <si>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</si>
  <si>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</si>
  <si>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</si>
  <si>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</si>
  <si>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</si>
  <si>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</si>
  <si>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</si>
  <si>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</si>
  <si>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</si>
  <si>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</si>
  <si>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</si>
  <si>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</si>
  <si>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</si>
  <si>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</si>
  <si>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</si>
  <si>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</si>
  <si>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</si>
  <si>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</si>
  <si>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</si>
  <si>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</si>
  <si>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</si>
  <si>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</si>
  <si>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</si>
  <si>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</si>
  <si>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</si>
  <si>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</si>
  <si>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</si>
  <si>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</si>
  <si>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</si>
  <si>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</si>
  <si>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</si>
  <si>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</si>
  <si>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</si>
  <si>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</si>
  <si>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</si>
  <si>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</si>
  <si>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</si>
  <si>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</si>
  <si>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</si>
  <si>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</si>
  <si>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</si>
  <si>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</si>
  <si>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</si>
  <si>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</si>
  <si>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</si>
  <si>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</si>
  <si>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</si>
  <si>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</si>
  <si>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</si>
  <si>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</si>
  <si>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</si>
  <si>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</si>
  <si>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</si>
  <si>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</si>
  <si>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</si>
  <si>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</si>
  <si>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</si>
  <si>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</si>
  <si>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</si>
  <si>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</si>
  <si>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</si>
  <si>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</si>
  <si>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</si>
  <si>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</si>
  <si>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</si>
  <si>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</si>
  <si>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</si>
  <si>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</si>
  <si>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</si>
  <si>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</si>
  <si>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</si>
  <si>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</si>
  <si>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</si>
  <si>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</si>
  <si>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</si>
  <si>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</si>
  <si>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</si>
  <si>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</si>
  <si>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</si>
  <si>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</si>
  <si>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</si>
  <si>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</si>
  <si>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</si>
  <si>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</si>
  <si>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</si>
  <si>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</si>
  <si>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</si>
  <si>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</si>
  <si>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</si>
  <si>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</si>
  <si>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</si>
  <si>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</si>
  <si>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</si>
  <si>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</si>
  <si>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</si>
  <si>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</si>
  <si>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</si>
  <si>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</si>
  <si>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</si>
  <si>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</si>
  <si>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</si>
  <si>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</si>
  <si>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</si>
  <si>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</si>
  <si>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</si>
  <si>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</si>
  <si>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</si>
  <si>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</si>
  <si>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</si>
  <si>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</si>
  <si>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</si>
  <si>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</si>
  <si>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</si>
  <si>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</si>
  <si>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</si>
  <si>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</si>
  <si>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</si>
  <si>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</si>
  <si>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</si>
  <si>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</si>
  <si>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</si>
  <si>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</si>
  <si>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</si>
  <si>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</si>
  <si>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</si>
  <si>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</si>
  <si>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</si>
  <si>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</si>
  <si>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</si>
  <si>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</si>
  <si>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</si>
  <si>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</si>
  <si>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</si>
  <si>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</si>
  <si>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</si>
  <si>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</si>
  <si>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</si>
  <si>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</si>
  <si>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</si>
  <si>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</si>
  <si>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</si>
  <si>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</si>
  <si>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</si>
  <si>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</si>
  <si>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</si>
  <si>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</si>
  <si>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</si>
  <si>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</si>
  <si>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</si>
  <si>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</si>
  <si>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</si>
  <si>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</si>
  <si>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</si>
  <si>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</si>
  <si>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</si>
  <si>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</si>
  <si>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</si>
  <si>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</si>
  <si>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</si>
  <si>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</si>
  <si>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</si>
  <si>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</si>
  <si>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</si>
  <si>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</si>
  <si>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</si>
  <si>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</si>
  <si>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</si>
  <si>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</si>
  <si>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</si>
  <si>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</si>
  <si>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</si>
  <si>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</si>
  <si>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</si>
  <si>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</si>
  <si>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</si>
  <si>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</si>
  <si>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</si>
  <si>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</si>
  <si>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</si>
  <si>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</si>
  <si>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</si>
  <si>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</si>
  <si>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</si>
  <si>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</si>
  <si>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</si>
  <si>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</si>
  <si>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</si>
  <si>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</si>
  <si>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</si>
  <si>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</si>
  <si>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</si>
  <si>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</si>
  <si>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</si>
  <si>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</si>
  <si>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</si>
  <si>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</si>
  <si>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</si>
  <si>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</si>
  <si>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</si>
  <si>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</si>
  <si>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</si>
  <si>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</si>
  <si>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</si>
  <si>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</si>
  <si>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</si>
  <si>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</si>
  <si>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</si>
  <si>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</si>
  <si>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</si>
  <si>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</si>
  <si>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</si>
  <si>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</si>
  <si>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</si>
  <si>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</si>
  <si>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</si>
  <si>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</si>
  <si>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</si>
  <si>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</si>
  <si>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</si>
  <si>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</si>
  <si>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</si>
  <si>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</si>
  <si>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</si>
  <si>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</si>
  <si>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</si>
  <si>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</si>
  <si>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</si>
  <si>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</si>
  <si>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</si>
  <si>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</si>
  <si>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</si>
  <si>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</si>
  <si>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</si>
  <si>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</si>
  <si>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</si>
  <si>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</si>
  <si>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</si>
  <si>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</si>
  <si>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</si>
  <si>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</si>
  <si>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</si>
  <si>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</si>
  <si>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</si>
  <si>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</si>
  <si>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</si>
  <si>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</si>
  <si>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</si>
  <si>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</si>
  <si>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</si>
  <si>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</si>
  <si>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</si>
  <si>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</si>
  <si>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</si>
  <si>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</si>
  <si>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</si>
  <si>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</si>
  <si>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</si>
  <si>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</si>
  <si>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</si>
  <si>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</si>
  <si>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</si>
  <si>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</si>
  <si>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</si>
  <si>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</si>
  <si>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</si>
  <si>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</si>
  <si>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</si>
  <si>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</si>
  <si>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</si>
  <si>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</si>
  <si>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</si>
  <si>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</si>
  <si>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</si>
  <si>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</si>
  <si>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</si>
  <si>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</si>
  <si>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</si>
  <si>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</si>
  <si>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</si>
  <si>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</si>
  <si>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</si>
  <si>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</si>
  <si>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</si>
  <si>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</si>
  <si>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</si>
  <si>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</si>
  <si>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</si>
  <si>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</si>
  <si>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</si>
  <si>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</si>
  <si>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</si>
  <si>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</si>
  <si>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</si>
  <si>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</si>
  <si>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</si>
  <si>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</si>
  <si>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</si>
  <si>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</si>
  <si>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</si>
  <si>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</si>
  <si>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</si>
  <si>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</si>
  <si>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</si>
  <si>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</si>
  <si>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</si>
  <si>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</si>
  <si>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</si>
  <si>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</si>
  <si>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</si>
  <si>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</si>
  <si>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</si>
  <si>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</si>
  <si>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</si>
  <si>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</si>
  <si>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</si>
  <si>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</si>
  <si>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</si>
  <si>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</si>
  <si>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</si>
  <si>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</si>
  <si>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</si>
  <si>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</si>
  <si>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</si>
  <si>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</si>
  <si>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</si>
  <si>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</si>
  <si>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</si>
  <si>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</si>
  <si>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</si>
  <si>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</si>
  <si>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</si>
  <si>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</si>
  <si>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</si>
  <si>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</si>
  <si>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</si>
  <si>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</si>
  <si>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</si>
  <si>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</si>
  <si>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</si>
  <si>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</si>
  <si>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</si>
  <si>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</si>
  <si>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</si>
  <si>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</si>
  <si>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</si>
  <si>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</si>
  <si>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</si>
  <si>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</si>
  <si>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</si>
  <si>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</si>
  <si>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</si>
  <si>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</si>
  <si>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</si>
  <si>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</si>
  <si>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</si>
  <si>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</si>
  <si>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</si>
  <si>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</si>
  <si>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</si>
  <si>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</si>
  <si>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</si>
  <si>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</si>
  <si>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</si>
  <si>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</si>
  <si>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</si>
  <si>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</si>
  <si>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</si>
  <si>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</si>
  <si>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</si>
  <si>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</si>
  <si>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</si>
  <si>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</si>
  <si>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</si>
  <si>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</si>
  <si>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</si>
  <si>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</si>
  <si>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</si>
  <si>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</si>
  <si>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</si>
  <si>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</si>
  <si>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</si>
  <si>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</si>
  <si>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</si>
  <si>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</si>
  <si>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</si>
  <si>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</si>
  <si>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</si>
  <si>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</si>
  <si>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</si>
  <si>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</si>
  <si>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</si>
  <si>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</si>
  <si>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</si>
  <si>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</si>
  <si>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</si>
  <si>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</si>
  <si>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</si>
  <si>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</si>
  <si>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</si>
  <si>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</si>
  <si>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</si>
  <si>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</si>
  <si>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</si>
  <si>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</si>
  <si>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</si>
  <si>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</si>
  <si>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</si>
  <si>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</si>
  <si>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</si>
  <si>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</si>
  <si>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</si>
  <si>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</si>
  <si>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</si>
  <si>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</si>
  <si>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</si>
  <si>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</si>
  <si>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</si>
  <si>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</si>
  <si>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</si>
  <si>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</si>
  <si>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</si>
  <si>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</si>
  <si>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</si>
  <si>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</si>
  <si>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</si>
  <si>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</si>
  <si>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</si>
  <si>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</si>
  <si>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</si>
  <si>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</si>
  <si>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</si>
  <si>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</si>
  <si>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</si>
  <si>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</si>
  <si>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</si>
  <si>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</si>
  <si>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</si>
  <si>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</si>
  <si>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</si>
  <si>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</si>
  <si>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</si>
  <si>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</si>
  <si>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</si>
  <si>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</si>
  <si>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</si>
  <si>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</si>
  <si>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</si>
  <si>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</si>
  <si>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</si>
  <si>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</si>
  <si>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</si>
  <si>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</si>
  <si>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</si>
  <si>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</si>
  <si>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</si>
  <si>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</si>
  <si>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</si>
  <si>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</si>
  <si>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</si>
  <si>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</si>
  <si>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</si>
  <si>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</si>
  <si>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</si>
  <si>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</si>
  <si>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</si>
  <si>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</si>
  <si>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</si>
  <si>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</si>
  <si>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</si>
  <si>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</si>
  <si>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</si>
  <si>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</si>
  <si>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</si>
  <si>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</si>
  <si>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</si>
  <si>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</si>
  <si>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</si>
  <si>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</si>
  <si>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</si>
  <si>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</si>
  <si>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</si>
  <si>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</si>
  <si>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</si>
  <si>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</si>
  <si>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</si>
  <si>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</si>
  <si>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</si>
  <si>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</si>
  <si>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</si>
  <si>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</si>
  <si>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</si>
  <si>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</si>
  <si>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</si>
  <si>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</si>
  <si>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</si>
  <si>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</si>
  <si>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</si>
  <si>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</si>
  <si>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</si>
  <si>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</si>
  <si>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</si>
  <si>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</si>
  <si>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</si>
  <si>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</si>
  <si>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</si>
  <si>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</si>
  <si>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</si>
  <si>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</si>
  <si>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</si>
  <si>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</si>
  <si>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</si>
  <si>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</si>
  <si>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</si>
  <si>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</si>
  <si>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</si>
  <si>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</si>
  <si>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</si>
  <si>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</si>
  <si>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</si>
  <si>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</si>
  <si>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</si>
  <si>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</si>
  <si>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</si>
  <si>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</si>
  <si>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</si>
  <si>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</si>
  <si>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</si>
  <si>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</si>
  <si>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</si>
  <si>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</si>
  <si>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</si>
  <si>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</si>
  <si>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</si>
  <si>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</si>
  <si>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</si>
  <si>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</si>
  <si>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</si>
  <si>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</si>
  <si>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</si>
  <si>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</si>
  <si>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</si>
  <si>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</si>
  <si>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</si>
  <si>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</si>
  <si>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</si>
  <si>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</si>
  <si>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</si>
  <si>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</si>
  <si>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</si>
  <si>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</si>
  <si>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</si>
  <si>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</si>
  <si>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</si>
  <si>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</si>
  <si>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</si>
  <si>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</si>
  <si>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</si>
  <si>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</si>
  <si>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</si>
  <si>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</si>
  <si>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</si>
  <si>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</si>
  <si>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</si>
  <si>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</si>
  <si>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</si>
  <si>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</si>
  <si>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</si>
  <si>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</si>
  <si>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</si>
  <si>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</si>
  <si>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</si>
  <si>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</si>
  <si>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</si>
  <si>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</si>
  <si>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</si>
  <si>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</si>
  <si>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</si>
  <si>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</si>
  <si>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</si>
  <si>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</si>
  <si>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</si>
  <si>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</si>
  <si>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</si>
  <si>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</si>
  <si>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</si>
  <si>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</si>
  <si>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</si>
  <si>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</si>
  <si>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</si>
  <si>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</si>
  <si>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</si>
  <si>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</si>
  <si>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</si>
  <si>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</si>
  <si>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</si>
  <si>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</si>
  <si>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</si>
  <si>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</si>
  <si>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</si>
  <si>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</si>
  <si>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</si>
  <si>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</si>
  <si>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</si>
  <si>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</si>
  <si>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</si>
  <si>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</si>
  <si>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</si>
  <si>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</si>
  <si>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</si>
  <si>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</si>
  <si>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</si>
  <si>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</si>
  <si>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</si>
  <si>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</si>
  <si>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</si>
  <si>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</si>
  <si>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</si>
  <si>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</si>
  <si>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</si>
  <si>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</si>
  <si>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</si>
  <si>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</si>
  <si>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</si>
  <si>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</si>
  <si>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</si>
  <si>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</si>
  <si>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</si>
  <si>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</si>
  <si>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</si>
  <si>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</si>
  <si>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</si>
  <si>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</si>
  <si>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</si>
  <si>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</si>
  <si>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</si>
  <si>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</si>
  <si>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</si>
  <si>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</si>
  <si>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</si>
  <si>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</si>
  <si>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</si>
  <si>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</si>
  <si>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</si>
  <si>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</si>
  <si>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</si>
  <si>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</si>
  <si>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</si>
  <si>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</si>
  <si>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</si>
  <si>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</si>
  <si>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</si>
  <si>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</si>
  <si>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</si>
  <si>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</si>
  <si>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</si>
  <si>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</si>
  <si>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</si>
  <si>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</si>
  <si>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</si>
  <si>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</si>
  <si>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</si>
  <si>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</si>
  <si>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</si>
  <si>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</si>
  <si>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</si>
  <si>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</si>
  <si>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</si>
  <si>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</si>
  <si>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</si>
  <si>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</si>
  <si>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</si>
  <si>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</si>
  <si>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</si>
  <si>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</si>
  <si>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</si>
  <si>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</si>
  <si>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</si>
  <si>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</si>
  <si>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</si>
  <si>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</si>
  <si>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</si>
  <si>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</si>
  <si>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</si>
  <si>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</si>
  <si>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</si>
  <si>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</si>
  <si>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</si>
  <si>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</si>
  <si>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</si>
  <si>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</si>
  <si>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</si>
  <si>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</si>
  <si>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</si>
  <si>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</si>
  <si>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</si>
  <si>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</si>
  <si>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</si>
  <si>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</si>
  <si>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</si>
  <si>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</si>
  <si>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</si>
  <si>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</si>
  <si>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</si>
  <si>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</si>
  <si>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</si>
  <si>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</si>
  <si>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</si>
  <si>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</si>
  <si>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</si>
  <si>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</si>
  <si>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</si>
  <si>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</si>
  <si>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</si>
  <si>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</si>
  <si>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</si>
  <si>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</si>
  <si>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</si>
  <si>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</si>
  <si>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</si>
  <si>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</si>
  <si>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</si>
  <si>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</si>
  <si>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</si>
  <si>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</si>
  <si>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</si>
  <si>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</si>
  <si>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</si>
  <si>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</si>
  <si>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</si>
  <si>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</si>
  <si>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</si>
  <si>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</si>
  <si>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</si>
  <si>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</si>
  <si>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</si>
  <si>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</si>
  <si>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</si>
  <si>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</si>
  <si>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</si>
  <si>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</si>
  <si>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</si>
  <si>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</si>
  <si>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</si>
  <si>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</si>
  <si>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</si>
  <si>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</si>
  <si>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</si>
  <si>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</si>
  <si>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</si>
  <si>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</si>
  <si>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</si>
  <si>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</si>
  <si>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</si>
  <si>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</si>
  <si>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</si>
  <si>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</si>
  <si>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</si>
  <si>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</si>
  <si>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</si>
  <si>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</si>
  <si>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</si>
  <si>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</si>
  <si>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</si>
  <si>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</si>
  <si>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</si>
  <si>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</si>
  <si>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</si>
  <si>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</si>
  <si>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</si>
  <si>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</si>
  <si>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</si>
  <si>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</si>
  <si>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</si>
  <si>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</si>
  <si>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</si>
  <si>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</si>
  <si>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</si>
  <si>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</si>
  <si>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</si>
  <si>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</si>
  <si>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</si>
  <si>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</si>
  <si>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</si>
  <si>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</si>
  <si>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</si>
  <si>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</si>
  <si>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</si>
  <si>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</si>
  <si>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</si>
  <si>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</si>
  <si>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</si>
  <si>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</si>
  <si>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</si>
  <si>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</si>
  <si>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</si>
  <si>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</si>
  <si>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</si>
  <si>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</si>
  <si>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</si>
  <si>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</si>
  <si>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</si>
  <si>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</si>
  <si>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</si>
  <si>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</si>
  <si>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</si>
  <si>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</si>
  <si>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</si>
  <si>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</si>
  <si>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</si>
  <si>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</si>
  <si>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</si>
  <si>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</si>
  <si>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</si>
  <si>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</si>
  <si>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</si>
  <si>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</si>
  <si>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</si>
  <si>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</si>
  <si>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</si>
  <si>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</si>
  <si>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</si>
  <si>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</si>
  <si>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</si>
  <si>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</si>
  <si>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</si>
  <si>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</si>
  <si>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</si>
  <si>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</si>
  <si>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</si>
  <si>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</si>
  <si>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</si>
  <si>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</si>
  <si>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</si>
  <si>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</si>
  <si>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</si>
  <si>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</si>
  <si>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</si>
  <si>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</si>
  <si>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</si>
  <si>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</si>
  <si>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</si>
  <si>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</si>
  <si>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</si>
  <si>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</si>
  <si>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</si>
  <si>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</si>
  <si>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</si>
  <si>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</si>
  <si>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</si>
  <si>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</si>
  <si>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</si>
  <si>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</si>
  <si>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</si>
  <si>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</si>
  <si>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</si>
  <si>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</si>
  <si>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</si>
  <si>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</si>
  <si>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</si>
  <si>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</si>
  <si>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</si>
  <si>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</si>
  <si>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</si>
  <si>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</si>
  <si>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</si>
  <si>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</si>
  <si>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</si>
  <si>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</si>
  <si>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</si>
  <si>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</si>
  <si>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</si>
  <si>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</si>
  <si>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</si>
  <si>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</si>
  <si>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</si>
  <si>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</si>
  <si>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</si>
  <si>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</si>
  <si>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</si>
  <si>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</si>
  <si>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</si>
  <si>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</si>
  <si>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</si>
  <si>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</si>
  <si>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</si>
  <si>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</si>
  <si>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</si>
  <si>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</si>
  <si>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</si>
  <si>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</si>
  <si>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</si>
  <si>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</si>
  <si>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</si>
  <si>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</si>
  <si>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</si>
  <si>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</si>
  <si>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</si>
  <si>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</si>
  <si>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</si>
  <si>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</si>
  <si>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</si>
  <si>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</si>
  <si>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</si>
  <si>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</si>
  <si>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</si>
  <si>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</si>
  <si>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</si>
  <si>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</si>
  <si>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</si>
  <si>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</si>
  <si>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</si>
  <si>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</si>
  <si>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</si>
  <si>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</si>
  <si>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</si>
  <si>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</si>
  <si>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</si>
  <si>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</si>
  <si>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</si>
  <si>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</si>
  <si>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</si>
  <si>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</si>
  <si>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</si>
  <si>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</si>
  <si>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</si>
  <si>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</si>
  <si>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</si>
  <si>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</si>
  <si>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</si>
  <si>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</si>
  <si>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</si>
  <si>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</si>
  <si>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</si>
  <si>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</si>
  <si>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</si>
  <si>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</si>
  <si>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</si>
  <si>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</si>
  <si>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</si>
  <si>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</si>
  <si>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</si>
  <si>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</si>
  <si>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</si>
  <si>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</si>
  <si>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</si>
  <si>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</si>
  <si>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</si>
  <si>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</si>
  <si>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</si>
  <si>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</si>
  <si>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</si>
  <si>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</si>
  <si>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</si>
  <si>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</si>
  <si>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</si>
  <si>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</si>
  <si>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</si>
  <si>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</si>
  <si>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</si>
  <si>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</si>
  <si>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</si>
  <si>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</si>
  <si>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</si>
  <si>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</si>
  <si>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</si>
  <si>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</si>
  <si>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</si>
  <si>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</si>
  <si>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</si>
  <si>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</si>
  <si>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</si>
  <si>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</si>
  <si>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</si>
  <si>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</si>
  <si>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</si>
  <si>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</si>
  <si>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</si>
  <si>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</si>
  <si>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</si>
  <si>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</si>
  <si>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</si>
  <si>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</si>
  <si>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</si>
  <si>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</si>
  <si>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</si>
  <si>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</si>
  <si>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</si>
  <si>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</si>
  <si>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</si>
  <si>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</si>
  <si>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</si>
  <si>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</si>
  <si>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</si>
  <si>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</si>
  <si>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</si>
  <si>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</si>
  <si>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</si>
  <si>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</si>
  <si>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</si>
  <si>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</si>
  <si>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</si>
  <si>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</si>
  <si>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</si>
  <si>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</si>
  <si>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</si>
  <si>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</si>
  <si>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</si>
  <si>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</si>
  <si>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</si>
  <si>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</si>
  <si>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</si>
  <si>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</si>
  <si>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</si>
  <si>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</si>
  <si>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</si>
  <si>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</si>
  <si>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</si>
  <si>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</si>
  <si>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</si>
  <si>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</si>
  <si>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</si>
  <si>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</si>
  <si>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</si>
  <si>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</si>
  <si>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</si>
  <si>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</si>
  <si>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</si>
  <si>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</si>
  <si>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</si>
  <si>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</si>
  <si>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</si>
  <si>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</si>
  <si>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</si>
  <si>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</si>
  <si>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</si>
  <si>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</si>
  <si>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</si>
  <si>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</si>
  <si>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</si>
  <si>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</si>
  <si>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</si>
  <si>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</si>
  <si>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</si>
  <si>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</si>
  <si>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</si>
  <si>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</si>
  <si>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</si>
  <si>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</si>
  <si>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</si>
  <si>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</si>
  <si>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</si>
  <si>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</si>
  <si>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</si>
  <si>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</si>
  <si>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</si>
  <si>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</si>
  <si>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</si>
  <si>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</si>
  <si>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</si>
  <si>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Hillcrest Hall</t>
  </si>
  <si>
    <t xml:space="preserve">1122 Broadway, Suite 300 </t>
  </si>
  <si>
    <t>(619) 578-7569</t>
  </si>
  <si>
    <t>619) 578-7356</t>
  </si>
  <si>
    <t>colinm@sdhc.org</t>
  </si>
  <si>
    <t>San Diego Housing Commission</t>
  </si>
  <si>
    <t>1601 University Avenue, San Diego,CA 92103</t>
  </si>
  <si>
    <t>452-193-01-00, 452-193-02-00, 452-193-03-00, 452-193-04-00.</t>
  </si>
  <si>
    <t>40%/60%</t>
  </si>
  <si>
    <t>4915 Gambier Street</t>
  </si>
  <si>
    <t>CA</t>
  </si>
  <si>
    <t>Michael Miller</t>
  </si>
  <si>
    <t>650-464-1319</t>
  </si>
  <si>
    <t>mike@boldcommunities.org</t>
  </si>
  <si>
    <t>Bold Communities</t>
  </si>
  <si>
    <t>CRP Hillcrest Hall AGP LLC</t>
  </si>
  <si>
    <t>122 E 42nd Street, suite 1903</t>
  </si>
  <si>
    <t>New York</t>
  </si>
  <si>
    <t>NY</t>
  </si>
  <si>
    <t>Paul Salib</t>
  </si>
  <si>
    <t>212-776-1914</t>
  </si>
  <si>
    <t>psalib@crpaffordable.com</t>
  </si>
  <si>
    <t>Administrative GP</t>
  </si>
  <si>
    <t>Managing GP</t>
  </si>
  <si>
    <t>CRP Affordable Housing and Community Development LLC</t>
  </si>
  <si>
    <t>Seth Sterneck</t>
  </si>
  <si>
    <t>646-518-7280</t>
  </si>
  <si>
    <t>ssterneck@crpaffordable.com</t>
  </si>
  <si>
    <t>Developer</t>
  </si>
  <si>
    <t>New York, NY 10168</t>
  </si>
  <si>
    <t>Hobson Bernardino + Davis LLP</t>
  </si>
  <si>
    <t>6060 Center Drive, Floor 10</t>
  </si>
  <si>
    <t>Los Angeles, CA 90045</t>
  </si>
  <si>
    <t>Jason Hobson</t>
  </si>
  <si>
    <t>213-235-9191</t>
  </si>
  <si>
    <t>jhobson@hbdlegal.com</t>
  </si>
  <si>
    <t>Ironcore Construction LLC</t>
  </si>
  <si>
    <t>4429 Morena Boulevard, Suite A</t>
  </si>
  <si>
    <t xml:space="preserve"> San Diego  CA 92127</t>
  </si>
  <si>
    <t>Elliot V Jones</t>
  </si>
  <si>
    <t>(619) 378-7878</t>
  </si>
  <si>
    <t xml:space="preserve">Ejones@ironcorecc.com </t>
  </si>
  <si>
    <t>Partner Energy</t>
  </si>
  <si>
    <t>980 Knox St. Suite 150</t>
  </si>
  <si>
    <t>Los Angeles, Ca 90502</t>
  </si>
  <si>
    <t>Kelsey Shaw</t>
  </si>
  <si>
    <t>310-356-2199</t>
  </si>
  <si>
    <t>kshaw@ptrenergy.com</t>
  </si>
  <si>
    <t>Novogradac Consulting LLP</t>
  </si>
  <si>
    <t>6700 Antioch Rd #450</t>
  </si>
  <si>
    <t>Merriam, Kansas 66204</t>
  </si>
  <si>
    <t>Thomas Stagg</t>
  </si>
  <si>
    <t>515-519-1234</t>
  </si>
  <si>
    <t>thomas.stagg@novoco.com</t>
  </si>
  <si>
    <t>Rachel Denton</t>
  </si>
  <si>
    <t>913-312-4612</t>
  </si>
  <si>
    <t>rachel.denton@novoco.com</t>
  </si>
  <si>
    <t>Other (Specify below)</t>
  </si>
  <si>
    <t>2700 sft</t>
  </si>
  <si>
    <t>Community Commercial (CC-3-8)/ 72.6 units per acre</t>
  </si>
  <si>
    <t>Hyder &amp; Company</t>
  </si>
  <si>
    <t xml:space="preserve">1649 Capalina Road, Suite 500 </t>
  </si>
  <si>
    <t>San Marcos, CA 92069</t>
  </si>
  <si>
    <t xml:space="preserve"> (760) 591-9737</t>
  </si>
  <si>
    <t>Kyle Beach</t>
  </si>
  <si>
    <t>kbeach@hyderco.com</t>
  </si>
  <si>
    <t>City of San Diego PLHA Funds</t>
  </si>
  <si>
    <t>Architect Orange</t>
  </si>
  <si>
    <t>8 Story High-rise</t>
  </si>
  <si>
    <t>75 Feet</t>
  </si>
  <si>
    <t>Citibank Tax Exempt Loan</t>
  </si>
  <si>
    <t>Citibank Taxable Loan</t>
  </si>
  <si>
    <t>City of San Diego Bridge To HOME</t>
  </si>
  <si>
    <t>Deferred Costs</t>
  </si>
  <si>
    <t>Federal LIHTC Equity</t>
  </si>
  <si>
    <t>State LIHTC Equity</t>
  </si>
  <si>
    <t>Citibank Permanent Loan</t>
  </si>
  <si>
    <t>(Worker Comp, Benefits, 401K)</t>
  </si>
  <si>
    <t>Other: (Off Site Improvements + Bond Premium)</t>
  </si>
  <si>
    <t>Other: (Employment Recording)</t>
  </si>
  <si>
    <t>Other: (Legal for Perm Loan)</t>
  </si>
  <si>
    <t>Other: (Investor Legal+ Bond issuer Legal+ MGP LEGAL)</t>
  </si>
  <si>
    <t>Other: (CDLAC Fee)</t>
  </si>
  <si>
    <t>Other: (Miscellaenous Third Party Cost)</t>
  </si>
  <si>
    <t>Other: (Predevelopment loan Interest)</t>
  </si>
  <si>
    <t>(App.Fees, Late, etc)</t>
  </si>
  <si>
    <t>The project is in a Parking Transit Standards Priority Area - is not required to provide parking stalls</t>
  </si>
  <si>
    <t>1122 Broadway, Suite 300</t>
  </si>
  <si>
    <t>San Diego, CA 92101</t>
  </si>
  <si>
    <t>Maurcell Gresham</t>
  </si>
  <si>
    <t>(619) 231-9400</t>
  </si>
  <si>
    <t>maurcell@sdhc.org</t>
  </si>
  <si>
    <t>144 N. Orange</t>
  </si>
  <si>
    <t>Orange, CA 92866</t>
  </si>
  <si>
    <t>RC Alley</t>
  </si>
  <si>
    <t>(714) 639 9860</t>
  </si>
  <si>
    <t>RCA@aoarchitects.com</t>
  </si>
  <si>
    <t>Mr. Colin Miller</t>
  </si>
  <si>
    <t>Other Electric</t>
  </si>
  <si>
    <t>President</t>
  </si>
  <si>
    <t>Variable</t>
  </si>
  <si>
    <t>300 South Grand Avenue, Suite 3110</t>
  </si>
  <si>
    <t>Los Angeles, CA 90071</t>
  </si>
  <si>
    <t>Hao Li</t>
  </si>
  <si>
    <t>(213) 239-1914</t>
  </si>
  <si>
    <t>Marcell Gresham</t>
  </si>
  <si>
    <t>(619) 231 9400</t>
  </si>
  <si>
    <t xml:space="preserve">4429 Morena Boulevard, Suite A </t>
  </si>
  <si>
    <t>San Diego CA 92117</t>
  </si>
  <si>
    <t>Private</t>
  </si>
  <si>
    <t>1200 Third Avenue, Ste 1400</t>
  </si>
  <si>
    <t>Christina Bibler</t>
  </si>
  <si>
    <t>619-236-6700</t>
  </si>
  <si>
    <t>Public</t>
  </si>
  <si>
    <t>1200 Third Avenue Ste 1400</t>
  </si>
  <si>
    <t>(619) 236-6700</t>
  </si>
  <si>
    <t>San Diego , CA 92101</t>
  </si>
  <si>
    <t>619-231-9400</t>
  </si>
  <si>
    <t>City of San Diego</t>
  </si>
  <si>
    <t>Other (SDHC Issuer And Monitoring Fee):</t>
  </si>
  <si>
    <t>Partnership Fee</t>
  </si>
  <si>
    <t>City of San Diego Bridge to HOME + San Diego Housing Commission</t>
  </si>
  <si>
    <t>LP Distribution</t>
  </si>
  <si>
    <t>GP Distribution</t>
  </si>
  <si>
    <t xml:space="preserve">CREA LLC </t>
  </si>
  <si>
    <t>E. Smith &amp; Company, Inc.</t>
  </si>
  <si>
    <t>800 Third Avenue, Suite 3700</t>
  </si>
  <si>
    <t>New York, NY 10022</t>
  </si>
  <si>
    <t>Neala Martin</t>
  </si>
  <si>
    <t xml:space="preserve">212-405-2652					</t>
  </si>
  <si>
    <t xml:space="preserve">nmartin@creallc.com										</t>
  </si>
  <si>
    <t>212-405-2652</t>
  </si>
  <si>
    <t>Fixed</t>
  </si>
  <si>
    <t>1601 University Ave LLC</t>
  </si>
  <si>
    <t>Joel Hammer</t>
  </si>
  <si>
    <t>Authorized Signatory</t>
  </si>
  <si>
    <t>Vice President, Multihousing Finance</t>
  </si>
  <si>
    <t>Reese A. Jarrett</t>
  </si>
  <si>
    <t>2720 5th Avenue, Suite L</t>
  </si>
  <si>
    <t>Incorporated</t>
  </si>
  <si>
    <t>Provided</t>
  </si>
  <si>
    <t>Not Applicable</t>
  </si>
  <si>
    <t>122 E 42nd Street, suite 1903, NY 10168</t>
  </si>
  <si>
    <t>E.Smith &amp; Company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</si>
</sst>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_-;\-* #,##0.00_-;_-* &quot;-&quot;??_-;_-@_-"/>
  </numFmts>
  <fonts count="1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i/>
      <sz val="11"/>
      <name val="Arial"/>
      <family val="2"/>
    </font>
    <font>
      <b/>
      <sz val="12"/>
      <color theme="1"/>
      <name val="Arial"/>
      <family val="2"/>
    </font>
    <font>
      <u/>
      <sz val="11"/>
      <color theme="10"/>
      <name val="Arial"/>
      <family val="2"/>
    </font>
    <font>
      <u/>
      <sz val="7.5"/>
      <color indexed="12"/>
      <name val="Arial"/>
      <family val="2"/>
    </font>
    <font>
      <sz val="11"/>
      <color rgb="FF9C0006"/>
      <name val="Arial"/>
      <family val="2"/>
    </font>
    <font>
      <sz val="11"/>
      <color rgb="FF006100"/>
      <name val="Arial"/>
      <family val="2"/>
    </font>
    <font>
      <u/>
      <sz val="10"/>
      <color theme="10"/>
      <name val="Arial"/>
      <family val="2"/>
    </font>
    <font>
      <sz val="11"/>
      <color rgb="FF9C6500"/>
      <name val="Arial"/>
      <family val="2"/>
    </font>
    <font>
      <u/>
      <sz val="11"/>
      <color theme="10"/>
      <name val="Calibri"/>
      <family val="2"/>
      <scheme val="minor"/>
    </font>
    <font>
      <sz val="11"/>
      <color indexed="8"/>
      <name val="Arial"/>
      <family val="2"/>
    </font>
    <font>
      <b/>
      <sz val="11"/>
      <color indexed="8"/>
      <name val="Arial"/>
      <family val="2"/>
    </font>
    <font>
      <sz val="20"/>
      <color indexed="9"/>
      <name val="Calibri"/>
      <family val="2"/>
    </font>
    <font>
      <u/>
      <sz val="11"/>
      <color indexed="12"/>
      <name val="Calibri"/>
      <family val="2"/>
    </font>
    <font>
      <sz val="12"/>
      <color theme="1"/>
      <name val="Calibri"/>
      <family val="2"/>
      <scheme val="minor"/>
    </font>
    <font>
      <sz val="12"/>
      <name val="Arial MT"/>
    </font>
  </fonts>
  <fills count="64">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theme="8" tint="0.79998168889431442"/>
        <bgColor indexed="64"/>
      </patternFill>
    </fill>
    <fill>
      <patternFill patternType="solid">
        <fgColor theme="0" tint="-0.14996795556505021"/>
        <bgColor indexed="64"/>
      </patternFill>
    </fill>
    <fill>
      <patternFill patternType="solid">
        <fgColor indexed="26"/>
        <bgColor indexed="64"/>
      </patternFill>
    </fill>
    <fill>
      <patternFill patternType="solid">
        <fgColor indexed="27"/>
        <bgColor indexed="64"/>
      </patternFill>
    </fill>
    <fill>
      <patternFill patternType="solid">
        <fgColor indexed="45"/>
        <bgColor indexed="64"/>
      </patternFill>
    </fill>
    <fill>
      <patternFill patternType="solid">
        <fgColor indexed="49"/>
        <bgColor indexed="64"/>
      </patternFill>
    </fill>
    <fill>
      <patternFill patternType="solid">
        <fgColor indexed="8"/>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4221">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4"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7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8" fillId="58" borderId="11">
      <alignment horizontal="left" vertical="center" wrapText="1"/>
    </xf>
    <xf numFmtId="0" fontId="7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4" fillId="0" borderId="0"/>
    <xf numFmtId="0" fontId="14" fillId="0" borderId="0"/>
    <xf numFmtId="0" fontId="15" fillId="0" borderId="0" applyNumberFormat="0" applyFill="0" applyBorder="0" applyAlignment="0" applyProtection="0"/>
    <xf numFmtId="0" fontId="191" fillId="0" borderId="0"/>
    <xf numFmtId="0" fontId="14" fillId="0" borderId="0"/>
    <xf numFmtId="43" fontId="1" fillId="0" borderId="0" applyFont="0" applyFill="0" applyBorder="0" applyAlignment="0" applyProtection="0"/>
    <xf numFmtId="2" fontId="187" fillId="59" borderId="11">
      <alignment horizontal="left" vertical="center"/>
      <protection locked="0"/>
    </xf>
    <xf numFmtId="0" fontId="75" fillId="0" borderId="0"/>
    <xf numFmtId="168" fontId="187" fillId="59" borderId="11">
      <alignment horizontal="left" vertical="top" wrapText="1" indent="2"/>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75" fillId="0" borderId="0"/>
    <xf numFmtId="9" fontId="1" fillId="0" borderId="0" applyFont="0" applyFill="0" applyBorder="0" applyAlignment="0" applyProtection="0"/>
    <xf numFmtId="0" fontId="190" fillId="0" borderId="0" applyNumberFormat="0" applyFill="0" applyBorder="0" applyAlignment="0" applyProtection="0"/>
    <xf numFmtId="0" fontId="14" fillId="0" borderId="0"/>
    <xf numFmtId="0" fontId="75" fillId="0" borderId="0"/>
    <xf numFmtId="0" fontId="188" fillId="60" borderId="11">
      <alignment horizontal="left" vertical="center" wrapText="1"/>
    </xf>
    <xf numFmtId="0" fontId="96" fillId="49" borderId="11" applyNumberFormat="0">
      <alignment horizontal="left" vertical="top" wrapText="1"/>
      <protection locked="0"/>
    </xf>
    <xf numFmtId="0" fontId="14" fillId="0" borderId="0"/>
    <xf numFmtId="44" fontId="14" fillId="0" borderId="0" applyFont="0" applyFill="0" applyBorder="0" applyAlignment="0" applyProtection="0"/>
    <xf numFmtId="0" fontId="75" fillId="0" borderId="0"/>
    <xf numFmtId="2" fontId="187" fillId="59" borderId="11">
      <alignment horizontal="left" vertical="center"/>
      <protection locked="0"/>
    </xf>
    <xf numFmtId="0" fontId="1" fillId="0" borderId="0"/>
    <xf numFmtId="0" fontId="62" fillId="62" borderId="11">
      <alignment horizontal="center" vertical="center"/>
    </xf>
    <xf numFmtId="0" fontId="96" fillId="57" borderId="11">
      <alignment horizontal="left" vertical="center" wrapText="1"/>
    </xf>
    <xf numFmtId="0" fontId="75" fillId="0" borderId="0"/>
    <xf numFmtId="0" fontId="14" fillId="0" borderId="0"/>
    <xf numFmtId="0" fontId="96" fillId="57" borderId="11">
      <alignment horizontal="left" vertical="center" wrapText="1"/>
    </xf>
    <xf numFmtId="0" fontId="75" fillId="0" borderId="0"/>
    <xf numFmtId="0" fontId="182" fillId="35" borderId="0" applyNumberFormat="0" applyBorder="0" applyAlignment="0" applyProtection="0"/>
    <xf numFmtId="43" fontId="1" fillId="0" borderId="0" applyFont="0" applyFill="0" applyBorder="0" applyAlignment="0" applyProtection="0"/>
    <xf numFmtId="0" fontId="1" fillId="0" borderId="0"/>
    <xf numFmtId="0" fontId="14" fillId="0" borderId="0"/>
    <xf numFmtId="0" fontId="75" fillId="0" borderId="0"/>
    <xf numFmtId="0" fontId="66" fillId="0" borderId="0" applyNumberFormat="0" applyFill="0" applyBorder="0" applyAlignment="0" applyProtection="0"/>
    <xf numFmtId="0" fontId="96" fillId="57" borderId="11">
      <alignment horizontal="left" vertical="center" wrapText="1"/>
    </xf>
    <xf numFmtId="0" fontId="75" fillId="0" borderId="0"/>
    <xf numFmtId="0" fontId="59" fillId="0" borderId="0">
      <alignment vertical="top"/>
    </xf>
    <xf numFmtId="0" fontId="1" fillId="0" borderId="0"/>
    <xf numFmtId="0" fontId="59" fillId="0" borderId="0"/>
    <xf numFmtId="0" fontId="75" fillId="0" borderId="0"/>
    <xf numFmtId="0" fontId="96" fillId="57" borderId="11">
      <alignment horizontal="left" vertical="center" wrapText="1"/>
    </xf>
    <xf numFmtId="0" fontId="75" fillId="0" borderId="0"/>
    <xf numFmtId="0" fontId="1" fillId="0" borderId="0"/>
    <xf numFmtId="0" fontId="14" fillId="0" borderId="0"/>
    <xf numFmtId="0" fontId="188" fillId="60" borderId="11">
      <alignment horizontal="left" vertical="center" wrapText="1"/>
    </xf>
    <xf numFmtId="0" fontId="185" fillId="40" borderId="0" applyNumberFormat="0" applyBorder="0" applyAlignment="0" applyProtection="0"/>
    <xf numFmtId="0" fontId="180" fillId="0" borderId="0" applyNumberFormat="0" applyFill="0" applyBorder="0" applyAlignment="0" applyProtection="0">
      <alignment horizontal="left" vertical="center"/>
    </xf>
    <xf numFmtId="10" fontId="187" fillId="59" borderId="11">
      <alignment horizontal="left" vertical="center"/>
      <protection locked="0"/>
    </xf>
    <xf numFmtId="0" fontId="1" fillId="0" borderId="0"/>
    <xf numFmtId="0" fontId="183" fillId="38"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86" fillId="0" borderId="0" applyNumberFormat="0" applyFill="0" applyBorder="0" applyAlignment="0" applyProtection="0"/>
    <xf numFmtId="0" fontId="1" fillId="0" borderId="0"/>
    <xf numFmtId="0" fontId="187" fillId="60" borderId="11">
      <alignment horizontal="left" vertical="center" wrapText="1"/>
    </xf>
    <xf numFmtId="0" fontId="75" fillId="0" borderId="0"/>
    <xf numFmtId="0" fontId="75" fillId="0" borderId="0"/>
    <xf numFmtId="0" fontId="96" fillId="49" borderId="11" applyNumberFormat="0">
      <alignment horizontal="left" vertical="top" wrapText="1"/>
      <protection locked="0"/>
    </xf>
    <xf numFmtId="0" fontId="187" fillId="60" borderId="11">
      <alignment horizontal="left" vertical="center" wrapText="1"/>
    </xf>
    <xf numFmtId="0" fontId="75" fillId="0" borderId="0"/>
    <xf numFmtId="9" fontId="96" fillId="0" borderId="0" applyFont="0" applyFill="0" applyBorder="0" applyAlignment="0" applyProtection="0"/>
    <xf numFmtId="0" fontId="96" fillId="49" borderId="11" applyNumberFormat="0">
      <alignment horizontal="left" vertical="top" wrapText="1"/>
      <protection locked="0"/>
    </xf>
    <xf numFmtId="43" fontId="59" fillId="0" borderId="0" applyFont="0" applyFill="0" applyBorder="0" applyAlignment="0" applyProtection="0"/>
    <xf numFmtId="0" fontId="1" fillId="0" borderId="0"/>
    <xf numFmtId="0" fontId="59" fillId="0" borderId="0"/>
    <xf numFmtId="0" fontId="187" fillId="60" borderId="11">
      <alignment horizontal="left" vertical="center" wrapText="1"/>
    </xf>
    <xf numFmtId="0" fontId="14" fillId="0" borderId="0"/>
    <xf numFmtId="0" fontId="1" fillId="0" borderId="0"/>
    <xf numFmtId="0" fontId="14"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66" fillId="61" borderId="0">
      <alignment horizontal="center"/>
    </xf>
    <xf numFmtId="43" fontId="75" fillId="0" borderId="0" applyFont="0" applyFill="0" applyBorder="0" applyAlignment="0" applyProtection="0"/>
    <xf numFmtId="0" fontId="1" fillId="0" borderId="0"/>
    <xf numFmtId="0" fontId="96" fillId="0" borderId="0"/>
    <xf numFmtId="0" fontId="190" fillId="0" borderId="0" applyNumberFormat="0" applyFill="0" applyBorder="0" applyAlignment="0" applyProtection="0"/>
    <xf numFmtId="0" fontId="75" fillId="0" borderId="0"/>
    <xf numFmtId="0" fontId="96" fillId="49" borderId="11" applyNumberFormat="0">
      <alignment horizontal="left" vertical="top" wrapText="1"/>
      <protection locked="0"/>
    </xf>
    <xf numFmtId="0" fontId="14" fillId="0" borderId="0"/>
    <xf numFmtId="0" fontId="14" fillId="0" borderId="0"/>
    <xf numFmtId="0" fontId="75" fillId="0" borderId="0"/>
    <xf numFmtId="0" fontId="71" fillId="0" borderId="0"/>
    <xf numFmtId="37" fontId="192" fillId="0" borderId="0"/>
    <xf numFmtId="0" fontId="14" fillId="0" borderId="0"/>
    <xf numFmtId="44" fontId="59" fillId="0" borderId="0" applyFont="0" applyFill="0" applyBorder="0" applyAlignment="0" applyProtection="0"/>
    <xf numFmtId="0" fontId="179" fillId="0" borderId="0" applyNumberFormat="0" applyFill="0" applyBorder="0" applyProtection="0">
      <alignment horizontal="center" vertical="center"/>
    </xf>
    <xf numFmtId="0" fontId="75" fillId="0" borderId="0"/>
    <xf numFmtId="0" fontId="96" fillId="57" borderId="11">
      <alignment horizontal="left" vertical="center" wrapText="1"/>
    </xf>
    <xf numFmtId="0" fontId="75" fillId="0" borderId="0"/>
    <xf numFmtId="0" fontId="14" fillId="0" borderId="0"/>
    <xf numFmtId="9" fontId="14" fillId="0" borderId="0" applyFont="0" applyFill="0" applyBorder="0" applyAlignment="0" applyProtection="0"/>
    <xf numFmtId="0" fontId="135" fillId="57" borderId="11">
      <alignment horizontal="left" vertical="center" wrapText="1"/>
    </xf>
    <xf numFmtId="0" fontId="75" fillId="0" borderId="0"/>
    <xf numFmtId="0" fontId="65" fillId="0" borderId="0"/>
    <xf numFmtId="0" fontId="178" fillId="2" borderId="11">
      <alignment horizontal="left" vertical="center" wrapText="1"/>
    </xf>
    <xf numFmtId="0" fontId="14" fillId="0" borderId="0"/>
    <xf numFmtId="0" fontId="14" fillId="0" borderId="0"/>
    <xf numFmtId="0" fontId="135" fillId="57" borderId="11">
      <alignment horizontal="left" vertical="center" wrapText="1"/>
    </xf>
    <xf numFmtId="43" fontId="191" fillId="0" borderId="0" applyFont="0" applyFill="0" applyBorder="0" applyAlignment="0" applyProtection="0"/>
    <xf numFmtId="0" fontId="14" fillId="0" borderId="0"/>
    <xf numFmtId="0" fontId="187" fillId="60" borderId="11">
      <alignment horizontal="left" vertical="center" wrapText="1"/>
    </xf>
    <xf numFmtId="0" fontId="178" fillId="2" borderId="11">
      <alignment horizontal="left" vertical="center" wrapText="1"/>
    </xf>
    <xf numFmtId="0" fontId="15" fillId="0" borderId="0" applyNumberFormat="0" applyFill="0" applyBorder="0" applyAlignment="0" applyProtection="0"/>
    <xf numFmtId="0" fontId="120" fillId="0" borderId="0"/>
    <xf numFmtId="0" fontId="14" fillId="0" borderId="0"/>
    <xf numFmtId="9" fontId="14" fillId="0" borderId="0" applyFont="0" applyFill="0" applyBorder="0" applyAlignment="0" applyProtection="0"/>
    <xf numFmtId="0" fontId="181" fillId="0" borderId="0" applyNumberFormat="0" applyFill="0" applyBorder="0" applyAlignment="0" applyProtection="0">
      <alignment vertical="top"/>
      <protection locked="0"/>
    </xf>
    <xf numFmtId="0" fontId="190" fillId="0" borderId="0" applyNumberFormat="0" applyFill="0" applyBorder="0" applyAlignment="0" applyProtection="0"/>
    <xf numFmtId="0" fontId="14" fillId="0" borderId="0"/>
    <xf numFmtId="0" fontId="14" fillId="0" borderId="0"/>
    <xf numFmtId="0" fontId="75" fillId="0" borderId="0"/>
    <xf numFmtId="0" fontId="62" fillId="62" borderId="11">
      <alignment horizontal="center" vertical="center"/>
    </xf>
    <xf numFmtId="0" fontId="1" fillId="0" borderId="0"/>
    <xf numFmtId="43" fontId="75" fillId="0" borderId="0" applyFont="0" applyFill="0" applyBorder="0" applyAlignment="0" applyProtection="0"/>
    <xf numFmtId="0" fontId="135" fillId="57" borderId="11">
      <alignment horizontal="left" vertical="center" wrapText="1"/>
    </xf>
    <xf numFmtId="0" fontId="75" fillId="0" borderId="0"/>
    <xf numFmtId="0" fontId="14" fillId="0" borderId="0"/>
    <xf numFmtId="0" fontId="1" fillId="0" borderId="0"/>
    <xf numFmtId="0" fontId="14" fillId="0" borderId="0"/>
    <xf numFmtId="0" fontId="75" fillId="0" borderId="0"/>
    <xf numFmtId="0" fontId="96" fillId="0" borderId="0"/>
    <xf numFmtId="169" fontId="60" fillId="0" borderId="0"/>
    <xf numFmtId="0" fontId="15" fillId="0" borderId="0" applyNumberFormat="0" applyFill="0" applyBorder="0" applyAlignment="0" applyProtection="0"/>
    <xf numFmtId="0" fontId="14" fillId="0" borderId="0"/>
    <xf numFmtId="0" fontId="96" fillId="0" borderId="0"/>
    <xf numFmtId="0" fontId="96" fillId="0" borderId="0">
      <alignment horizontal="left" vertical="center"/>
    </xf>
    <xf numFmtId="43" fontId="1" fillId="0" borderId="0" applyFont="0" applyFill="0" applyBorder="0" applyAlignment="0" applyProtection="0"/>
    <xf numFmtId="0" fontId="75" fillId="0" borderId="0"/>
    <xf numFmtId="0" fontId="14" fillId="0" borderId="0"/>
    <xf numFmtId="0" fontId="187" fillId="59" borderId="11" applyNumberFormat="0">
      <alignment horizontal="left" vertical="top" wrapText="1"/>
      <protection locked="0"/>
    </xf>
    <xf numFmtId="0" fontId="75" fillId="0" borderId="0"/>
    <xf numFmtId="0" fontId="187" fillId="59" borderId="11" applyNumberFormat="0">
      <alignment horizontal="left" vertical="top" wrapText="1"/>
      <protection locked="0"/>
    </xf>
    <xf numFmtId="0" fontId="1" fillId="0" borderId="0"/>
    <xf numFmtId="0" fontId="178" fillId="2" borderId="11">
      <alignment horizontal="left" vertical="center" wrapText="1"/>
    </xf>
    <xf numFmtId="0" fontId="75" fillId="0" borderId="0"/>
    <xf numFmtId="0" fontId="75" fillId="0" borderId="0"/>
    <xf numFmtId="168" fontId="187" fillId="59" borderId="11">
      <alignment horizontal="left" vertical="top" wrapText="1" indent="2"/>
      <protection locked="0"/>
    </xf>
    <xf numFmtId="2" fontId="96" fillId="49" borderId="11">
      <alignment horizontal="left" vertical="center"/>
      <protection locked="0"/>
    </xf>
    <xf numFmtId="43" fontId="1" fillId="0" borderId="0" applyFont="0" applyFill="0" applyBorder="0" applyAlignment="0" applyProtection="0"/>
    <xf numFmtId="0" fontId="14" fillId="0" borderId="0"/>
    <xf numFmtId="14" fontId="187" fillId="59" borderId="11">
      <alignment horizontal="left" vertical="center"/>
      <protection locked="0"/>
    </xf>
    <xf numFmtId="14" fontId="187" fillId="59" borderId="11">
      <alignment horizontal="left" vertical="center"/>
      <protection locked="0"/>
    </xf>
    <xf numFmtId="185" fontId="75" fillId="0" borderId="0" applyFont="0" applyFill="0" applyBorder="0" applyAlignment="0" applyProtection="0"/>
    <xf numFmtId="0" fontId="75" fillId="0" borderId="0"/>
    <xf numFmtId="0" fontId="1" fillId="0" borderId="0"/>
    <xf numFmtId="0" fontId="189" fillId="63" borderId="0" applyNumberFormat="0" applyAlignment="0">
      <protection locked="0"/>
    </xf>
    <xf numFmtId="0" fontId="75" fillId="0" borderId="0"/>
    <xf numFmtId="0" fontId="187" fillId="59" borderId="11" applyNumberFormat="0">
      <alignment horizontal="left" vertical="top" wrapText="1"/>
      <protection locked="0"/>
    </xf>
    <xf numFmtId="0" fontId="120" fillId="0" borderId="0"/>
    <xf numFmtId="0" fontId="75" fillId="0" borderId="0"/>
    <xf numFmtId="0" fontId="96" fillId="0" borderId="0">
      <alignment horizontal="left" vertical="center"/>
    </xf>
    <xf numFmtId="0" fontId="14" fillId="0" borderId="0"/>
    <xf numFmtId="44" fontId="75" fillId="0" borderId="0" applyFont="0" applyFill="0" applyBorder="0" applyAlignment="0" applyProtection="0"/>
  </cellStyleXfs>
  <cellXfs count="2683">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166" fontId="23" fillId="5" borderId="6" xfId="0" applyNumberFormat="1" applyFont="1" applyFill="1" applyBorder="1" applyAlignment="1" applyProtection="1">
      <alignment horizontal="left"/>
      <protection locked="0"/>
    </xf>
    <xf numFmtId="166" fontId="14" fillId="5" borderId="6" xfId="0" applyNumberFormat="1" applyFont="1" applyFill="1" applyBorder="1" applyAlignment="1" applyProtection="1">
      <alignment horizontal="left"/>
      <protection locked="0"/>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6" fontId="14" fillId="5" borderId="4" xfId="0" applyNumberFormat="1"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1" fontId="23" fillId="5" borderId="11" xfId="0" applyNumberFormat="1" applyFont="1" applyFill="1" applyBorder="1" applyAlignment="1" applyProtection="1">
      <alignment horizontal="center"/>
      <protection locked="0"/>
    </xf>
    <xf numFmtId="0" fontId="23" fillId="0" borderId="11" xfId="0" applyFont="1" applyBorder="1" applyAlignment="1">
      <alignment horizontal="center" vertical="top" wrapText="1"/>
    </xf>
    <xf numFmtId="0" fontId="21" fillId="0" borderId="0" xfId="0" applyFont="1" applyAlignment="1">
      <alignment horizontal="center" vertic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42" fillId="10" borderId="0" xfId="543" applyNumberFormat="1" applyFont="1" applyFill="1" applyAlignment="1">
      <alignment horizontal="left" vertical="center" wrapText="1"/>
    </xf>
    <xf numFmtId="168" fontId="170" fillId="0" borderId="0" xfId="0" applyNumberFormat="1" applyFont="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14" fillId="5" borderId="6" xfId="0" applyFont="1" applyFill="1" applyBorder="1" applyAlignment="1" applyProtection="1">
      <alignment horizontal="left"/>
      <protection locked="0"/>
    </xf>
    <xf numFmtId="0" fontId="23" fillId="5" borderId="6" xfId="0" applyFont="1" applyFill="1" applyBorder="1" applyAlignment="1" applyProtection="1">
      <alignment horizontal="left"/>
      <protection locked="0"/>
    </xf>
    <xf numFmtId="168" fontId="23"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0" fontId="23" fillId="5" borderId="4" xfId="0" applyFont="1" applyFill="1" applyBorder="1" applyAlignment="1" applyProtection="1">
      <alignment wrapText="1"/>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0" fontId="20" fillId="3" borderId="0" xfId="0" applyFont="1" applyFill="1" applyAlignment="1">
      <alignment horizontal="center" vertical="center"/>
    </xf>
    <xf numFmtId="166" fontId="23"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lef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3" fillId="5" borderId="4"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0" fillId="0" borderId="6" xfId="0" applyBorder="1" applyAlignment="1">
      <alignment horizontal="left"/>
    </xf>
    <xf numFmtId="0" fontId="14" fillId="5" borderId="11" xfId="0" applyFont="1" applyFill="1" applyBorder="1" applyAlignment="1" applyProtection="1">
      <alignment horizontal="left" wrapText="1"/>
      <protection locked="0"/>
    </xf>
    <xf numFmtId="172" fontId="21" fillId="0" borderId="11" xfId="0" applyNumberFormat="1" applyFont="1" applyBorder="1" applyAlignment="1">
      <alignment horizontal="center" vertical="center" wrapText="1"/>
    </xf>
    <xf numFmtId="0" fontId="14" fillId="5" borderId="4" xfId="0" applyFont="1" applyFill="1" applyBorder="1" applyAlignment="1" applyProtection="1">
      <alignment wrapText="1"/>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0" fillId="0" borderId="11" xfId="0" applyBorder="1" applyAlignment="1">
      <alignment horizontal="center"/>
    </xf>
    <xf numFmtId="0" fontId="14" fillId="0" borderId="1" xfId="0" applyFont="1" applyBorder="1" applyAlignment="1">
      <alignment horizontal="center" vertical="top" wrapText="1"/>
    </xf>
    <xf numFmtId="0" fontId="23" fillId="0" borderId="11"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2" borderId="11" xfId="0" applyFont="1" applyFill="1" applyBorder="1" applyAlignment="1">
      <alignment horizontal="center"/>
    </xf>
    <xf numFmtId="0" fontId="14" fillId="0" borderId="11" xfId="0" applyFont="1" applyBorder="1" applyAlignment="1">
      <alignment horizontal="center"/>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3" fillId="0" borderId="3" xfId="0" applyFont="1" applyBorder="1" applyAlignment="1">
      <alignment horizontal="center"/>
    </xf>
    <xf numFmtId="0" fontId="23" fillId="0" borderId="5" xfId="0" applyFont="1" applyBorder="1" applyAlignment="1">
      <alignment horizontal="center"/>
    </xf>
    <xf numFmtId="0" fontId="23"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4" fillId="0" borderId="11" xfId="543" applyNumberFormat="1" applyBorder="1" applyAlignment="1">
      <alignment horizontal="center"/>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22"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33" fillId="0" borderId="3" xfId="543" applyFont="1" applyBorder="1" applyAlignment="1">
      <alignment horizontal="center"/>
    </xf>
    <xf numFmtId="0" fontId="33"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3" fillId="5" borderId="3" xfId="0" applyNumberFormat="1" applyFont="1" applyFill="1" applyBorder="1" applyAlignment="1" applyProtection="1">
      <alignment horizontal="lef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21"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4" fontId="22" fillId="5" borderId="4"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center"/>
      <protection locked="0"/>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43"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0" fillId="0" borderId="3" xfId="0" applyBorder="1" applyAlignment="1">
      <alignment horizontal="left"/>
    </xf>
    <xf numFmtId="0" fontId="0" fillId="0" borderId="4" xfId="0" applyBorder="1" applyAlignment="1">
      <alignment horizontal="left"/>
    </xf>
    <xf numFmtId="0" fontId="21" fillId="0" borderId="2" xfId="0" applyFont="1" applyBorder="1" applyAlignment="1">
      <alignment horizontal="right"/>
    </xf>
    <xf numFmtId="0" fontId="21"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9" fontId="14" fillId="5" borderId="3" xfId="0" applyNumberFormat="1" applyFont="1" applyFill="1" applyBorder="1" applyAlignment="1" applyProtection="1">
      <alignment horizontal="right"/>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14" fillId="0" borderId="0" xfId="543" applyAlignment="1">
      <alignment horizontal="center"/>
    </xf>
    <xf numFmtId="2" fontId="14"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4" fillId="5" borderId="3" xfId="0"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21" fillId="0" borderId="1"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2" fillId="5" borderId="5" xfId="0" applyNumberFormat="1" applyFont="1" applyFill="1" applyBorder="1" applyAlignment="1" applyProtection="1">
      <alignment horizontal="left"/>
      <protection locked="0"/>
    </xf>
    <xf numFmtId="0" fontId="21" fillId="0" borderId="12" xfId="0" applyFont="1" applyBorder="1" applyAlignment="1">
      <alignment horizontal="center" wrapText="1"/>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0" fontId="0" fillId="0" borderId="3" xfId="0" applyBorder="1"/>
    <xf numFmtId="0" fontId="0" fillId="0" borderId="4" xfId="0" applyBorder="1"/>
    <xf numFmtId="0" fontId="0" fillId="0" borderId="5" xfId="0" applyBorder="1"/>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4" fontId="0" fillId="5" borderId="6" xfId="0" applyNumberForma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0" fillId="43" borderId="4" xfId="0" applyFill="1" applyBorder="1" applyAlignment="1" applyProtection="1">
      <alignment horizontal="center"/>
      <protection locked="0"/>
    </xf>
    <xf numFmtId="0" fontId="14" fillId="5" borderId="11" xfId="0" applyFont="1" applyFill="1" applyBorder="1" applyAlignment="1" applyProtection="1">
      <alignment vertical="center" wrapText="1"/>
      <protection locked="0"/>
    </xf>
    <xf numFmtId="0" fontId="14" fillId="5" borderId="11" xfId="0" applyFon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4" fillId="0" borderId="3" xfId="0" applyFont="1" applyBorder="1"/>
    <xf numFmtId="0" fontId="14" fillId="0" borderId="4" xfId="0" applyFont="1" applyBorder="1"/>
    <xf numFmtId="0" fontId="14" fillId="0" borderId="5" xfId="0" applyFont="1" applyBorder="1"/>
    <xf numFmtId="0" fontId="0" fillId="0" borderId="9" xfId="0" applyBorder="1" applyAlignment="1">
      <alignment horizontal="left"/>
    </xf>
    <xf numFmtId="171" fontId="14" fillId="0" borderId="0" xfId="543" applyNumberFormat="1" applyAlignment="1">
      <alignment horizontal="right"/>
    </xf>
    <xf numFmtId="0" fontId="21" fillId="0" borderId="6" xfId="0" applyFont="1" applyBorder="1" applyAlignment="1">
      <alignment horizontal="center"/>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3" fillId="0" borderId="3" xfId="0" applyFont="1" applyBorder="1" applyAlignment="1">
      <alignment horizontal="left"/>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5" borderId="3" xfId="0" quotePrefix="1" applyFill="1" applyBorder="1" applyAlignment="1" applyProtection="1">
      <alignment horizontal="right"/>
      <protection locked="0"/>
    </xf>
    <xf numFmtId="0" fontId="21" fillId="5"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14" fillId="5" borderId="4" xfId="0" applyNumberFormat="1" applyFont="1" applyFill="1" applyBorder="1" applyAlignment="1" applyProtection="1">
      <alignment horizontal="right"/>
      <protection locked="0"/>
    </xf>
    <xf numFmtId="10" fontId="23" fillId="5" borderId="4" xfId="0" applyNumberFormat="1" applyFont="1" applyFill="1" applyBorder="1" applyAlignment="1" applyProtection="1">
      <alignment horizontal="right"/>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14"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4" xfId="0" applyFont="1" applyBorder="1" applyAlignment="1">
      <alignment horizontal="center"/>
    </xf>
    <xf numFmtId="0" fontId="21" fillId="0" borderId="5" xfId="0" applyFont="1" applyBorder="1" applyAlignment="1">
      <alignment horizontal="center"/>
    </xf>
    <xf numFmtId="166" fontId="14" fillId="5" borderId="6" xfId="0" applyNumberFormat="1" applyFont="1" applyFill="1" applyBorder="1" applyAlignment="1" applyProtection="1">
      <alignment horizontal="left"/>
      <protection locked="0"/>
    </xf>
    <xf numFmtId="166" fontId="14" fillId="5" borderId="4" xfId="271" applyNumberFormat="1" applyFon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8" fontId="0" fillId="0" borderId="6" xfId="0" applyNumberFormat="1" applyBorder="1" applyAlignment="1">
      <alignment horizontal="center"/>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14" fillId="0" borderId="6" xfId="0" applyFont="1" applyBorder="1" applyAlignment="1">
      <alignment horizontal="left"/>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14" fillId="43" borderId="6" xfId="0" applyFont="1" applyFill="1" applyBorder="1" applyAlignment="1" applyProtection="1">
      <alignment vertical="center"/>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0" fontId="14" fillId="5" borderId="0" xfId="244" applyFont="1" applyFill="1" applyBorder="1" applyAlignment="1" applyProtection="1">
      <alignment horizontal="left"/>
      <protection locked="0"/>
    </xf>
    <xf numFmtId="0" fontId="23" fillId="0" borderId="6" xfId="0" applyFont="1" applyBorder="1" applyAlignment="1">
      <alignment horizontal="left"/>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68" fontId="14" fillId="5" borderId="6"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0" fontId="21" fillId="0" borderId="10" xfId="0" applyFont="1" applyBorder="1" applyAlignment="1">
      <alignment horizontal="center"/>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21" fillId="0" borderId="3" xfId="0" applyFont="1" applyBorder="1" applyAlignment="1">
      <alignment horizontal="center"/>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3" fontId="23" fillId="5" borderId="11" xfId="0" applyNumberFormat="1" applyFont="1" applyFill="1" applyBorder="1" applyAlignment="1" applyProtection="1">
      <alignment horizontal="center"/>
      <protection locked="0"/>
    </xf>
    <xf numFmtId="0" fontId="21" fillId="0" borderId="11" xfId="0" applyFont="1" applyBorder="1" applyAlignment="1">
      <alignment horizontal="center" vertical="center"/>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3" fillId="5" borderId="11" xfId="0" applyFont="1" applyFill="1" applyBorder="1" applyAlignment="1" applyProtection="1">
      <alignment horizontal="center"/>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14" fillId="43" borderId="4" xfId="0" applyFont="1" applyFill="1" applyBorder="1" applyAlignment="1" applyProtection="1">
      <alignment horizontal="left" wrapText="1"/>
      <protection locked="0"/>
    </xf>
    <xf numFmtId="3" fontId="23" fillId="0" borderId="11" xfId="0" applyNumberFormat="1" applyFont="1" applyBorder="1" applyAlignment="1">
      <alignment horizontal="center"/>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1" fontId="23" fillId="5" borderId="6" xfId="0" applyNumberFormat="1" applyFont="1" applyFill="1" applyBorder="1" applyAlignment="1" applyProtection="1">
      <alignment horizontal="right"/>
      <protection locked="0"/>
    </xf>
    <xf numFmtId="1" fontId="23" fillId="5" borderId="11" xfId="0" quotePrefix="1"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0" borderId="9" xfId="0" applyFont="1" applyBorder="1" applyAlignment="1">
      <alignment horizontal="center"/>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23" fillId="0" borderId="11" xfId="0" applyNumberFormat="1" applyFont="1" applyBorder="1" applyAlignment="1">
      <alignment horizontal="center"/>
    </xf>
    <xf numFmtId="10" fontId="0" fillId="5" borderId="4" xfId="0" applyNumberFormat="1" applyFill="1" applyBorder="1" applyAlignment="1" applyProtection="1">
      <alignment horizontal="center"/>
      <protection locked="0"/>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14" fillId="5" borderId="6" xfId="0" applyFont="1" applyFill="1" applyBorder="1" applyAlignment="1" applyProtection="1">
      <alignment horizontal="left" vertical="top" wrapText="1"/>
      <protection locked="0"/>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34221">
    <cellStyle name="01 #" xfId="34205" xr:uid="{9B413578-33A0-4401-A1C1-62E17C7FC791}"/>
    <cellStyle name="01 # 2" xfId="34072" xr:uid="{9D9B8FC8-BE79-4C5C-901C-01B533E5E0E7}"/>
    <cellStyle name="01 #_Dropdowns" xfId="34087" xr:uid="{DC581C40-6352-4B20-80F3-46B324A99AAE}"/>
    <cellStyle name="01 $" xfId="34204" xr:uid="{3E5560F3-47D3-430E-931B-43095A02B353}"/>
    <cellStyle name="01 $ 2" xfId="34074" xr:uid="{C1FCF760-575B-463C-A7E4-27D6F1F25C6F}"/>
    <cellStyle name="01 %" xfId="34114" xr:uid="{D0DE7486-95ED-4E58-9383-91663C4751ED}"/>
    <cellStyle name="01 DATE" xfId="34208" xr:uid="{4D87EFB1-B762-453E-8BB4-EC07A79363F6}"/>
    <cellStyle name="01 DATE 2" xfId="34209" xr:uid="{CA7288C0-BCB1-4E36-8D98-0BB37C89CA8D}"/>
    <cellStyle name="01 TEXT" xfId="34128" xr:uid="{ED76F828-9F0E-494D-A78E-BA592FF8D370}"/>
    <cellStyle name="01 TEXT 2" xfId="34145" xr:uid="{A76613FD-3437-4648-A17C-2567CD64A412}"/>
    <cellStyle name="01 TEXT 2 2" xfId="34083" xr:uid="{1BC33D75-6393-4556-88D5-BF65A6394B74}"/>
    <cellStyle name="01 TEXT 2 2 2" xfId="34124" xr:uid="{E0A70658-BFB0-4F68-978F-BAAEACC31704}"/>
    <cellStyle name="01 TEXT 2 2_Dropdowns" xfId="34197" xr:uid="{0C0B66CD-3440-4442-93A8-E9B87C22FEA2}"/>
    <cellStyle name="01 TEXT 2_Dropdowns" xfId="34199" xr:uid="{94546A6B-9E97-4027-A5EC-E582BDE54352}"/>
    <cellStyle name="01 TEXT_Dropdowns" xfId="34215" xr:uid="{B17F0646-7B9A-404E-89BF-FD14EB5968C9}"/>
    <cellStyle name="02 Prompt" xfId="34168" xr:uid="{1962DF7D-8C50-496F-B48D-751DCFB070F6}"/>
    <cellStyle name="02 Prompt 2" xfId="34090" xr:uid="{1AE73FD5-0363-4AC8-BFD3-FB09FBBEC853}"/>
    <cellStyle name="02 Prompt 2 2" xfId="34093" xr:uid="{0450DDCE-C1B9-482F-985A-48BE4FB405C7}"/>
    <cellStyle name="02 Prompt 2 3" xfId="34101" xr:uid="{17A338E0-59E8-40F7-909C-E9BAC47D40E3}"/>
    <cellStyle name="02 Prompt 2 3 2" xfId="34155" xr:uid="{2B46195B-10E7-4AB2-9410-7A188F2BFA66}"/>
    <cellStyle name="02 Prompt 2 3 2 2" xfId="34107" xr:uid="{D2BAC5DD-7F9A-4CB7-A75B-0B1B13398347}"/>
    <cellStyle name="02 Prompt 2 3 2_Dropdowns" xfId="34132" xr:uid="{323B0A5E-A4B7-48A9-B406-D1574E936241}"/>
    <cellStyle name="02 Prompt 2 3_Dropdowns" xfId="34125" xr:uid="{A20A3FC9-C58D-424B-8C4B-E24549B4E686}"/>
    <cellStyle name="02 Prompt 2_Dropdowns" xfId="34121" xr:uid="{30B1DDE0-6808-4D28-936E-FF3470451ED4}"/>
    <cellStyle name="02 Prompt TITLE" xfId="34111" xr:uid="{E53DA755-0B2B-4511-A66D-CD13EF51EB3F}"/>
    <cellStyle name="02 Prompt TITLE 2" xfId="34182" xr:uid="{98332D77-B465-4269-AA10-33A2B8764949}"/>
    <cellStyle name="02 Prompt TITLE 2 2" xfId="34159" xr:uid="{C1488ED8-0EA9-4614-BA3D-260ADE9CE95F}"/>
    <cellStyle name="02 Prompt TITLE 2 3" xfId="34165" xr:uid="{2EFF42AA-59F3-44DF-9697-6302AD44A076}"/>
    <cellStyle name="02 Prompt TITLE 2_Dropdowns" xfId="34082" xr:uid="{C163F544-2045-4192-839F-C4F4F1B3EDD9}"/>
    <cellStyle name="03 Notes" xfId="34201" xr:uid="{454C85C1-2EC5-4888-9A6A-CAB08AD87905}"/>
    <cellStyle name="03 Notes 2" xfId="28094" xr:uid="{B48E88E0-DF21-4591-97AE-6AD6C5E10188}"/>
    <cellStyle name="03 Notes 2 2" xfId="34162" xr:uid="{4811A9D7-8CFF-4E03-9B07-389219B70282}"/>
    <cellStyle name="03 Notes 2_Dropdowns" xfId="34169" xr:uid="{540DB769-7791-4EB4-BA2C-9636003A7674}"/>
    <cellStyle name="05 Warning Text 2" xfId="34100" xr:uid="{5105B1DD-C6F5-49FF-BB9B-9F8387C751F7}"/>
    <cellStyle name="20% - Accent1" xfId="1" builtinId="30" customBuiltin="1"/>
    <cellStyle name="20% - Accent1 10" xfId="4505" xr:uid="{00000000-0005-0000-0000-000001000000}"/>
    <cellStyle name="20% - Accent1 10 2" xfId="21388" xr:uid="{211ACC0E-281F-4C6D-82A1-B38F21FA59C4}"/>
    <cellStyle name="20% - Accent1 10 3" xfId="29834" xr:uid="{C59E2E56-B2F9-4964-A101-D03C1A6B7A80}"/>
    <cellStyle name="20% - Accent1 10 4" xfId="12947" xr:uid="{BCBC53B5-CF36-494A-99C5-D2A2A9616259}"/>
    <cellStyle name="20% - Accent1 11" xfId="17170" xr:uid="{AA8E5E99-1145-45D7-A00B-2EEB4A495072}"/>
    <cellStyle name="20% - Accent1 12" xfId="25612" xr:uid="{E5142D93-A48C-44A8-B810-3B50A1265858}"/>
    <cellStyle name="20% - Accent1 13" xfId="8729" xr:uid="{919F7232-35A5-49CF-828A-1C68EEF248FC}"/>
    <cellStyle name="20% - Accent1 2" xfId="2" xr:uid="{00000000-0005-0000-0000-000002000000}"/>
    <cellStyle name="20% - Accent1 2 10" xfId="17171" xr:uid="{86CD0FC0-29F2-4808-A6D2-89C5631694A5}"/>
    <cellStyle name="20% - Accent1 2 11" xfId="25613" xr:uid="{B4EDDBAD-47F1-484C-BA3E-2F34126674D0}"/>
    <cellStyle name="20% - Accent1 2 12" xfId="8730" xr:uid="{F2F42389-5438-4AF8-84F7-C86A75BA0381}"/>
    <cellStyle name="20% - Accent1 2 2" xfId="3" xr:uid="{00000000-0005-0000-0000-000003000000}"/>
    <cellStyle name="20% - Accent1 2 2 10" xfId="25614" xr:uid="{6AD4829E-A7B1-4BEE-8878-F0F2CCD7A57B}"/>
    <cellStyle name="20% - Accent1 2 2 11" xfId="8731" xr:uid="{5ECCB3BF-5B9E-49BE-B0B6-E6DBFED3FCB3}"/>
    <cellStyle name="20% - Accent1 2 2 2" xfId="4" xr:uid="{00000000-0005-0000-0000-000004000000}"/>
    <cellStyle name="20% - Accent1 2 2 2 10" xfId="8732" xr:uid="{4554AB9F-82DB-472E-9014-18B982AE7996}"/>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23950" xr:uid="{16DB1FDC-79A7-47F2-BEDD-E4170615CDF2}"/>
    <cellStyle name="20% - Accent1 2 2 2 2 2 2 3" xfId="32396" xr:uid="{81FF10F6-B125-49E0-9FF6-43061E50FEE8}"/>
    <cellStyle name="20% - Accent1 2 2 2 2 2 2 4" xfId="15509" xr:uid="{7922E081-4175-4FFB-A224-7B87BCB69DD0}"/>
    <cellStyle name="20% - Accent1 2 2 2 2 2 3" xfId="19732" xr:uid="{585E6196-4B04-447E-8869-803CF6B1EF01}"/>
    <cellStyle name="20% - Accent1 2 2 2 2 2 4" xfId="28179" xr:uid="{DE04A6BD-CC8F-468F-BE27-69295C9234A8}"/>
    <cellStyle name="20% - Accent1 2 2 2 2 2 5" xfId="11291" xr:uid="{DB2156C9-54F9-46B1-B4AE-7D47CEA26BDE}"/>
    <cellStyle name="20% - Accent1 2 2 2 2 3" xfId="4922" xr:uid="{00000000-0005-0000-0000-000008000000}"/>
    <cellStyle name="20% - Accent1 2 2 2 2 3 2" xfId="21805" xr:uid="{13053019-6748-47F0-A99A-C682174F173A}"/>
    <cellStyle name="20% - Accent1 2 2 2 2 3 3" xfId="30251" xr:uid="{3229813E-6FF0-4D40-A415-85C7B6CF52F0}"/>
    <cellStyle name="20% - Accent1 2 2 2 2 3 4" xfId="13364" xr:uid="{2A1D23F1-48CF-442F-9405-A056DEF024FC}"/>
    <cellStyle name="20% - Accent1 2 2 2 2 4" xfId="17587" xr:uid="{E4166538-6F9C-438C-8463-2EFD70D08570}"/>
    <cellStyle name="20% - Accent1 2 2 2 2 5" xfId="26032" xr:uid="{3382E4C0-9DA6-4E3C-B675-489054776FFB}"/>
    <cellStyle name="20% - Accent1 2 2 2 2 6" xfId="9146" xr:uid="{1A93A966-B72B-48A9-8C59-E00425F23AD8}"/>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24363" xr:uid="{115D57FE-08DD-4109-A9F1-0AF19233A4A7}"/>
    <cellStyle name="20% - Accent1 2 2 2 3 2 2 3" xfId="32809" xr:uid="{822F76FC-14B7-4CE0-92CC-FD06436B2F52}"/>
    <cellStyle name="20% - Accent1 2 2 2 3 2 2 4" xfId="15922" xr:uid="{585BBF5A-62BA-47E7-B211-5F98BD4823AE}"/>
    <cellStyle name="20% - Accent1 2 2 2 3 2 3" xfId="20145" xr:uid="{E6E9BBEC-FAFE-4BE5-A41F-F0FEA33A75BB}"/>
    <cellStyle name="20% - Accent1 2 2 2 3 2 4" xfId="28592" xr:uid="{DD005FD8-76EE-4CF1-9BE3-3BF450056A5F}"/>
    <cellStyle name="20% - Accent1 2 2 2 3 2 5" xfId="11704" xr:uid="{6BBF33A8-B670-4E12-87BC-C8058E1FB553}"/>
    <cellStyle name="20% - Accent1 2 2 2 3 3" xfId="5335" xr:uid="{00000000-0005-0000-0000-00000C000000}"/>
    <cellStyle name="20% - Accent1 2 2 2 3 3 2" xfId="22218" xr:uid="{A6C247D3-42B2-46C0-9932-72171A8B42E4}"/>
    <cellStyle name="20% - Accent1 2 2 2 3 3 3" xfId="30664" xr:uid="{EF55B531-140F-4B8B-B91D-545F8527C336}"/>
    <cellStyle name="20% - Accent1 2 2 2 3 3 4" xfId="13777" xr:uid="{242428A1-EDC5-4682-8410-94C8C0E4A013}"/>
    <cellStyle name="20% - Accent1 2 2 2 3 4" xfId="18000" xr:uid="{9998C7D6-6B50-4C58-A0C0-0BAB47BF51BA}"/>
    <cellStyle name="20% - Accent1 2 2 2 3 5" xfId="26445" xr:uid="{16244B27-5AC2-421F-A744-C9BF24495740}"/>
    <cellStyle name="20% - Accent1 2 2 2 3 6" xfId="9559" xr:uid="{FD783A9A-5026-4EA0-8C80-09CAA85AB512}"/>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24776" xr:uid="{6C3658AD-88A4-4F3D-908E-8A8E348C2E50}"/>
    <cellStyle name="20% - Accent1 2 2 2 4 2 2 3" xfId="33222" xr:uid="{4F7867EB-CC67-4440-9B8C-9194601A3C1B}"/>
    <cellStyle name="20% - Accent1 2 2 2 4 2 2 4" xfId="16335" xr:uid="{42125C44-87A4-4ED3-8DAF-1B48072CDC37}"/>
    <cellStyle name="20% - Accent1 2 2 2 4 2 3" xfId="20558" xr:uid="{6432C0E6-9846-45E2-8E6D-31BD054A25AB}"/>
    <cellStyle name="20% - Accent1 2 2 2 4 2 4" xfId="29005" xr:uid="{5D4E8F9B-4379-4125-95DB-52C03C91578D}"/>
    <cellStyle name="20% - Accent1 2 2 2 4 2 5" xfId="12117" xr:uid="{50C96DB8-F19B-4BA9-A019-0265E82FC676}"/>
    <cellStyle name="20% - Accent1 2 2 2 4 3" xfId="5748" xr:uid="{00000000-0005-0000-0000-000010000000}"/>
    <cellStyle name="20% - Accent1 2 2 2 4 3 2" xfId="22631" xr:uid="{03200E7E-857A-42CA-8390-99C16371EA8D}"/>
    <cellStyle name="20% - Accent1 2 2 2 4 3 3" xfId="31077" xr:uid="{F81FC21D-850E-4ED8-9CDB-82A1C2360D9D}"/>
    <cellStyle name="20% - Accent1 2 2 2 4 3 4" xfId="14190" xr:uid="{CC6591A9-C9BC-4D26-9120-FA79C8518E8D}"/>
    <cellStyle name="20% - Accent1 2 2 2 4 4" xfId="18413" xr:uid="{5F4E5547-8F8F-4B98-A9C7-6818BB40E884}"/>
    <cellStyle name="20% - Accent1 2 2 2 4 5" xfId="26858" xr:uid="{A8F6958C-96FB-4440-B401-DEFA0B351E2E}"/>
    <cellStyle name="20% - Accent1 2 2 2 4 6" xfId="9972" xr:uid="{131D2648-55CB-44D9-A459-B62D7AB88184}"/>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25189" xr:uid="{080E3561-6FC2-4FD7-BC08-132A276AD3B2}"/>
    <cellStyle name="20% - Accent1 2 2 2 5 2 2 3" xfId="33635" xr:uid="{651B5898-33FF-4112-A886-AF55249D81CC}"/>
    <cellStyle name="20% - Accent1 2 2 2 5 2 2 4" xfId="16748" xr:uid="{1766101E-A532-4B47-9F0B-45850ED5D7E7}"/>
    <cellStyle name="20% - Accent1 2 2 2 5 2 3" xfId="20971" xr:uid="{0219B5A3-259F-49D0-BA8A-09094E080146}"/>
    <cellStyle name="20% - Accent1 2 2 2 5 2 4" xfId="29418" xr:uid="{7CD38F72-4D8A-4335-88ED-3FF6672CDDE5}"/>
    <cellStyle name="20% - Accent1 2 2 2 5 2 5" xfId="12530" xr:uid="{D20B51CA-FDF8-4C0C-BB69-24695055F448}"/>
    <cellStyle name="20% - Accent1 2 2 2 5 3" xfId="6161" xr:uid="{00000000-0005-0000-0000-000014000000}"/>
    <cellStyle name="20% - Accent1 2 2 2 5 3 2" xfId="23044" xr:uid="{013A41DA-0768-49E6-A9B6-45895209920E}"/>
    <cellStyle name="20% - Accent1 2 2 2 5 3 3" xfId="31490" xr:uid="{837587FE-5517-4091-840B-22DA8293EF65}"/>
    <cellStyle name="20% - Accent1 2 2 2 5 3 4" xfId="14603" xr:uid="{1A777EB9-333B-4C51-A33B-713909A2806E}"/>
    <cellStyle name="20% - Accent1 2 2 2 5 4" xfId="18826" xr:uid="{DE8CC88F-FF5B-428E-B3C5-E64A2565A5A6}"/>
    <cellStyle name="20% - Accent1 2 2 2 5 5" xfId="27271" xr:uid="{401A683A-C306-44EC-B281-1FCA7AFCB319}"/>
    <cellStyle name="20% - Accent1 2 2 2 5 6" xfId="10385" xr:uid="{6851AEC4-8FE3-43A6-97E2-890E8F328A7E}"/>
    <cellStyle name="20% - Accent1 2 2 2 6" xfId="2267" xr:uid="{00000000-0005-0000-0000-000015000000}"/>
    <cellStyle name="20% - Accent1 2 2 2 6 2" xfId="6574" xr:uid="{00000000-0005-0000-0000-000016000000}"/>
    <cellStyle name="20% - Accent1 2 2 2 6 2 2" xfId="23457" xr:uid="{46070113-1C7E-4317-AD3A-5E6FEC355BE2}"/>
    <cellStyle name="20% - Accent1 2 2 2 6 2 3" xfId="31903" xr:uid="{418AD163-B618-4708-B60B-CEA0EDA3B194}"/>
    <cellStyle name="20% - Accent1 2 2 2 6 2 4" xfId="15016" xr:uid="{40F2E4CA-AC4C-4925-9596-01C9780E46E2}"/>
    <cellStyle name="20% - Accent1 2 2 2 6 3" xfId="19239" xr:uid="{AF18830D-3FA0-40E7-AC98-EDE3598C1EC1}"/>
    <cellStyle name="20% - Accent1 2 2 2 6 4" xfId="27684" xr:uid="{5115A1C2-0717-4A24-8325-AE8307C89927}"/>
    <cellStyle name="20% - Accent1 2 2 2 6 5" xfId="10798" xr:uid="{3088F5D2-0267-40EE-85B3-8920A4039718}"/>
    <cellStyle name="20% - Accent1 2 2 2 7" xfId="4508" xr:uid="{00000000-0005-0000-0000-000017000000}"/>
    <cellStyle name="20% - Accent1 2 2 2 7 2" xfId="21391" xr:uid="{91B5A3E4-E688-493E-BB73-7B80B77D72A4}"/>
    <cellStyle name="20% - Accent1 2 2 2 7 3" xfId="29837" xr:uid="{0EFAA0E7-FE26-40DF-A893-06583A6B2668}"/>
    <cellStyle name="20% - Accent1 2 2 2 7 4" xfId="12950" xr:uid="{270A763C-8CBA-4D29-A2B6-F838FBC420EB}"/>
    <cellStyle name="20% - Accent1 2 2 2 8" xfId="17173" xr:uid="{84C97B5D-EDC7-49E8-BA1E-B7EE5AE2DE4F}"/>
    <cellStyle name="20% - Accent1 2 2 2 9" xfId="25615" xr:uid="{8C1F31B4-DE1F-4E28-97A6-4E7AC82B28EE}"/>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23949" xr:uid="{036143EF-C72D-4F3E-AD59-6FAA8EA1B0A6}"/>
    <cellStyle name="20% - Accent1 2 2 3 2 2 3" xfId="32395" xr:uid="{18DC1B1E-891E-48B8-8A87-99B236599710}"/>
    <cellStyle name="20% - Accent1 2 2 3 2 2 4" xfId="15508" xr:uid="{32A053FD-B6E5-418D-AD8E-CF64A7A782E1}"/>
    <cellStyle name="20% - Accent1 2 2 3 2 3" xfId="19731" xr:uid="{9FDAD697-6D7F-4BF4-BF71-851EEEE1B4BC}"/>
    <cellStyle name="20% - Accent1 2 2 3 2 4" xfId="28178" xr:uid="{8131D257-CBA6-42CB-B07D-83DE64F58E07}"/>
    <cellStyle name="20% - Accent1 2 2 3 2 5" xfId="11290" xr:uid="{DEA13FF3-536C-4969-8981-65668CF97AA7}"/>
    <cellStyle name="20% - Accent1 2 2 3 3" xfId="4921" xr:uid="{00000000-0005-0000-0000-00001B000000}"/>
    <cellStyle name="20% - Accent1 2 2 3 3 2" xfId="21804" xr:uid="{80005D2E-D3AA-4AF1-B1DB-3842FA245230}"/>
    <cellStyle name="20% - Accent1 2 2 3 3 3" xfId="30250" xr:uid="{1535A5AF-CEBC-49D0-9552-762DB6BAF31E}"/>
    <cellStyle name="20% - Accent1 2 2 3 3 4" xfId="13363" xr:uid="{3700FDF2-9537-4E02-850F-5496EE18B301}"/>
    <cellStyle name="20% - Accent1 2 2 3 4" xfId="17586" xr:uid="{482D7710-FC40-473C-AE00-77350343B062}"/>
    <cellStyle name="20% - Accent1 2 2 3 5" xfId="26031" xr:uid="{C3BADC58-7978-48B9-8E5B-49CE15D52B31}"/>
    <cellStyle name="20% - Accent1 2 2 3 6" xfId="9145" xr:uid="{10658164-5A5C-45C1-8904-CA4DD58AC8FD}"/>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24362" xr:uid="{C3DF3AD2-2479-49DE-86CD-0B7C02D0D4D9}"/>
    <cellStyle name="20% - Accent1 2 2 4 2 2 3" xfId="32808" xr:uid="{5BB5F9F2-3E9E-44A0-B1AF-368C6D258023}"/>
    <cellStyle name="20% - Accent1 2 2 4 2 2 4" xfId="15921" xr:uid="{6C918B44-21D6-458D-8166-7A7FCF0C3BE3}"/>
    <cellStyle name="20% - Accent1 2 2 4 2 3" xfId="20144" xr:uid="{8D7B9DF4-EA7A-4194-815B-B8F43533883D}"/>
    <cellStyle name="20% - Accent1 2 2 4 2 4" xfId="28591" xr:uid="{2964968D-4559-497D-B0EF-487E36295570}"/>
    <cellStyle name="20% - Accent1 2 2 4 2 5" xfId="11703" xr:uid="{4DE91BC8-8ACB-4933-92BD-0607EAD0FC39}"/>
    <cellStyle name="20% - Accent1 2 2 4 3" xfId="5334" xr:uid="{00000000-0005-0000-0000-00001F000000}"/>
    <cellStyle name="20% - Accent1 2 2 4 3 2" xfId="22217" xr:uid="{65F61289-43A0-40F7-91D9-41380BD9B8BC}"/>
    <cellStyle name="20% - Accent1 2 2 4 3 3" xfId="30663" xr:uid="{49696A5C-E91A-440B-8BB3-4E41F2B1370B}"/>
    <cellStyle name="20% - Accent1 2 2 4 3 4" xfId="13776" xr:uid="{A6B4435B-BE97-4A75-8AA4-5208F634F389}"/>
    <cellStyle name="20% - Accent1 2 2 4 4" xfId="17999" xr:uid="{2AA9399F-0C60-4CE9-9E16-97026CEC55AF}"/>
    <cellStyle name="20% - Accent1 2 2 4 5" xfId="26444" xr:uid="{0C536A6A-481F-4AC7-ADA2-A096AC1683EB}"/>
    <cellStyle name="20% - Accent1 2 2 4 6" xfId="9558" xr:uid="{6858977C-607D-4E5F-89D1-1DAF07B24C0E}"/>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24775" xr:uid="{87831457-3669-4C74-A567-AA3BF770E431}"/>
    <cellStyle name="20% - Accent1 2 2 5 2 2 3" xfId="33221" xr:uid="{8090A17A-2EC4-492F-8BCF-2B85CC654F6B}"/>
    <cellStyle name="20% - Accent1 2 2 5 2 2 4" xfId="16334" xr:uid="{CAEB3488-35DA-44CA-9260-83EF73F34C3B}"/>
    <cellStyle name="20% - Accent1 2 2 5 2 3" xfId="20557" xr:uid="{BD9723B0-0BC2-443D-92D7-9EE74239B692}"/>
    <cellStyle name="20% - Accent1 2 2 5 2 4" xfId="29004" xr:uid="{D40D76AF-0719-4A70-80F5-69E7F307B056}"/>
    <cellStyle name="20% - Accent1 2 2 5 2 5" xfId="12116" xr:uid="{0ECE4988-F930-4B3F-881F-F6F0BADB4CE8}"/>
    <cellStyle name="20% - Accent1 2 2 5 3" xfId="5747" xr:uid="{00000000-0005-0000-0000-000023000000}"/>
    <cellStyle name="20% - Accent1 2 2 5 3 2" xfId="22630" xr:uid="{87EC949B-E1BC-47FD-A21A-767A692B606B}"/>
    <cellStyle name="20% - Accent1 2 2 5 3 3" xfId="31076" xr:uid="{0E92EAFC-2CA6-4D9C-9868-E4F66CE9E820}"/>
    <cellStyle name="20% - Accent1 2 2 5 3 4" xfId="14189" xr:uid="{E8BE0BE3-3370-400F-B6DF-AEBD698F1D4A}"/>
    <cellStyle name="20% - Accent1 2 2 5 4" xfId="18412" xr:uid="{D33C1E90-6496-4742-AD19-5916D2ACE894}"/>
    <cellStyle name="20% - Accent1 2 2 5 5" xfId="26857" xr:uid="{ADC08C59-CC98-4352-98BB-94052667A8C6}"/>
    <cellStyle name="20% - Accent1 2 2 5 6" xfId="9971" xr:uid="{D34BCEFE-B6E9-4502-97DF-B1A930D5B39A}"/>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25188" xr:uid="{B902CBBE-5280-40BA-B18E-EC072E41AF5D}"/>
    <cellStyle name="20% - Accent1 2 2 6 2 2 3" xfId="33634" xr:uid="{91141CF0-2491-49C3-8324-BEFDB1E2809D}"/>
    <cellStyle name="20% - Accent1 2 2 6 2 2 4" xfId="16747" xr:uid="{8D4DF092-0AE7-45AA-9B76-70F4F589340C}"/>
    <cellStyle name="20% - Accent1 2 2 6 2 3" xfId="20970" xr:uid="{EE49244F-B4F1-4AD8-9573-30B01124A882}"/>
    <cellStyle name="20% - Accent1 2 2 6 2 4" xfId="29417" xr:uid="{848EAD90-D5F4-40E0-BCE5-8DE2E388B205}"/>
    <cellStyle name="20% - Accent1 2 2 6 2 5" xfId="12529" xr:uid="{E5657DFF-F7E2-44DD-8AE8-76AC042CB9DB}"/>
    <cellStyle name="20% - Accent1 2 2 6 3" xfId="6160" xr:uid="{00000000-0005-0000-0000-000027000000}"/>
    <cellStyle name="20% - Accent1 2 2 6 3 2" xfId="23043" xr:uid="{F6BFBBA2-D12A-4838-ADB5-0FD25972A5F2}"/>
    <cellStyle name="20% - Accent1 2 2 6 3 3" xfId="31489" xr:uid="{101483E8-ADA7-4C2A-8EF0-7C459833114F}"/>
    <cellStyle name="20% - Accent1 2 2 6 3 4" xfId="14602" xr:uid="{E5AED5CC-8BCA-49D8-88FD-39C9178E2043}"/>
    <cellStyle name="20% - Accent1 2 2 6 4" xfId="18825" xr:uid="{B81F5FC2-E16A-484A-A4EC-9232F946930C}"/>
    <cellStyle name="20% - Accent1 2 2 6 5" xfId="27270" xr:uid="{B11FB8AE-65EC-4832-A7CF-0D6DC9A81CDE}"/>
    <cellStyle name="20% - Accent1 2 2 6 6" xfId="10384" xr:uid="{0033EF69-A35C-4FF6-953B-AAAD230B04E7}"/>
    <cellStyle name="20% - Accent1 2 2 7" xfId="2266" xr:uid="{00000000-0005-0000-0000-000028000000}"/>
    <cellStyle name="20% - Accent1 2 2 7 2" xfId="6573" xr:uid="{00000000-0005-0000-0000-000029000000}"/>
    <cellStyle name="20% - Accent1 2 2 7 2 2" xfId="23456" xr:uid="{1BC89CA3-1BF4-44B3-9151-9DF29D5B23E0}"/>
    <cellStyle name="20% - Accent1 2 2 7 2 3" xfId="31902" xr:uid="{ABAE0E3F-8AB3-4F3A-82C9-7EF4D39BD9BC}"/>
    <cellStyle name="20% - Accent1 2 2 7 2 4" xfId="15015" xr:uid="{C673FDBC-B2CB-43EB-A786-8680711CF03B}"/>
    <cellStyle name="20% - Accent1 2 2 7 3" xfId="19238" xr:uid="{76B79F5B-8BFD-44E8-9EAB-32F9C4B841B1}"/>
    <cellStyle name="20% - Accent1 2 2 7 4" xfId="27683" xr:uid="{7E2E5545-DDD4-4CA3-84BD-D532A9D20D99}"/>
    <cellStyle name="20% - Accent1 2 2 7 5" xfId="10797" xr:uid="{0B3723D4-4B2C-4F42-BEBF-938496E46D49}"/>
    <cellStyle name="20% - Accent1 2 2 8" xfId="4507" xr:uid="{00000000-0005-0000-0000-00002A000000}"/>
    <cellStyle name="20% - Accent1 2 2 8 2" xfId="21390" xr:uid="{5D913C82-C873-435B-A2AB-ECF1049B5DA5}"/>
    <cellStyle name="20% - Accent1 2 2 8 3" xfId="29836" xr:uid="{D7EB5467-AB11-4C5F-B553-E5C23FD14F3D}"/>
    <cellStyle name="20% - Accent1 2 2 8 4" xfId="12949" xr:uid="{D50988AB-E24E-4B27-9B43-3A4EDB75A7F0}"/>
    <cellStyle name="20% - Accent1 2 2 9" xfId="17172" xr:uid="{B1601058-1FF7-451E-A077-464A6B614AB2}"/>
    <cellStyle name="20% - Accent1 2 3" xfId="5" xr:uid="{00000000-0005-0000-0000-00002B000000}"/>
    <cellStyle name="20% - Accent1 2 3 10" xfId="8733" xr:uid="{061A87C5-0DB8-4021-85DB-8C873F097231}"/>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23951" xr:uid="{992D46D8-1BC5-47B2-8161-E543A8A79EAF}"/>
    <cellStyle name="20% - Accent1 2 3 2 2 2 3" xfId="32397" xr:uid="{A7BC0908-E52B-472C-AEB3-B16981448F29}"/>
    <cellStyle name="20% - Accent1 2 3 2 2 2 4" xfId="15510" xr:uid="{11EB2277-C8A1-450D-BA9D-EA92B79147EC}"/>
    <cellStyle name="20% - Accent1 2 3 2 2 3" xfId="19733" xr:uid="{4D3B44F4-9C5E-46A2-9856-16D3E62EC932}"/>
    <cellStyle name="20% - Accent1 2 3 2 2 4" xfId="28180" xr:uid="{DFCEAFF2-838C-4286-BCAA-BD506996BAE2}"/>
    <cellStyle name="20% - Accent1 2 3 2 2 5" xfId="11292" xr:uid="{0BE7C33F-4194-4D40-8544-5D998918A9B5}"/>
    <cellStyle name="20% - Accent1 2 3 2 3" xfId="4923" xr:uid="{00000000-0005-0000-0000-00002F000000}"/>
    <cellStyle name="20% - Accent1 2 3 2 3 2" xfId="21806" xr:uid="{63B3F403-6E55-4091-8A4E-35D13BE8FB73}"/>
    <cellStyle name="20% - Accent1 2 3 2 3 3" xfId="30252" xr:uid="{7428C3AD-621C-46C5-A191-CF48444181A2}"/>
    <cellStyle name="20% - Accent1 2 3 2 3 4" xfId="13365" xr:uid="{6B2670C2-C01C-42FC-8883-0C4019BE6C3E}"/>
    <cellStyle name="20% - Accent1 2 3 2 4" xfId="17588" xr:uid="{3472AE95-67A6-4322-9BEE-974FCBD5D3BE}"/>
    <cellStyle name="20% - Accent1 2 3 2 5" xfId="26033" xr:uid="{86DF46C5-467F-439D-A13D-234ECFE16345}"/>
    <cellStyle name="20% - Accent1 2 3 2 6" xfId="9147" xr:uid="{86045822-5C5E-4D10-BED4-2E318ACBC003}"/>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24364" xr:uid="{ABEDFD17-AC67-486C-A692-4A1DF5A1ADF0}"/>
    <cellStyle name="20% - Accent1 2 3 3 2 2 3" xfId="32810" xr:uid="{AB000E77-0EA5-40A2-A866-B2A781C5344F}"/>
    <cellStyle name="20% - Accent1 2 3 3 2 2 4" xfId="15923" xr:uid="{D6D7F998-65E2-44A9-83E9-377E3EF67E1D}"/>
    <cellStyle name="20% - Accent1 2 3 3 2 3" xfId="20146" xr:uid="{89595AD7-745E-4910-AE6F-AF03F3D80D28}"/>
    <cellStyle name="20% - Accent1 2 3 3 2 4" xfId="28593" xr:uid="{EEDB679C-DF68-458F-8094-719611DD7D9C}"/>
    <cellStyle name="20% - Accent1 2 3 3 2 5" xfId="11705" xr:uid="{B036B013-64AB-4C01-8133-223262392BDE}"/>
    <cellStyle name="20% - Accent1 2 3 3 3" xfId="5336" xr:uid="{00000000-0005-0000-0000-000033000000}"/>
    <cellStyle name="20% - Accent1 2 3 3 3 2" xfId="22219" xr:uid="{20DAFF1E-12B8-4DD1-89DA-D9EB3E40635D}"/>
    <cellStyle name="20% - Accent1 2 3 3 3 3" xfId="30665" xr:uid="{9FA27797-B377-48B5-A787-88E03354864F}"/>
    <cellStyle name="20% - Accent1 2 3 3 3 4" xfId="13778" xr:uid="{305F09F9-3C2D-4992-BBE6-0BE5493C68DD}"/>
    <cellStyle name="20% - Accent1 2 3 3 4" xfId="18001" xr:uid="{6103793D-9235-44BE-91DF-79836317BA2E}"/>
    <cellStyle name="20% - Accent1 2 3 3 5" xfId="26446" xr:uid="{A7260C02-AAFF-44F0-9CA8-B607AC213684}"/>
    <cellStyle name="20% - Accent1 2 3 3 6" xfId="9560" xr:uid="{E68BDDEA-423B-4DD0-BCE8-27A3F403DE4A}"/>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24777" xr:uid="{88FA2B6A-3502-4B7A-BA3B-B6FB283F019B}"/>
    <cellStyle name="20% - Accent1 2 3 4 2 2 3" xfId="33223" xr:uid="{85CB9EE5-D2E8-4FCB-8006-7F1CB9CDB438}"/>
    <cellStyle name="20% - Accent1 2 3 4 2 2 4" xfId="16336" xr:uid="{3A721437-E57D-4E1E-AC56-D945B56874D0}"/>
    <cellStyle name="20% - Accent1 2 3 4 2 3" xfId="20559" xr:uid="{F94A0418-E350-4F60-B801-8EB410820681}"/>
    <cellStyle name="20% - Accent1 2 3 4 2 4" xfId="29006" xr:uid="{7861C3DC-639D-43F4-BAA6-AECCE2A5A0F5}"/>
    <cellStyle name="20% - Accent1 2 3 4 2 5" xfId="12118" xr:uid="{113B402A-0162-484D-94E1-01E9DBB9DF3C}"/>
    <cellStyle name="20% - Accent1 2 3 4 3" xfId="5749" xr:uid="{00000000-0005-0000-0000-000037000000}"/>
    <cellStyle name="20% - Accent1 2 3 4 3 2" xfId="22632" xr:uid="{D139D355-B845-48B9-8300-0B10BF7F199B}"/>
    <cellStyle name="20% - Accent1 2 3 4 3 3" xfId="31078" xr:uid="{B9D1DAC6-E8FC-4F87-9BFF-331F9FCFD1BC}"/>
    <cellStyle name="20% - Accent1 2 3 4 3 4" xfId="14191" xr:uid="{D528716A-F94F-4F00-9185-3C7D10FDB280}"/>
    <cellStyle name="20% - Accent1 2 3 4 4" xfId="18414" xr:uid="{68E359DA-5A4A-4032-A6C3-D521E941622F}"/>
    <cellStyle name="20% - Accent1 2 3 4 5" xfId="26859" xr:uid="{EDAF1817-BCAA-479F-9864-2057CF6990CC}"/>
    <cellStyle name="20% - Accent1 2 3 4 6" xfId="9973" xr:uid="{A691B7F4-5D05-4567-8A5B-CFBB7C01497E}"/>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25190" xr:uid="{35014BB9-0BB2-4312-BE0D-D9CC6EE5B142}"/>
    <cellStyle name="20% - Accent1 2 3 5 2 2 3" xfId="33636" xr:uid="{0EFBAD3E-44D2-44D4-A300-E22695EE41F9}"/>
    <cellStyle name="20% - Accent1 2 3 5 2 2 4" xfId="16749" xr:uid="{3B78DDDC-91B7-4263-9864-ABA866CAE95B}"/>
    <cellStyle name="20% - Accent1 2 3 5 2 3" xfId="20972" xr:uid="{6F0B3732-9CD3-4FD2-B8D9-D0491B403CF0}"/>
    <cellStyle name="20% - Accent1 2 3 5 2 4" xfId="29419" xr:uid="{2491174E-3715-4119-A8DE-C9F6B94AAC37}"/>
    <cellStyle name="20% - Accent1 2 3 5 2 5" xfId="12531" xr:uid="{26FB621D-8E7E-4942-AB24-AF576CD75769}"/>
    <cellStyle name="20% - Accent1 2 3 5 3" xfId="6162" xr:uid="{00000000-0005-0000-0000-00003B000000}"/>
    <cellStyle name="20% - Accent1 2 3 5 3 2" xfId="23045" xr:uid="{F40A8CA5-FBAE-4292-AF92-239185E42650}"/>
    <cellStyle name="20% - Accent1 2 3 5 3 3" xfId="31491" xr:uid="{BC26C4B9-7A44-4DDE-8E9E-C2484BD09C91}"/>
    <cellStyle name="20% - Accent1 2 3 5 3 4" xfId="14604" xr:uid="{3082AEA6-1584-4565-AA36-E72F4E74C2F3}"/>
    <cellStyle name="20% - Accent1 2 3 5 4" xfId="18827" xr:uid="{2B188E13-F195-4583-880E-298828D465B4}"/>
    <cellStyle name="20% - Accent1 2 3 5 5" xfId="27272" xr:uid="{AB260E2C-CE4D-4EE6-971F-C106501F4C3C}"/>
    <cellStyle name="20% - Accent1 2 3 5 6" xfId="10386" xr:uid="{BAAA06CC-D8B4-4B62-95D2-8B75977185BE}"/>
    <cellStyle name="20% - Accent1 2 3 6" xfId="2268" xr:uid="{00000000-0005-0000-0000-00003C000000}"/>
    <cellStyle name="20% - Accent1 2 3 6 2" xfId="6575" xr:uid="{00000000-0005-0000-0000-00003D000000}"/>
    <cellStyle name="20% - Accent1 2 3 6 2 2" xfId="23458" xr:uid="{B39A2798-35AB-46D8-AA11-DCD5596621DD}"/>
    <cellStyle name="20% - Accent1 2 3 6 2 3" xfId="31904" xr:uid="{B9AA9101-236C-49F4-A04A-FC3231E5D93B}"/>
    <cellStyle name="20% - Accent1 2 3 6 2 4" xfId="15017" xr:uid="{973C0116-0BF3-4CB9-ABEF-721332F62446}"/>
    <cellStyle name="20% - Accent1 2 3 6 3" xfId="19240" xr:uid="{325691EF-BCAC-44B1-AF2D-320EF4508BE3}"/>
    <cellStyle name="20% - Accent1 2 3 6 4" xfId="27685" xr:uid="{133FF501-73C4-49EA-B3E6-088C151CBDE6}"/>
    <cellStyle name="20% - Accent1 2 3 6 5" xfId="10799" xr:uid="{B40CEC39-90CF-40E5-917F-3F1FA5F4A28A}"/>
    <cellStyle name="20% - Accent1 2 3 7" xfId="4509" xr:uid="{00000000-0005-0000-0000-00003E000000}"/>
    <cellStyle name="20% - Accent1 2 3 7 2" xfId="21392" xr:uid="{5336661B-6AE5-4A12-8211-4F8AEDF5923C}"/>
    <cellStyle name="20% - Accent1 2 3 7 3" xfId="29838" xr:uid="{26FCBD30-D800-4873-83A4-2FE51183E198}"/>
    <cellStyle name="20% - Accent1 2 3 7 4" xfId="12951" xr:uid="{8DF6802E-9A6C-43F4-BECE-06E78B588EA6}"/>
    <cellStyle name="20% - Accent1 2 3 8" xfId="17174" xr:uid="{CB2094AA-2470-4631-8D99-2EE3E9A18B09}"/>
    <cellStyle name="20% - Accent1 2 3 9" xfId="25616" xr:uid="{BAD242CC-6C2D-46DF-ACFE-E80A05ACF31A}"/>
    <cellStyle name="20% - Accent1 2 4" xfId="571" xr:uid="{00000000-0005-0000-0000-00003F000000}"/>
    <cellStyle name="20% - Accent1 2 4 2" xfId="2842" xr:uid="{00000000-0005-0000-0000-000040000000}"/>
    <cellStyle name="20% - Accent1 2 4 2 2" xfId="7065" xr:uid="{00000000-0005-0000-0000-000041000000}"/>
    <cellStyle name="20% - Accent1 2 4 2 2 2" xfId="23948" xr:uid="{F2E05DB5-731D-4223-AB40-9A9C429DFDE8}"/>
    <cellStyle name="20% - Accent1 2 4 2 2 3" xfId="32394" xr:uid="{C084EEB7-2AC5-4689-855F-97825FD40E05}"/>
    <cellStyle name="20% - Accent1 2 4 2 2 4" xfId="15507" xr:uid="{DBF0B5C9-DA5B-4860-BE9A-3091E46483B0}"/>
    <cellStyle name="20% - Accent1 2 4 2 3" xfId="19730" xr:uid="{511954E3-B183-4119-9D2C-4E72E59E6F27}"/>
    <cellStyle name="20% - Accent1 2 4 2 4" xfId="28177" xr:uid="{7A77114D-182D-4041-B5A8-59506782D3C7}"/>
    <cellStyle name="20% - Accent1 2 4 2 5" xfId="11289" xr:uid="{794E5B1D-54BE-4DDB-A86C-CEEC2A377341}"/>
    <cellStyle name="20% - Accent1 2 4 3" xfId="4920" xr:uid="{00000000-0005-0000-0000-000042000000}"/>
    <cellStyle name="20% - Accent1 2 4 3 2" xfId="21803" xr:uid="{CAB04773-676D-4D66-9646-C4E2CB3D6C7A}"/>
    <cellStyle name="20% - Accent1 2 4 3 3" xfId="30249" xr:uid="{71699C46-F778-4466-8B89-D4C202FD6B5C}"/>
    <cellStyle name="20% - Accent1 2 4 3 4" xfId="13362" xr:uid="{A011F968-AD95-48FF-86DA-F270D1E5DB80}"/>
    <cellStyle name="20% - Accent1 2 4 4" xfId="17585" xr:uid="{8954002A-0198-48F2-9E82-8355B168335A}"/>
    <cellStyle name="20% - Accent1 2 4 5" xfId="26030" xr:uid="{47D17CC3-A824-4720-840E-879E9A74AF38}"/>
    <cellStyle name="20% - Accent1 2 4 6" xfId="9144" xr:uid="{8A9668E4-18E7-4BB8-B8A0-20FE7DD8AD81}"/>
    <cellStyle name="20% - Accent1 2 5" xfId="1024" xr:uid="{00000000-0005-0000-0000-000043000000}"/>
    <cellStyle name="20% - Accent1 2 5 2" xfId="3255" xr:uid="{00000000-0005-0000-0000-000044000000}"/>
    <cellStyle name="20% - Accent1 2 5 2 2" xfId="7478" xr:uid="{00000000-0005-0000-0000-000045000000}"/>
    <cellStyle name="20% - Accent1 2 5 2 2 2" xfId="24361" xr:uid="{BAED59CB-BB5C-493B-B8D9-BDE5293E4F99}"/>
    <cellStyle name="20% - Accent1 2 5 2 2 3" xfId="32807" xr:uid="{D7DBA02B-845B-4B15-8327-ACDD25C9091C}"/>
    <cellStyle name="20% - Accent1 2 5 2 2 4" xfId="15920" xr:uid="{706C3A24-29FA-4BC9-AC3A-F0F6E05C2CBB}"/>
    <cellStyle name="20% - Accent1 2 5 2 3" xfId="20143" xr:uid="{2FDC2B5C-8F52-46B9-8C16-AF9B65E14AA7}"/>
    <cellStyle name="20% - Accent1 2 5 2 4" xfId="28590" xr:uid="{B9F29DDE-7F3F-48DA-BF6A-B923B717B169}"/>
    <cellStyle name="20% - Accent1 2 5 2 5" xfId="11702" xr:uid="{8A20D0CD-D7E4-4872-B17B-55CA0069C6C8}"/>
    <cellStyle name="20% - Accent1 2 5 3" xfId="5333" xr:uid="{00000000-0005-0000-0000-000046000000}"/>
    <cellStyle name="20% - Accent1 2 5 3 2" xfId="22216" xr:uid="{0F909620-6EF5-467B-91D5-DDE279F933B6}"/>
    <cellStyle name="20% - Accent1 2 5 3 3" xfId="30662" xr:uid="{AC64F6A2-642A-4BB1-9F9C-21E3EB05AEC4}"/>
    <cellStyle name="20% - Accent1 2 5 3 4" xfId="13775" xr:uid="{C78CDCAD-289F-4BBB-A0BE-CF5D131DD6F6}"/>
    <cellStyle name="20% - Accent1 2 5 4" xfId="17998" xr:uid="{25DFC567-B811-4F21-82D0-A4C3B65A0B74}"/>
    <cellStyle name="20% - Accent1 2 5 5" xfId="26443" xr:uid="{9E6906C1-CA71-4536-B0FD-C26B477AA814}"/>
    <cellStyle name="20% - Accent1 2 5 6" xfId="9557" xr:uid="{80B5B203-D7D1-48D0-AB59-0520E6A7D1B3}"/>
    <cellStyle name="20% - Accent1 2 6" xfId="1438" xr:uid="{00000000-0005-0000-0000-000047000000}"/>
    <cellStyle name="20% - Accent1 2 6 2" xfId="3668" xr:uid="{00000000-0005-0000-0000-000048000000}"/>
    <cellStyle name="20% - Accent1 2 6 2 2" xfId="7891" xr:uid="{00000000-0005-0000-0000-000049000000}"/>
    <cellStyle name="20% - Accent1 2 6 2 2 2" xfId="24774" xr:uid="{B6801E95-422F-4934-B5E1-A7628EB1E8BD}"/>
    <cellStyle name="20% - Accent1 2 6 2 2 3" xfId="33220" xr:uid="{F86F2850-B9A0-45AA-A41C-08F06F27F320}"/>
    <cellStyle name="20% - Accent1 2 6 2 2 4" xfId="16333" xr:uid="{0FB76B3C-2375-4116-8D99-D3F761B3AA5F}"/>
    <cellStyle name="20% - Accent1 2 6 2 3" xfId="20556" xr:uid="{3393CEEB-8E4F-45CA-99CD-071D530FB568}"/>
    <cellStyle name="20% - Accent1 2 6 2 4" xfId="29003" xr:uid="{67EAF08C-433D-4F0A-97F6-0C264746228C}"/>
    <cellStyle name="20% - Accent1 2 6 2 5" xfId="12115" xr:uid="{26F08871-D827-44BF-A7BD-F1726C2BB050}"/>
    <cellStyle name="20% - Accent1 2 6 3" xfId="5746" xr:uid="{00000000-0005-0000-0000-00004A000000}"/>
    <cellStyle name="20% - Accent1 2 6 3 2" xfId="22629" xr:uid="{7C9D4F08-FD57-4410-9095-D9DFB33C5A9B}"/>
    <cellStyle name="20% - Accent1 2 6 3 3" xfId="31075" xr:uid="{DB05B84A-490B-401B-AB26-FFD52CA0BFE2}"/>
    <cellStyle name="20% - Accent1 2 6 3 4" xfId="14188" xr:uid="{A0D90410-6C58-4DA5-ABD4-8AD9442DEFD2}"/>
    <cellStyle name="20% - Accent1 2 6 4" xfId="18411" xr:uid="{7A341D79-4F3F-4706-A40C-3D520F52B04F}"/>
    <cellStyle name="20% - Accent1 2 6 5" xfId="26856" xr:uid="{B214D170-964B-43B9-A7BB-A792838B1C39}"/>
    <cellStyle name="20% - Accent1 2 6 6" xfId="9970" xr:uid="{5455A2AE-2C6F-43C7-B8C8-33FAA6B50F96}"/>
    <cellStyle name="20% - Accent1 2 7" xfId="1852" xr:uid="{00000000-0005-0000-0000-00004B000000}"/>
    <cellStyle name="20% - Accent1 2 7 2" xfId="4081" xr:uid="{00000000-0005-0000-0000-00004C000000}"/>
    <cellStyle name="20% - Accent1 2 7 2 2" xfId="8304" xr:uid="{00000000-0005-0000-0000-00004D000000}"/>
    <cellStyle name="20% - Accent1 2 7 2 2 2" xfId="25187" xr:uid="{B406339E-E609-4CD9-B5B3-269BBDAF104E}"/>
    <cellStyle name="20% - Accent1 2 7 2 2 3" xfId="33633" xr:uid="{967566A5-003B-45CC-ACDA-74E78B3200AF}"/>
    <cellStyle name="20% - Accent1 2 7 2 2 4" xfId="16746" xr:uid="{9B8A7870-2D79-4793-8ECB-30961BC858F1}"/>
    <cellStyle name="20% - Accent1 2 7 2 3" xfId="20969" xr:uid="{3F0A8C4A-32F3-4F6C-AEB3-F3A5B3BCF043}"/>
    <cellStyle name="20% - Accent1 2 7 2 4" xfId="29416" xr:uid="{0EAA78A9-22C9-41BE-867F-607EB8D8F2E8}"/>
    <cellStyle name="20% - Accent1 2 7 2 5" xfId="12528" xr:uid="{2B6D47ED-C548-41A1-8995-FC94D90BD297}"/>
    <cellStyle name="20% - Accent1 2 7 3" xfId="6159" xr:uid="{00000000-0005-0000-0000-00004E000000}"/>
    <cellStyle name="20% - Accent1 2 7 3 2" xfId="23042" xr:uid="{8EA3362C-26F8-4753-8AEC-FAC1AADD5F85}"/>
    <cellStyle name="20% - Accent1 2 7 3 3" xfId="31488" xr:uid="{F543BBD8-59DA-422F-A07A-3308C24E37AA}"/>
    <cellStyle name="20% - Accent1 2 7 3 4" xfId="14601" xr:uid="{78216BDB-4947-4DF6-9173-C141476E7DE2}"/>
    <cellStyle name="20% - Accent1 2 7 4" xfId="18824" xr:uid="{62DE87B6-2935-43EB-A3BA-96FB0F96703A}"/>
    <cellStyle name="20% - Accent1 2 7 5" xfId="27269" xr:uid="{8F6C41DD-09D8-42F7-BBEB-071C4DEFC6A5}"/>
    <cellStyle name="20% - Accent1 2 7 6" xfId="10383" xr:uid="{4E6972FD-A6C8-47C2-8488-B2A0EFD8FF4E}"/>
    <cellStyle name="20% - Accent1 2 8" xfId="2265" xr:uid="{00000000-0005-0000-0000-00004F000000}"/>
    <cellStyle name="20% - Accent1 2 8 2" xfId="6572" xr:uid="{00000000-0005-0000-0000-000050000000}"/>
    <cellStyle name="20% - Accent1 2 8 2 2" xfId="23455" xr:uid="{7C4C05E5-226D-47FE-94AE-0968269240DF}"/>
    <cellStyle name="20% - Accent1 2 8 2 3" xfId="31901" xr:uid="{E5602B7D-CC32-4CF1-B008-371AEA29D1B2}"/>
    <cellStyle name="20% - Accent1 2 8 2 4" xfId="15014" xr:uid="{1DC9F64E-803B-433B-8DF4-C5A96B9803E2}"/>
    <cellStyle name="20% - Accent1 2 8 3" xfId="19237" xr:uid="{D54E6764-C48B-47FE-B7E5-7434112BEB56}"/>
    <cellStyle name="20% - Accent1 2 8 4" xfId="27682" xr:uid="{BE05156F-910F-4762-A92B-3F1C5CB0DC20}"/>
    <cellStyle name="20% - Accent1 2 8 5" xfId="10796" xr:uid="{933E5BBC-4188-44A0-B508-5401326B5F8F}"/>
    <cellStyle name="20% - Accent1 2 9" xfId="4506" xr:uid="{00000000-0005-0000-0000-000051000000}"/>
    <cellStyle name="20% - Accent1 2 9 2" xfId="21389" xr:uid="{53F5B91F-5C89-4153-8B40-473783D77B28}"/>
    <cellStyle name="20% - Accent1 2 9 3" xfId="29835" xr:uid="{903FBAAD-578C-4BD8-BB29-E4FAB3DB1A2E}"/>
    <cellStyle name="20% - Accent1 2 9 4" xfId="12948" xr:uid="{57EAD133-B07C-4B5C-A8D4-A5357445F132}"/>
    <cellStyle name="20% - Accent1 3" xfId="6" xr:uid="{00000000-0005-0000-0000-000052000000}"/>
    <cellStyle name="20% - Accent1 3 10" xfId="25617" xr:uid="{1B195F86-6BF6-4153-93C0-2A3A469BF831}"/>
    <cellStyle name="20% - Accent1 3 11" xfId="8734" xr:uid="{AC460A51-945B-4D93-80C7-116FE8D08A40}"/>
    <cellStyle name="20% - Accent1 3 2" xfId="7" xr:uid="{00000000-0005-0000-0000-000053000000}"/>
    <cellStyle name="20% - Accent1 3 2 10" xfId="8735" xr:uid="{AE4EB62D-045F-486E-A89F-01D64CB33491}"/>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23953" xr:uid="{7FA20E6A-3261-40C8-883E-536B18188D68}"/>
    <cellStyle name="20% - Accent1 3 2 2 2 2 3" xfId="32399" xr:uid="{91BC2352-4846-49F0-BE82-3493E0D3659F}"/>
    <cellStyle name="20% - Accent1 3 2 2 2 2 4" xfId="15512" xr:uid="{A6AE8AA3-A28C-4A1D-B2EE-2E4D754824D4}"/>
    <cellStyle name="20% - Accent1 3 2 2 2 3" xfId="19735" xr:uid="{EE0F7F1B-862F-4111-ADB9-F28C6E3F4EBA}"/>
    <cellStyle name="20% - Accent1 3 2 2 2 4" xfId="28182" xr:uid="{23BEC557-E5BD-497F-83BD-24809C9FF9B2}"/>
    <cellStyle name="20% - Accent1 3 2 2 2 5" xfId="11294" xr:uid="{965F73FC-4557-4DD5-A7AD-14A00600A406}"/>
    <cellStyle name="20% - Accent1 3 2 2 3" xfId="4925" xr:uid="{00000000-0005-0000-0000-000057000000}"/>
    <cellStyle name="20% - Accent1 3 2 2 3 2" xfId="21808" xr:uid="{19964910-C26E-427E-8CEE-B0E43490642F}"/>
    <cellStyle name="20% - Accent1 3 2 2 3 3" xfId="30254" xr:uid="{2869EB86-B434-474B-87C2-068373967267}"/>
    <cellStyle name="20% - Accent1 3 2 2 3 4" xfId="13367" xr:uid="{1E482C3E-D9AB-400F-806C-6BCF3B394CD0}"/>
    <cellStyle name="20% - Accent1 3 2 2 4" xfId="17590" xr:uid="{DAF557B0-F923-48D2-9C37-FC570CF254E7}"/>
    <cellStyle name="20% - Accent1 3 2 2 5" xfId="26035" xr:uid="{BF9CE56A-342C-4279-B503-D225F42D13F7}"/>
    <cellStyle name="20% - Accent1 3 2 2 6" xfId="9149" xr:uid="{B100E377-82EB-4CED-95CC-AEF76F3EC4A9}"/>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24366" xr:uid="{66CC2140-CCBE-4F3C-B2F0-994104C79BCF}"/>
    <cellStyle name="20% - Accent1 3 2 3 2 2 3" xfId="32812" xr:uid="{07CEAF24-B654-4EB2-A75A-89CE1B68EABF}"/>
    <cellStyle name="20% - Accent1 3 2 3 2 2 4" xfId="15925" xr:uid="{B6DC4772-DFDA-493F-A6AE-6FF29B138393}"/>
    <cellStyle name="20% - Accent1 3 2 3 2 3" xfId="20148" xr:uid="{94E291F0-63B4-4D74-9403-EB3C651FFD6B}"/>
    <cellStyle name="20% - Accent1 3 2 3 2 4" xfId="28595" xr:uid="{0E3F63EF-FC3C-4B8B-9B75-88A4B052E477}"/>
    <cellStyle name="20% - Accent1 3 2 3 2 5" xfId="11707" xr:uid="{8E2745A5-5595-4BA5-A587-276DDF32C30E}"/>
    <cellStyle name="20% - Accent1 3 2 3 3" xfId="5338" xr:uid="{00000000-0005-0000-0000-00005B000000}"/>
    <cellStyle name="20% - Accent1 3 2 3 3 2" xfId="22221" xr:uid="{5A416186-C11A-48D8-8C1A-CF7DDB29426E}"/>
    <cellStyle name="20% - Accent1 3 2 3 3 3" xfId="30667" xr:uid="{3842D266-6621-4818-9E70-0EEF801DE7DD}"/>
    <cellStyle name="20% - Accent1 3 2 3 3 4" xfId="13780" xr:uid="{073B551B-6B94-4367-B688-0B0AF2D7A823}"/>
    <cellStyle name="20% - Accent1 3 2 3 4" xfId="18003" xr:uid="{B9C68125-5E66-45A5-89FA-0AEEB8978B63}"/>
    <cellStyle name="20% - Accent1 3 2 3 5" xfId="26448" xr:uid="{4C2EA193-F116-4067-89E7-EB944258A597}"/>
    <cellStyle name="20% - Accent1 3 2 3 6" xfId="9562" xr:uid="{315EC1F0-DC77-41CD-9773-7C66549DEC91}"/>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24779" xr:uid="{6BBC00CB-9851-48B0-8E0C-95007418CCB4}"/>
    <cellStyle name="20% - Accent1 3 2 4 2 2 3" xfId="33225" xr:uid="{794625FE-B326-4931-8152-97D25E806520}"/>
    <cellStyle name="20% - Accent1 3 2 4 2 2 4" xfId="16338" xr:uid="{C0EEB207-23E0-465D-8548-2479A7205749}"/>
    <cellStyle name="20% - Accent1 3 2 4 2 3" xfId="20561" xr:uid="{7D8FEA0A-7E28-4FEE-B6D7-B2719FCA99CC}"/>
    <cellStyle name="20% - Accent1 3 2 4 2 4" xfId="29008" xr:uid="{09352EA2-CD4F-42C7-B946-9AD29D2908FC}"/>
    <cellStyle name="20% - Accent1 3 2 4 2 5" xfId="12120" xr:uid="{B5AF59F7-7E38-4752-BBF4-BD77C7E0255F}"/>
    <cellStyle name="20% - Accent1 3 2 4 3" xfId="5751" xr:uid="{00000000-0005-0000-0000-00005F000000}"/>
    <cellStyle name="20% - Accent1 3 2 4 3 2" xfId="22634" xr:uid="{357F0861-7CAF-4905-98B9-29A306B89A5E}"/>
    <cellStyle name="20% - Accent1 3 2 4 3 3" xfId="31080" xr:uid="{4B7E2166-3D03-4E32-9CF9-1D130DFEA915}"/>
    <cellStyle name="20% - Accent1 3 2 4 3 4" xfId="14193" xr:uid="{A35DDA2F-0305-40A5-96CF-DCF30FCE52C6}"/>
    <cellStyle name="20% - Accent1 3 2 4 4" xfId="18416" xr:uid="{8A8ED99D-8B3F-4B9D-9A03-C64361EF3C84}"/>
    <cellStyle name="20% - Accent1 3 2 4 5" xfId="26861" xr:uid="{599DA6BF-E95D-4B4F-B5FC-29940F392661}"/>
    <cellStyle name="20% - Accent1 3 2 4 6" xfId="9975" xr:uid="{0160D6AD-07AA-4D38-B806-67DEC859FCA8}"/>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25192" xr:uid="{B7234B76-7671-4D7A-A5E0-1CA8CC6B5718}"/>
    <cellStyle name="20% - Accent1 3 2 5 2 2 3" xfId="33638" xr:uid="{748A56E9-47DD-4EEC-9515-24FA9D23E9B6}"/>
    <cellStyle name="20% - Accent1 3 2 5 2 2 4" xfId="16751" xr:uid="{7C9B6DCF-7A29-4629-B6F0-402378F75462}"/>
    <cellStyle name="20% - Accent1 3 2 5 2 3" xfId="20974" xr:uid="{1C26C80E-9A62-4F37-AC5A-C2FFA57E50BC}"/>
    <cellStyle name="20% - Accent1 3 2 5 2 4" xfId="29421" xr:uid="{2F189174-B862-45FE-9E5A-11D57CA618D1}"/>
    <cellStyle name="20% - Accent1 3 2 5 2 5" xfId="12533" xr:uid="{F7899DAC-77D2-4D5E-8D0D-F9DB55132EA8}"/>
    <cellStyle name="20% - Accent1 3 2 5 3" xfId="6164" xr:uid="{00000000-0005-0000-0000-000063000000}"/>
    <cellStyle name="20% - Accent1 3 2 5 3 2" xfId="23047" xr:uid="{FB553E06-A006-439D-B5A1-BBC3B40C4288}"/>
    <cellStyle name="20% - Accent1 3 2 5 3 3" xfId="31493" xr:uid="{BBC090B4-2E92-460C-BC68-45C0DAE6C802}"/>
    <cellStyle name="20% - Accent1 3 2 5 3 4" xfId="14606" xr:uid="{763A164B-8924-4E4A-8003-291283D0E5BD}"/>
    <cellStyle name="20% - Accent1 3 2 5 4" xfId="18829" xr:uid="{7513AD15-0B10-47EF-9AA7-54A1D3BEBB3A}"/>
    <cellStyle name="20% - Accent1 3 2 5 5" xfId="27274" xr:uid="{BBCA949D-13F8-43B7-BD15-3F03878EE6DE}"/>
    <cellStyle name="20% - Accent1 3 2 5 6" xfId="10388" xr:uid="{190C041B-575C-4343-B4A0-C3B252B8971A}"/>
    <cellStyle name="20% - Accent1 3 2 6" xfId="2270" xr:uid="{00000000-0005-0000-0000-000064000000}"/>
    <cellStyle name="20% - Accent1 3 2 6 2" xfId="6577" xr:uid="{00000000-0005-0000-0000-000065000000}"/>
    <cellStyle name="20% - Accent1 3 2 6 2 2" xfId="23460" xr:uid="{A617DAF2-194D-49D0-B077-E27E3F062AAA}"/>
    <cellStyle name="20% - Accent1 3 2 6 2 3" xfId="31906" xr:uid="{ABE3C6F8-BDF2-401C-B8AD-52A104A79409}"/>
    <cellStyle name="20% - Accent1 3 2 6 2 4" xfId="15019" xr:uid="{60EC50EB-FEC4-4591-A7CB-5F5A519D0136}"/>
    <cellStyle name="20% - Accent1 3 2 6 3" xfId="19242" xr:uid="{80923639-BD00-4C45-8252-F4D033DE4443}"/>
    <cellStyle name="20% - Accent1 3 2 6 4" xfId="27687" xr:uid="{87BEE64B-AF19-4249-A4C3-7A92FF4ACA70}"/>
    <cellStyle name="20% - Accent1 3 2 6 5" xfId="10801" xr:uid="{57E3EBAD-AD44-450E-909E-60DD076A658D}"/>
    <cellStyle name="20% - Accent1 3 2 7" xfId="4511" xr:uid="{00000000-0005-0000-0000-000066000000}"/>
    <cellStyle name="20% - Accent1 3 2 7 2" xfId="21394" xr:uid="{AB39E67E-58F7-4BB3-B38C-895045F1EA52}"/>
    <cellStyle name="20% - Accent1 3 2 7 3" xfId="29840" xr:uid="{3DDBB85C-B724-4DBB-A821-DA5243803BAA}"/>
    <cellStyle name="20% - Accent1 3 2 7 4" xfId="12953" xr:uid="{5727680F-D021-4951-808B-5CF9E67D95E4}"/>
    <cellStyle name="20% - Accent1 3 2 8" xfId="17176" xr:uid="{3D2900FD-6323-4D92-AC4E-485343B21FD1}"/>
    <cellStyle name="20% - Accent1 3 2 9" xfId="25618" xr:uid="{2DF6AA5D-8748-460F-A002-DE6435D74C8B}"/>
    <cellStyle name="20% - Accent1 3 3" xfId="575" xr:uid="{00000000-0005-0000-0000-000067000000}"/>
    <cellStyle name="20% - Accent1 3 3 2" xfId="2846" xr:uid="{00000000-0005-0000-0000-000068000000}"/>
    <cellStyle name="20% - Accent1 3 3 2 2" xfId="7069" xr:uid="{00000000-0005-0000-0000-000069000000}"/>
    <cellStyle name="20% - Accent1 3 3 2 2 2" xfId="23952" xr:uid="{B2DEDFDC-D8E2-4C97-9FDC-11CECC91DD26}"/>
    <cellStyle name="20% - Accent1 3 3 2 2 3" xfId="32398" xr:uid="{F8FC98B7-FAAC-456D-9CB0-FB686AD46A8C}"/>
    <cellStyle name="20% - Accent1 3 3 2 2 4" xfId="15511" xr:uid="{6FD33695-E37E-44FB-B35D-174B1D3439D6}"/>
    <cellStyle name="20% - Accent1 3 3 2 3" xfId="19734" xr:uid="{0CC78BA9-F270-4DC4-9F51-CCB44FFBE887}"/>
    <cellStyle name="20% - Accent1 3 3 2 4" xfId="28181" xr:uid="{1BBBA4FA-FD60-43BC-B3A4-29D768ACC475}"/>
    <cellStyle name="20% - Accent1 3 3 2 5" xfId="11293" xr:uid="{29FD776E-D37D-49EA-AFEE-716B99F9E015}"/>
    <cellStyle name="20% - Accent1 3 3 3" xfId="4924" xr:uid="{00000000-0005-0000-0000-00006A000000}"/>
    <cellStyle name="20% - Accent1 3 3 3 2" xfId="21807" xr:uid="{7C8C75AA-C991-408B-9947-DA1A7FE935A7}"/>
    <cellStyle name="20% - Accent1 3 3 3 3" xfId="30253" xr:uid="{2C89152F-AFAA-46B3-9381-DB62E0390E5F}"/>
    <cellStyle name="20% - Accent1 3 3 3 4" xfId="13366" xr:uid="{A1D84C88-66EB-4F90-B217-E9F772FFBFB1}"/>
    <cellStyle name="20% - Accent1 3 3 4" xfId="17589" xr:uid="{39A7D3C6-E6DF-40FA-98BB-45090F650BFE}"/>
    <cellStyle name="20% - Accent1 3 3 5" xfId="26034" xr:uid="{02E5694D-8136-435E-AE6C-188F62988E1E}"/>
    <cellStyle name="20% - Accent1 3 3 6" xfId="9148" xr:uid="{16388380-B188-4CC3-9BA5-5FF8C3BEE68D}"/>
    <cellStyle name="20% - Accent1 3 4" xfId="1028" xr:uid="{00000000-0005-0000-0000-00006B000000}"/>
    <cellStyle name="20% - Accent1 3 4 2" xfId="3259" xr:uid="{00000000-0005-0000-0000-00006C000000}"/>
    <cellStyle name="20% - Accent1 3 4 2 2" xfId="7482" xr:uid="{00000000-0005-0000-0000-00006D000000}"/>
    <cellStyle name="20% - Accent1 3 4 2 2 2" xfId="24365" xr:uid="{EA1CB9A1-1F78-4D7E-9AAD-F5E355C5A440}"/>
    <cellStyle name="20% - Accent1 3 4 2 2 3" xfId="32811" xr:uid="{BCDEB718-F35E-4C6B-9467-AEFDA8F996A4}"/>
    <cellStyle name="20% - Accent1 3 4 2 2 4" xfId="15924" xr:uid="{F51B33A7-1F07-4B36-9FA4-38836D7435DF}"/>
    <cellStyle name="20% - Accent1 3 4 2 3" xfId="20147" xr:uid="{226674A4-B567-4153-8F51-F58663DBFF0F}"/>
    <cellStyle name="20% - Accent1 3 4 2 4" xfId="28594" xr:uid="{9CEFA384-A8A4-446E-8BD1-E8A76866EAFF}"/>
    <cellStyle name="20% - Accent1 3 4 2 5" xfId="11706" xr:uid="{5F9ABC96-FBDA-4489-BA71-29D69758F764}"/>
    <cellStyle name="20% - Accent1 3 4 3" xfId="5337" xr:uid="{00000000-0005-0000-0000-00006E000000}"/>
    <cellStyle name="20% - Accent1 3 4 3 2" xfId="22220" xr:uid="{F08E5EB0-392D-41BA-B357-80AB589EA76A}"/>
    <cellStyle name="20% - Accent1 3 4 3 3" xfId="30666" xr:uid="{3EE44613-6071-4712-B3DC-39FB0187B3AF}"/>
    <cellStyle name="20% - Accent1 3 4 3 4" xfId="13779" xr:uid="{288A1D13-CE17-4D5A-8B44-BFC20BA7D8F1}"/>
    <cellStyle name="20% - Accent1 3 4 4" xfId="18002" xr:uid="{5935D34D-3393-4A10-9A71-3C68EB233F24}"/>
    <cellStyle name="20% - Accent1 3 4 5" xfId="26447" xr:uid="{86797FD1-F18A-41F9-8922-8BD9632D4EAA}"/>
    <cellStyle name="20% - Accent1 3 4 6" xfId="9561" xr:uid="{CD1FF36F-E0E2-4BDA-AD26-B5CC6CB74D56}"/>
    <cellStyle name="20% - Accent1 3 5" xfId="1442" xr:uid="{00000000-0005-0000-0000-00006F000000}"/>
    <cellStyle name="20% - Accent1 3 5 2" xfId="3672" xr:uid="{00000000-0005-0000-0000-000070000000}"/>
    <cellStyle name="20% - Accent1 3 5 2 2" xfId="7895" xr:uid="{00000000-0005-0000-0000-000071000000}"/>
    <cellStyle name="20% - Accent1 3 5 2 2 2" xfId="24778" xr:uid="{3597F4EC-5A6A-464C-81FB-C12773372EA7}"/>
    <cellStyle name="20% - Accent1 3 5 2 2 3" xfId="33224" xr:uid="{2EE688DE-38A8-4BC8-A790-C47E0529EDC1}"/>
    <cellStyle name="20% - Accent1 3 5 2 2 4" xfId="16337" xr:uid="{7A912964-FCAA-4F86-BF8E-23855FCF7DC3}"/>
    <cellStyle name="20% - Accent1 3 5 2 3" xfId="20560" xr:uid="{7BCBFBCE-E91C-409B-9410-8F529F89BFDE}"/>
    <cellStyle name="20% - Accent1 3 5 2 4" xfId="29007" xr:uid="{4130A936-CC0F-4A61-93AE-0D1D65B9D3F2}"/>
    <cellStyle name="20% - Accent1 3 5 2 5" xfId="12119" xr:uid="{971A266A-D842-4CAB-8EF1-6DDE1276B96B}"/>
    <cellStyle name="20% - Accent1 3 5 3" xfId="5750" xr:uid="{00000000-0005-0000-0000-000072000000}"/>
    <cellStyle name="20% - Accent1 3 5 3 2" xfId="22633" xr:uid="{1BE10606-1639-43ED-AEC0-767AE3C620CE}"/>
    <cellStyle name="20% - Accent1 3 5 3 3" xfId="31079" xr:uid="{97E3BFBF-ED15-4624-B2B8-9A857709B001}"/>
    <cellStyle name="20% - Accent1 3 5 3 4" xfId="14192" xr:uid="{925880BD-7DB1-4A8D-95E1-601D5649132C}"/>
    <cellStyle name="20% - Accent1 3 5 4" xfId="18415" xr:uid="{9118A36D-7D29-4C5B-A8A7-95214613306E}"/>
    <cellStyle name="20% - Accent1 3 5 5" xfId="26860" xr:uid="{217539D8-4772-49C9-9717-E47DB3738914}"/>
    <cellStyle name="20% - Accent1 3 5 6" xfId="9974" xr:uid="{6B86A375-4857-4347-B04C-2619586215A9}"/>
    <cellStyle name="20% - Accent1 3 6" xfId="1856" xr:uid="{00000000-0005-0000-0000-000073000000}"/>
    <cellStyle name="20% - Accent1 3 6 2" xfId="4085" xr:uid="{00000000-0005-0000-0000-000074000000}"/>
    <cellStyle name="20% - Accent1 3 6 2 2" xfId="8308" xr:uid="{00000000-0005-0000-0000-000075000000}"/>
    <cellStyle name="20% - Accent1 3 6 2 2 2" xfId="25191" xr:uid="{4EF3C63B-1377-496F-8A56-43AAAD5E075C}"/>
    <cellStyle name="20% - Accent1 3 6 2 2 3" xfId="33637" xr:uid="{701C40CC-9E97-4329-9C06-84693632B05E}"/>
    <cellStyle name="20% - Accent1 3 6 2 2 4" xfId="16750" xr:uid="{FB9A44A2-31F5-4EBE-90CD-90B7DB716D50}"/>
    <cellStyle name="20% - Accent1 3 6 2 3" xfId="20973" xr:uid="{8D8D6FF1-2230-4679-8E90-40958019F292}"/>
    <cellStyle name="20% - Accent1 3 6 2 4" xfId="29420" xr:uid="{9687A15E-9BA0-425D-B0DA-F5195D7D9012}"/>
    <cellStyle name="20% - Accent1 3 6 2 5" xfId="12532" xr:uid="{7AE6C75A-499C-4142-8CD7-25F896DBD099}"/>
    <cellStyle name="20% - Accent1 3 6 3" xfId="6163" xr:uid="{00000000-0005-0000-0000-000076000000}"/>
    <cellStyle name="20% - Accent1 3 6 3 2" xfId="23046" xr:uid="{9AD68122-27B6-40B8-9859-A17E0E0F5BD0}"/>
    <cellStyle name="20% - Accent1 3 6 3 3" xfId="31492" xr:uid="{2BFE6595-F756-4F75-9012-C29383CC9B7C}"/>
    <cellStyle name="20% - Accent1 3 6 3 4" xfId="14605" xr:uid="{C03C9E2D-55A0-43AA-8CC1-6A66DE8B1B1C}"/>
    <cellStyle name="20% - Accent1 3 6 4" xfId="18828" xr:uid="{D9260352-E040-461C-82D1-1B3A724D434C}"/>
    <cellStyle name="20% - Accent1 3 6 5" xfId="27273" xr:uid="{63666981-B8AC-4B9E-884A-596D81F95118}"/>
    <cellStyle name="20% - Accent1 3 6 6" xfId="10387" xr:uid="{E0C937D3-BCDD-401B-94D8-6D9B0896D6D5}"/>
    <cellStyle name="20% - Accent1 3 7" xfId="2269" xr:uid="{00000000-0005-0000-0000-000077000000}"/>
    <cellStyle name="20% - Accent1 3 7 2" xfId="6576" xr:uid="{00000000-0005-0000-0000-000078000000}"/>
    <cellStyle name="20% - Accent1 3 7 2 2" xfId="23459" xr:uid="{73F7EBB5-6883-443F-B04E-E58AB3559821}"/>
    <cellStyle name="20% - Accent1 3 7 2 3" xfId="31905" xr:uid="{CA851F90-B167-47C8-87BD-254CCBD1E26A}"/>
    <cellStyle name="20% - Accent1 3 7 2 4" xfId="15018" xr:uid="{6306F1A1-B2AE-405F-A1B1-FD68321B9C52}"/>
    <cellStyle name="20% - Accent1 3 7 3" xfId="19241" xr:uid="{B44519F9-7F05-4B88-A5C5-B4D7DC4C7DEF}"/>
    <cellStyle name="20% - Accent1 3 7 4" xfId="27686" xr:uid="{8AEA66F3-6A9E-43A6-8F14-3B9E2A91FD00}"/>
    <cellStyle name="20% - Accent1 3 7 5" xfId="10800" xr:uid="{B68F6B09-4554-4C27-B2D1-09A81FA54FB6}"/>
    <cellStyle name="20% - Accent1 3 8" xfId="4510" xr:uid="{00000000-0005-0000-0000-000079000000}"/>
    <cellStyle name="20% - Accent1 3 8 2" xfId="21393" xr:uid="{EE3B3BD5-1889-47A4-9D10-AFCE5F9CAA65}"/>
    <cellStyle name="20% - Accent1 3 8 3" xfId="29839" xr:uid="{FE715CAB-8732-4B92-B98E-DC8458227A20}"/>
    <cellStyle name="20% - Accent1 3 8 4" xfId="12952" xr:uid="{A00CB1A4-60C6-473C-BD16-2FA5AD3B846F}"/>
    <cellStyle name="20% - Accent1 3 9" xfId="17175" xr:uid="{DC05A6E6-17E9-44C6-871E-AFD5091DC14C}"/>
    <cellStyle name="20% - Accent1 4" xfId="8" xr:uid="{00000000-0005-0000-0000-00007A000000}"/>
    <cellStyle name="20% - Accent1 4 10" xfId="8736" xr:uid="{B05A5749-CB38-4756-A3D4-FCB1464CF618}"/>
    <cellStyle name="20% - Accent1 4 2" xfId="577" xr:uid="{00000000-0005-0000-0000-00007B000000}"/>
    <cellStyle name="20% - Accent1 4 2 2" xfId="2848" xr:uid="{00000000-0005-0000-0000-00007C000000}"/>
    <cellStyle name="20% - Accent1 4 2 2 2" xfId="7071" xr:uid="{00000000-0005-0000-0000-00007D000000}"/>
    <cellStyle name="20% - Accent1 4 2 2 2 2" xfId="23954" xr:uid="{602B63ED-E703-43E2-8E2C-4777C9909DC5}"/>
    <cellStyle name="20% - Accent1 4 2 2 2 3" xfId="32400" xr:uid="{FF6DC037-6147-4A9E-834C-E6ECF08919D1}"/>
    <cellStyle name="20% - Accent1 4 2 2 2 4" xfId="15513" xr:uid="{BFF64DE0-371A-4D18-A65B-45240FEB1E8E}"/>
    <cellStyle name="20% - Accent1 4 2 2 3" xfId="19736" xr:uid="{360DFDE4-42B0-4B6D-9301-DAD12E7CD9D9}"/>
    <cellStyle name="20% - Accent1 4 2 2 4" xfId="28183" xr:uid="{9BC8325E-EE97-420A-854B-303497AF6193}"/>
    <cellStyle name="20% - Accent1 4 2 2 5" xfId="11295" xr:uid="{976F751E-A827-4805-92BD-EF976F32D768}"/>
    <cellStyle name="20% - Accent1 4 2 3" xfId="4926" xr:uid="{00000000-0005-0000-0000-00007E000000}"/>
    <cellStyle name="20% - Accent1 4 2 3 2" xfId="21809" xr:uid="{C5B01776-E6A5-4947-9AF6-4AA9FF7B2778}"/>
    <cellStyle name="20% - Accent1 4 2 3 3" xfId="30255" xr:uid="{E94E4AD6-361A-4BA7-BA96-608A32835FC1}"/>
    <cellStyle name="20% - Accent1 4 2 3 4" xfId="13368" xr:uid="{4523E6A3-E93F-4A7E-908E-FACAB129BCA2}"/>
    <cellStyle name="20% - Accent1 4 2 4" xfId="17591" xr:uid="{FC385BB4-94BA-4393-A2D3-408BE8C83FF9}"/>
    <cellStyle name="20% - Accent1 4 2 5" xfId="26036" xr:uid="{A43802CA-604C-4AD3-8194-96A956B75395}"/>
    <cellStyle name="20% - Accent1 4 2 6" xfId="9150" xr:uid="{0FDB970D-0028-42A8-92D1-F68CBCF1C45C}"/>
    <cellStyle name="20% - Accent1 4 3" xfId="1030" xr:uid="{00000000-0005-0000-0000-00007F000000}"/>
    <cellStyle name="20% - Accent1 4 3 2" xfId="3261" xr:uid="{00000000-0005-0000-0000-000080000000}"/>
    <cellStyle name="20% - Accent1 4 3 2 2" xfId="7484" xr:uid="{00000000-0005-0000-0000-000081000000}"/>
    <cellStyle name="20% - Accent1 4 3 2 2 2" xfId="24367" xr:uid="{E8534AD2-FAC6-4DFD-8148-C0C2F74E3404}"/>
    <cellStyle name="20% - Accent1 4 3 2 2 3" xfId="32813" xr:uid="{E2081A23-B08D-4217-B589-AAF26F667572}"/>
    <cellStyle name="20% - Accent1 4 3 2 2 4" xfId="15926" xr:uid="{A977086A-1AE4-4670-9F39-F50397B4C2C6}"/>
    <cellStyle name="20% - Accent1 4 3 2 3" xfId="20149" xr:uid="{48072579-7277-4E27-8498-0502A43CBE0E}"/>
    <cellStyle name="20% - Accent1 4 3 2 4" xfId="28596" xr:uid="{05DFBCF9-B776-48D2-ADE9-C815C85B2BA6}"/>
    <cellStyle name="20% - Accent1 4 3 2 5" xfId="11708" xr:uid="{7D3AC177-58C8-4E36-AEE5-0A38C4096A3E}"/>
    <cellStyle name="20% - Accent1 4 3 3" xfId="5339" xr:uid="{00000000-0005-0000-0000-000082000000}"/>
    <cellStyle name="20% - Accent1 4 3 3 2" xfId="22222" xr:uid="{1CF51B72-55B5-4955-9052-CCFE48426575}"/>
    <cellStyle name="20% - Accent1 4 3 3 3" xfId="30668" xr:uid="{071A2D89-7634-4A76-973F-246E76FC7BB2}"/>
    <cellStyle name="20% - Accent1 4 3 3 4" xfId="13781" xr:uid="{519E4467-EDE5-4D53-B20B-17203886CECE}"/>
    <cellStyle name="20% - Accent1 4 3 4" xfId="18004" xr:uid="{4586BA99-AD7E-425F-A512-0712B1981B0F}"/>
    <cellStyle name="20% - Accent1 4 3 5" xfId="26449" xr:uid="{B89B5FA6-5959-4005-936E-5BBD613DF72A}"/>
    <cellStyle name="20% - Accent1 4 3 6" xfId="9563" xr:uid="{0E91FF85-CA1D-4561-96B3-C85CC6E73D65}"/>
    <cellStyle name="20% - Accent1 4 4" xfId="1444" xr:uid="{00000000-0005-0000-0000-000083000000}"/>
    <cellStyle name="20% - Accent1 4 4 2" xfId="3674" xr:uid="{00000000-0005-0000-0000-000084000000}"/>
    <cellStyle name="20% - Accent1 4 4 2 2" xfId="7897" xr:uid="{00000000-0005-0000-0000-000085000000}"/>
    <cellStyle name="20% - Accent1 4 4 2 2 2" xfId="24780" xr:uid="{3B216B57-021E-4F76-90E7-76B2E12B27E3}"/>
    <cellStyle name="20% - Accent1 4 4 2 2 3" xfId="33226" xr:uid="{6E2C7F45-8A90-4C33-BF01-138288DFE281}"/>
    <cellStyle name="20% - Accent1 4 4 2 2 4" xfId="16339" xr:uid="{40F78B92-4917-4746-ABAA-DFACA0ABD77F}"/>
    <cellStyle name="20% - Accent1 4 4 2 3" xfId="20562" xr:uid="{96A3B404-AD3D-4360-9374-D9F119E0FAC2}"/>
    <cellStyle name="20% - Accent1 4 4 2 4" xfId="29009" xr:uid="{73BA7A7B-6398-42CD-A814-E1411924FA4C}"/>
    <cellStyle name="20% - Accent1 4 4 2 5" xfId="12121" xr:uid="{88DB6CBD-747C-4D82-9C78-233FBB823365}"/>
    <cellStyle name="20% - Accent1 4 4 3" xfId="5752" xr:uid="{00000000-0005-0000-0000-000086000000}"/>
    <cellStyle name="20% - Accent1 4 4 3 2" xfId="22635" xr:uid="{6A4C73BF-9D4B-4C1D-AD65-64925A5D4C62}"/>
    <cellStyle name="20% - Accent1 4 4 3 3" xfId="31081" xr:uid="{3E77AB0A-5636-4533-A9AC-FF2E0332C8D5}"/>
    <cellStyle name="20% - Accent1 4 4 3 4" xfId="14194" xr:uid="{5E720755-9AC9-474A-9708-286E9F52375B}"/>
    <cellStyle name="20% - Accent1 4 4 4" xfId="18417" xr:uid="{6EB244B2-5B52-4EFD-B8F6-AFA4DF18DD4A}"/>
    <cellStyle name="20% - Accent1 4 4 5" xfId="26862" xr:uid="{20C93D30-5932-4DED-8B8F-797BC144191B}"/>
    <cellStyle name="20% - Accent1 4 4 6" xfId="9976" xr:uid="{8F0B8BBB-4739-4365-99D4-25279861E050}"/>
    <cellStyle name="20% - Accent1 4 5" xfId="1858" xr:uid="{00000000-0005-0000-0000-000087000000}"/>
    <cellStyle name="20% - Accent1 4 5 2" xfId="4087" xr:uid="{00000000-0005-0000-0000-000088000000}"/>
    <cellStyle name="20% - Accent1 4 5 2 2" xfId="8310" xr:uid="{00000000-0005-0000-0000-000089000000}"/>
    <cellStyle name="20% - Accent1 4 5 2 2 2" xfId="25193" xr:uid="{43F911DF-189A-433C-A5AA-962670924408}"/>
    <cellStyle name="20% - Accent1 4 5 2 2 3" xfId="33639" xr:uid="{62918F28-71EA-4FAB-B997-1AC1A7DAF867}"/>
    <cellStyle name="20% - Accent1 4 5 2 2 4" xfId="16752" xr:uid="{08A34074-F69E-4A0E-B768-678DF2B2A6CB}"/>
    <cellStyle name="20% - Accent1 4 5 2 3" xfId="20975" xr:uid="{A54388FB-2D38-4BD5-AC04-E283385D5F01}"/>
    <cellStyle name="20% - Accent1 4 5 2 4" xfId="29422" xr:uid="{5272173E-789A-4699-8F0D-CDABAF5A4F2E}"/>
    <cellStyle name="20% - Accent1 4 5 2 5" xfId="12534" xr:uid="{EDE4E7D9-2966-4BD5-84E4-A98184639060}"/>
    <cellStyle name="20% - Accent1 4 5 3" xfId="6165" xr:uid="{00000000-0005-0000-0000-00008A000000}"/>
    <cellStyle name="20% - Accent1 4 5 3 2" xfId="23048" xr:uid="{771C320B-422B-4A9B-BBF2-625171A9F992}"/>
    <cellStyle name="20% - Accent1 4 5 3 3" xfId="31494" xr:uid="{9D8289EA-6EC3-4E95-B28B-F84C29143693}"/>
    <cellStyle name="20% - Accent1 4 5 3 4" xfId="14607" xr:uid="{859A175E-E330-47E7-B30E-0BC96FEDFDDF}"/>
    <cellStyle name="20% - Accent1 4 5 4" xfId="18830" xr:uid="{48F20BA4-2787-494F-9B9C-B2302E1E95F0}"/>
    <cellStyle name="20% - Accent1 4 5 5" xfId="27275" xr:uid="{4F46DA67-2BE9-4A3D-BF09-F42664A4EE42}"/>
    <cellStyle name="20% - Accent1 4 5 6" xfId="10389" xr:uid="{D8834629-521C-439F-96D2-52FE87BA226B}"/>
    <cellStyle name="20% - Accent1 4 6" xfId="2271" xr:uid="{00000000-0005-0000-0000-00008B000000}"/>
    <cellStyle name="20% - Accent1 4 6 2" xfId="6578" xr:uid="{00000000-0005-0000-0000-00008C000000}"/>
    <cellStyle name="20% - Accent1 4 6 2 2" xfId="23461" xr:uid="{63CE5508-240A-4EA7-97EA-FB27FBCC08D1}"/>
    <cellStyle name="20% - Accent1 4 6 2 3" xfId="31907" xr:uid="{645325D4-4054-4B37-8625-696D0A190F25}"/>
    <cellStyle name="20% - Accent1 4 6 2 4" xfId="15020" xr:uid="{CD206EAD-29D1-4DDD-B04D-9C1335BF3C7B}"/>
    <cellStyle name="20% - Accent1 4 6 3" xfId="19243" xr:uid="{9E1FFCD0-9788-48BE-8AAE-8ACCAE1C9B64}"/>
    <cellStyle name="20% - Accent1 4 6 4" xfId="27688" xr:uid="{75B21447-7EF6-496E-B67C-DB69ED93E692}"/>
    <cellStyle name="20% - Accent1 4 6 5" xfId="10802" xr:uid="{56D308C1-779A-4E49-877A-84F4812EC257}"/>
    <cellStyle name="20% - Accent1 4 7" xfId="4512" xr:uid="{00000000-0005-0000-0000-00008D000000}"/>
    <cellStyle name="20% - Accent1 4 7 2" xfId="21395" xr:uid="{3476FC6E-C272-49C3-9277-088A9CE056C5}"/>
    <cellStyle name="20% - Accent1 4 7 3" xfId="29841" xr:uid="{83545A09-E38C-4D55-AD5C-F74A5FF1496E}"/>
    <cellStyle name="20% - Accent1 4 7 4" xfId="12954" xr:uid="{5D72A928-CC57-4C9D-8B61-100385D76283}"/>
    <cellStyle name="20% - Accent1 4 8" xfId="17177" xr:uid="{7A907595-4812-4468-8BD1-5CD3417D450B}"/>
    <cellStyle name="20% - Accent1 4 9" xfId="25619" xr:uid="{A0455B33-78B4-4E97-A6FD-ABB2393307CE}"/>
    <cellStyle name="20% - Accent1 5" xfId="570" xr:uid="{00000000-0005-0000-0000-00008E000000}"/>
    <cellStyle name="20% - Accent1 5 2" xfId="2841" xr:uid="{00000000-0005-0000-0000-00008F000000}"/>
    <cellStyle name="20% - Accent1 5 2 2" xfId="7064" xr:uid="{00000000-0005-0000-0000-000090000000}"/>
    <cellStyle name="20% - Accent1 5 2 2 2" xfId="23947" xr:uid="{C111E3DA-8ADB-4B63-B89F-3E4D406D9FF9}"/>
    <cellStyle name="20% - Accent1 5 2 2 3" xfId="32393" xr:uid="{A21C6694-3AAB-4C8E-AFBF-F1F80CEB4420}"/>
    <cellStyle name="20% - Accent1 5 2 2 4" xfId="15506" xr:uid="{16D53F8A-0705-4511-820A-5A08498E7343}"/>
    <cellStyle name="20% - Accent1 5 2 3" xfId="19729" xr:uid="{025575B5-699F-4033-87ED-5A521C417975}"/>
    <cellStyle name="20% - Accent1 5 2 4" xfId="28176" xr:uid="{41760758-F8B2-438D-9EC3-B9520842DE9D}"/>
    <cellStyle name="20% - Accent1 5 2 5" xfId="11288" xr:uid="{CC28EC6A-4798-48F4-9E42-D2BD672516F9}"/>
    <cellStyle name="20% - Accent1 5 3" xfId="4919" xr:uid="{00000000-0005-0000-0000-000091000000}"/>
    <cellStyle name="20% - Accent1 5 3 2" xfId="21802" xr:uid="{8A44CA2A-5717-4DDC-9447-834B1C134A1B}"/>
    <cellStyle name="20% - Accent1 5 3 3" xfId="30248" xr:uid="{CEF53602-19DB-45D6-AFBF-0FB93FCDE8AF}"/>
    <cellStyle name="20% - Accent1 5 3 4" xfId="13361" xr:uid="{4A65BEFB-D653-48BD-BB8C-F24AA728226D}"/>
    <cellStyle name="20% - Accent1 5 4" xfId="17584" xr:uid="{5FE504A9-6878-443D-AD94-B37BC39189C7}"/>
    <cellStyle name="20% - Accent1 5 5" xfId="26029" xr:uid="{C9F294CA-7C9B-4BDA-81B6-32798E4CE7A2}"/>
    <cellStyle name="20% - Accent1 5 6" xfId="9143" xr:uid="{46229E55-E54A-4DA6-98D1-2FAA43CA16DF}"/>
    <cellStyle name="20% - Accent1 6" xfId="1023" xr:uid="{00000000-0005-0000-0000-000092000000}"/>
    <cellStyle name="20% - Accent1 6 2" xfId="3254" xr:uid="{00000000-0005-0000-0000-000093000000}"/>
    <cellStyle name="20% - Accent1 6 2 2" xfId="7477" xr:uid="{00000000-0005-0000-0000-000094000000}"/>
    <cellStyle name="20% - Accent1 6 2 2 2" xfId="24360" xr:uid="{ADCAD0F4-CB8D-4340-A79D-610D3F95FAB8}"/>
    <cellStyle name="20% - Accent1 6 2 2 3" xfId="32806" xr:uid="{F1FBA38A-9980-482B-B495-84D94B4575C7}"/>
    <cellStyle name="20% - Accent1 6 2 2 4" xfId="15919" xr:uid="{F9E2686C-AB15-4143-8E14-980EB7B22BD4}"/>
    <cellStyle name="20% - Accent1 6 2 3" xfId="20142" xr:uid="{6D85B4CB-BC76-4DCF-A6E3-17A5D0EAD0C4}"/>
    <cellStyle name="20% - Accent1 6 2 4" xfId="28589" xr:uid="{8D4331BF-CA43-4547-B980-F1B10837B1AC}"/>
    <cellStyle name="20% - Accent1 6 2 5" xfId="11701" xr:uid="{45652369-126E-44E4-B2B7-6686F5E03E72}"/>
    <cellStyle name="20% - Accent1 6 3" xfId="5332" xr:uid="{00000000-0005-0000-0000-000095000000}"/>
    <cellStyle name="20% - Accent1 6 3 2" xfId="22215" xr:uid="{A754CA87-2BE6-4A92-9B05-F51C2001FB57}"/>
    <cellStyle name="20% - Accent1 6 3 3" xfId="30661" xr:uid="{F4DC4C13-B14B-4093-9A93-FAD77774E3F3}"/>
    <cellStyle name="20% - Accent1 6 3 4" xfId="13774" xr:uid="{0E08F7AC-A112-4094-8796-6BEAE2DF2E8A}"/>
    <cellStyle name="20% - Accent1 6 4" xfId="17997" xr:uid="{5620EFF6-66A4-462C-AA9A-5BA7656303BB}"/>
    <cellStyle name="20% - Accent1 6 5" xfId="26442" xr:uid="{45D4BD36-4DB7-443E-A916-22C9A025BEB0}"/>
    <cellStyle name="20% - Accent1 6 6" xfId="9556" xr:uid="{59F17015-616E-453E-8DE3-032DE5146932}"/>
    <cellStyle name="20% - Accent1 7" xfId="1437" xr:uid="{00000000-0005-0000-0000-000096000000}"/>
    <cellStyle name="20% - Accent1 7 2" xfId="3667" xr:uid="{00000000-0005-0000-0000-000097000000}"/>
    <cellStyle name="20% - Accent1 7 2 2" xfId="7890" xr:uid="{00000000-0005-0000-0000-000098000000}"/>
    <cellStyle name="20% - Accent1 7 2 2 2" xfId="24773" xr:uid="{E6B43CC9-3D69-4FFC-A43B-7B0409C20B0E}"/>
    <cellStyle name="20% - Accent1 7 2 2 3" xfId="33219" xr:uid="{210804F8-27A6-452B-931B-09445E371209}"/>
    <cellStyle name="20% - Accent1 7 2 2 4" xfId="16332" xr:uid="{0F1B4821-7082-4A56-8196-98D1C6FE59E5}"/>
    <cellStyle name="20% - Accent1 7 2 3" xfId="20555" xr:uid="{31F14B69-0D44-482D-8C8E-0FEECA56367C}"/>
    <cellStyle name="20% - Accent1 7 2 4" xfId="29002" xr:uid="{D93E7B69-666D-4F83-8B4B-029FD3F8F1DA}"/>
    <cellStyle name="20% - Accent1 7 2 5" xfId="12114" xr:uid="{06EB663C-40E8-43A3-BF7C-C97FA7F76400}"/>
    <cellStyle name="20% - Accent1 7 3" xfId="5745" xr:uid="{00000000-0005-0000-0000-000099000000}"/>
    <cellStyle name="20% - Accent1 7 3 2" xfId="22628" xr:uid="{45E53C3B-C732-4AE3-98C8-95364332ACA3}"/>
    <cellStyle name="20% - Accent1 7 3 3" xfId="31074" xr:uid="{8AA04834-3C54-4F56-BFC5-2BE66653F88C}"/>
    <cellStyle name="20% - Accent1 7 3 4" xfId="14187" xr:uid="{6CDEE43C-E55B-48DD-9B76-5E86F02CBB36}"/>
    <cellStyle name="20% - Accent1 7 4" xfId="18410" xr:uid="{AB52CC13-FB6B-4FD4-914D-C7B8BC573E3B}"/>
    <cellStyle name="20% - Accent1 7 5" xfId="26855" xr:uid="{D6C87EAE-0E39-4E1A-9B26-066762A5848E}"/>
    <cellStyle name="20% - Accent1 7 6" xfId="9969" xr:uid="{0A22F047-D35F-4B77-B368-BAF53B58433D}"/>
    <cellStyle name="20% - Accent1 8" xfId="1851" xr:uid="{00000000-0005-0000-0000-00009A000000}"/>
    <cellStyle name="20% - Accent1 8 2" xfId="4080" xr:uid="{00000000-0005-0000-0000-00009B000000}"/>
    <cellStyle name="20% - Accent1 8 2 2" xfId="8303" xr:uid="{00000000-0005-0000-0000-00009C000000}"/>
    <cellStyle name="20% - Accent1 8 2 2 2" xfId="25186" xr:uid="{7AF26D6B-642C-4D5C-8222-551CE1CE2474}"/>
    <cellStyle name="20% - Accent1 8 2 2 3" xfId="33632" xr:uid="{D33AABED-7FD7-46B5-A84E-562BA81BAFBE}"/>
    <cellStyle name="20% - Accent1 8 2 2 4" xfId="16745" xr:uid="{4AF6886F-C7FD-4C3E-A51D-ED37454D0D3E}"/>
    <cellStyle name="20% - Accent1 8 2 3" xfId="20968" xr:uid="{C04E1A4D-FD35-40FE-A135-675B77F5F57B}"/>
    <cellStyle name="20% - Accent1 8 2 4" xfId="29415" xr:uid="{B22942EE-745B-457C-81E8-F652ABD2A134}"/>
    <cellStyle name="20% - Accent1 8 2 5" xfId="12527" xr:uid="{270A65B0-996F-467B-88E9-4B2CC68FBAB0}"/>
    <cellStyle name="20% - Accent1 8 3" xfId="6158" xr:uid="{00000000-0005-0000-0000-00009D000000}"/>
    <cellStyle name="20% - Accent1 8 3 2" xfId="23041" xr:uid="{AF30F3D1-816C-4A78-A972-2443361683FB}"/>
    <cellStyle name="20% - Accent1 8 3 3" xfId="31487" xr:uid="{2DE9ABAD-A1FC-421A-B0B9-CD9E37D88473}"/>
    <cellStyle name="20% - Accent1 8 3 4" xfId="14600" xr:uid="{D99AA3F3-E776-42B3-B091-E9870C984ED9}"/>
    <cellStyle name="20% - Accent1 8 4" xfId="18823" xr:uid="{1DA5BC76-4B33-4C79-9666-162115C3C4F0}"/>
    <cellStyle name="20% - Accent1 8 5" xfId="27268" xr:uid="{4EC917DD-0417-4794-ADD8-20E2DC489DDE}"/>
    <cellStyle name="20% - Accent1 8 6" xfId="10382" xr:uid="{1FB8908C-E60B-4FFF-BB66-B46B4AA045A3}"/>
    <cellStyle name="20% - Accent1 9" xfId="2264" xr:uid="{00000000-0005-0000-0000-00009E000000}"/>
    <cellStyle name="20% - Accent1 9 2" xfId="6571" xr:uid="{00000000-0005-0000-0000-00009F000000}"/>
    <cellStyle name="20% - Accent1 9 2 2" xfId="23454" xr:uid="{C865F0C6-2430-4255-A638-0BBED5358F86}"/>
    <cellStyle name="20% - Accent1 9 2 3" xfId="31900" xr:uid="{93E462C1-98BA-422C-B9F0-B757C0588D3D}"/>
    <cellStyle name="20% - Accent1 9 2 4" xfId="15013" xr:uid="{E0248633-D91D-4FB6-B6A5-BCA7005D06C2}"/>
    <cellStyle name="20% - Accent1 9 3" xfId="19236" xr:uid="{A0AEE817-0093-4494-BAB3-B1E1189D17DF}"/>
    <cellStyle name="20% - Accent1 9 4" xfId="27681" xr:uid="{5E5045E1-CCE7-4C61-82AF-BC43C7394291}"/>
    <cellStyle name="20% - Accent1 9 5" xfId="10795" xr:uid="{9F876D8A-3D62-4BCC-9DD0-982E75C8DD6B}"/>
    <cellStyle name="20% - Accent2" xfId="9" builtinId="34" customBuiltin="1"/>
    <cellStyle name="20% - Accent2 10" xfId="4513" xr:uid="{00000000-0005-0000-0000-0000A1000000}"/>
    <cellStyle name="20% - Accent2 10 2" xfId="21396" xr:uid="{4CE82A9A-B5EA-4AD5-AE41-15B3F3CE8592}"/>
    <cellStyle name="20% - Accent2 10 3" xfId="29842" xr:uid="{B714D5E8-A4B2-4524-A42F-1B8ADE9FE16D}"/>
    <cellStyle name="20% - Accent2 10 4" xfId="12955" xr:uid="{8FB51719-8853-4945-A3FB-0B98FDFCE88A}"/>
    <cellStyle name="20% - Accent2 11" xfId="17178" xr:uid="{C68FDCC1-5B9E-465B-8B3B-02BE61A00594}"/>
    <cellStyle name="20% - Accent2 12" xfId="25620" xr:uid="{7006E92A-057A-4158-B39E-8D7D454A42A9}"/>
    <cellStyle name="20% - Accent2 13" xfId="8737" xr:uid="{0DE451DC-1A26-46DB-8F08-C754AB5E3209}"/>
    <cellStyle name="20% - Accent2 2" xfId="10" xr:uid="{00000000-0005-0000-0000-0000A2000000}"/>
    <cellStyle name="20% - Accent2 2 10" xfId="17179" xr:uid="{014FAAA3-FAD9-40FF-ACA4-322136595904}"/>
    <cellStyle name="20% - Accent2 2 11" xfId="25621" xr:uid="{DCADE574-EA95-42A5-91BA-35A25E6B2878}"/>
    <cellStyle name="20% - Accent2 2 12" xfId="8738" xr:uid="{C09A25E4-0EBB-43ED-A846-7705B80542CD}"/>
    <cellStyle name="20% - Accent2 2 2" xfId="11" xr:uid="{00000000-0005-0000-0000-0000A3000000}"/>
    <cellStyle name="20% - Accent2 2 2 10" xfId="25622" xr:uid="{10F9EAE3-3DFC-4A52-AA7D-095E3EDC553A}"/>
    <cellStyle name="20% - Accent2 2 2 11" xfId="8739" xr:uid="{0AD3AE39-78BD-475F-B620-70C8D1ADFB84}"/>
    <cellStyle name="20% - Accent2 2 2 2" xfId="12" xr:uid="{00000000-0005-0000-0000-0000A4000000}"/>
    <cellStyle name="20% - Accent2 2 2 2 10" xfId="8740" xr:uid="{73ED9C99-9BD1-4254-A469-04891092B25F}"/>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23958" xr:uid="{692F746F-F65F-4BC4-B6D6-0ED1704AA9F6}"/>
    <cellStyle name="20% - Accent2 2 2 2 2 2 2 3" xfId="32404" xr:uid="{97E0AE1E-B502-41BE-9C10-A0B80B6934B1}"/>
    <cellStyle name="20% - Accent2 2 2 2 2 2 2 4" xfId="15517" xr:uid="{7AE4027B-E244-4102-AF2E-788C94EF77D8}"/>
    <cellStyle name="20% - Accent2 2 2 2 2 2 3" xfId="19740" xr:uid="{AA118D39-E14A-41FE-B377-2A0959ACEF26}"/>
    <cellStyle name="20% - Accent2 2 2 2 2 2 4" xfId="28187" xr:uid="{5B3C8067-F01E-4E4D-99DF-CC4F1092D513}"/>
    <cellStyle name="20% - Accent2 2 2 2 2 2 5" xfId="11299" xr:uid="{1C55A85B-05A9-439F-867B-ADE4F98D16EE}"/>
    <cellStyle name="20% - Accent2 2 2 2 2 3" xfId="4930" xr:uid="{00000000-0005-0000-0000-0000A8000000}"/>
    <cellStyle name="20% - Accent2 2 2 2 2 3 2" xfId="21813" xr:uid="{D9A95057-2B8D-4706-B589-DB9E406AA0CD}"/>
    <cellStyle name="20% - Accent2 2 2 2 2 3 3" xfId="30259" xr:uid="{F360B108-C42E-4653-AB36-B24D927B3FCE}"/>
    <cellStyle name="20% - Accent2 2 2 2 2 3 4" xfId="13372" xr:uid="{39038009-A02A-4883-AA71-B97BC820F521}"/>
    <cellStyle name="20% - Accent2 2 2 2 2 4" xfId="17595" xr:uid="{5EEFF5FC-C117-49D4-ADBB-0431EE2C2E77}"/>
    <cellStyle name="20% - Accent2 2 2 2 2 5" xfId="26040" xr:uid="{00379C12-A35B-4F4A-8135-E76CEE3822B4}"/>
    <cellStyle name="20% - Accent2 2 2 2 2 6" xfId="9154" xr:uid="{F99ADA3B-C98B-40DE-A893-91C920EDC44E}"/>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24371" xr:uid="{6732F9DC-4984-4FFA-B0A4-5D7F9D3F5B99}"/>
    <cellStyle name="20% - Accent2 2 2 2 3 2 2 3" xfId="32817" xr:uid="{6FBEB79B-8BB7-4C47-921E-7C1F2965C2A4}"/>
    <cellStyle name="20% - Accent2 2 2 2 3 2 2 4" xfId="15930" xr:uid="{605A1EA6-CB3D-47A1-B902-86F338872EBF}"/>
    <cellStyle name="20% - Accent2 2 2 2 3 2 3" xfId="20153" xr:uid="{F5DE4BED-7D78-4EB2-9469-5F9BDF95AEFC}"/>
    <cellStyle name="20% - Accent2 2 2 2 3 2 4" xfId="28600" xr:uid="{D85B7D8F-4E02-42CF-B09D-3353A7441AAC}"/>
    <cellStyle name="20% - Accent2 2 2 2 3 2 5" xfId="11712" xr:uid="{7AFCC4C9-AF1B-413F-9411-A8F1F05F8362}"/>
    <cellStyle name="20% - Accent2 2 2 2 3 3" xfId="5343" xr:uid="{00000000-0005-0000-0000-0000AC000000}"/>
    <cellStyle name="20% - Accent2 2 2 2 3 3 2" xfId="22226" xr:uid="{849F9593-277E-44C6-A093-956BF86DC57A}"/>
    <cellStyle name="20% - Accent2 2 2 2 3 3 3" xfId="30672" xr:uid="{2254027D-6480-449F-AFC2-D5942C67B34B}"/>
    <cellStyle name="20% - Accent2 2 2 2 3 3 4" xfId="13785" xr:uid="{D4F245E3-0AD7-4CEA-A311-BE9A980325C5}"/>
    <cellStyle name="20% - Accent2 2 2 2 3 4" xfId="18008" xr:uid="{71C0CDA2-FA13-47E9-9E69-CB48C9B22A7A}"/>
    <cellStyle name="20% - Accent2 2 2 2 3 5" xfId="26453" xr:uid="{11BE5BEA-A0D3-4C4C-8F25-C1315748B96F}"/>
    <cellStyle name="20% - Accent2 2 2 2 3 6" xfId="9567" xr:uid="{E3D9CA85-C548-41A7-AAF0-10902E7062F8}"/>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24784" xr:uid="{AF6C8342-7752-44C8-A46D-782E8AC6EDD2}"/>
    <cellStyle name="20% - Accent2 2 2 2 4 2 2 3" xfId="33230" xr:uid="{E81033B2-3569-4A72-8081-512990DE6EAA}"/>
    <cellStyle name="20% - Accent2 2 2 2 4 2 2 4" xfId="16343" xr:uid="{8A9BB72E-71D4-459F-9E54-C07167C38AD2}"/>
    <cellStyle name="20% - Accent2 2 2 2 4 2 3" xfId="20566" xr:uid="{9DCE8D6F-344F-4FB5-AC61-8514602B6EE7}"/>
    <cellStyle name="20% - Accent2 2 2 2 4 2 4" xfId="29013" xr:uid="{7A0E780B-3368-454D-9707-86DFBDE56C14}"/>
    <cellStyle name="20% - Accent2 2 2 2 4 2 5" xfId="12125" xr:uid="{D3822535-E027-4623-859F-3BDF575DEC72}"/>
    <cellStyle name="20% - Accent2 2 2 2 4 3" xfId="5756" xr:uid="{00000000-0005-0000-0000-0000B0000000}"/>
    <cellStyle name="20% - Accent2 2 2 2 4 3 2" xfId="22639" xr:uid="{CDD4EC47-0D3D-4B64-B8A6-9141D0F66055}"/>
    <cellStyle name="20% - Accent2 2 2 2 4 3 3" xfId="31085" xr:uid="{AC99D6D7-2DB1-4999-993D-BCBB98DF27EA}"/>
    <cellStyle name="20% - Accent2 2 2 2 4 3 4" xfId="14198" xr:uid="{1E107208-6C53-4083-BD38-94AFA77221F6}"/>
    <cellStyle name="20% - Accent2 2 2 2 4 4" xfId="18421" xr:uid="{89774502-3B98-4970-9C25-E10C6097F1B4}"/>
    <cellStyle name="20% - Accent2 2 2 2 4 5" xfId="26866" xr:uid="{227F1EF4-3A5C-41BD-BF14-4E81D7646DC0}"/>
    <cellStyle name="20% - Accent2 2 2 2 4 6" xfId="9980" xr:uid="{30D04F6E-B78C-46EE-8843-EF5D5C542813}"/>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25197" xr:uid="{9B72CEC9-4CA3-48BD-8971-A7064ED185EB}"/>
    <cellStyle name="20% - Accent2 2 2 2 5 2 2 3" xfId="33643" xr:uid="{49D2C840-23C0-4E3C-97F4-9F8FCC8F786A}"/>
    <cellStyle name="20% - Accent2 2 2 2 5 2 2 4" xfId="16756" xr:uid="{72A3B60C-AC62-4F8E-B31A-E06B166B2296}"/>
    <cellStyle name="20% - Accent2 2 2 2 5 2 3" xfId="20979" xr:uid="{66E28E7E-2F04-4A35-BAA4-74C58A68CDBA}"/>
    <cellStyle name="20% - Accent2 2 2 2 5 2 4" xfId="29426" xr:uid="{1A80E7AB-76EF-49B0-B861-DA3591A895FE}"/>
    <cellStyle name="20% - Accent2 2 2 2 5 2 5" xfId="12538" xr:uid="{2FDE90F8-60B9-4C85-90F9-056C0740A6A5}"/>
    <cellStyle name="20% - Accent2 2 2 2 5 3" xfId="6169" xr:uid="{00000000-0005-0000-0000-0000B4000000}"/>
    <cellStyle name="20% - Accent2 2 2 2 5 3 2" xfId="23052" xr:uid="{EA0985D8-5F85-4B94-8696-0AAC7D2545C0}"/>
    <cellStyle name="20% - Accent2 2 2 2 5 3 3" xfId="31498" xr:uid="{41365E30-F9C1-4F7D-B287-58B5F153369A}"/>
    <cellStyle name="20% - Accent2 2 2 2 5 3 4" xfId="14611" xr:uid="{0451D5D6-2B94-4443-BFDB-21F2498CF9B9}"/>
    <cellStyle name="20% - Accent2 2 2 2 5 4" xfId="18834" xr:uid="{43D81FF9-C396-4572-BD59-F6D66660CED2}"/>
    <cellStyle name="20% - Accent2 2 2 2 5 5" xfId="27279" xr:uid="{F3895390-0E84-417D-A6CA-4AC8EEDC96E0}"/>
    <cellStyle name="20% - Accent2 2 2 2 5 6" xfId="10393" xr:uid="{8735CE93-1A7E-4331-83BA-F3F7BE489E50}"/>
    <cellStyle name="20% - Accent2 2 2 2 6" xfId="2275" xr:uid="{00000000-0005-0000-0000-0000B5000000}"/>
    <cellStyle name="20% - Accent2 2 2 2 6 2" xfId="6582" xr:uid="{00000000-0005-0000-0000-0000B6000000}"/>
    <cellStyle name="20% - Accent2 2 2 2 6 2 2" xfId="23465" xr:uid="{DE205E63-A6A2-4054-A5FF-EE9F29BF4BDD}"/>
    <cellStyle name="20% - Accent2 2 2 2 6 2 3" xfId="31911" xr:uid="{72BE89E7-2A4B-4054-967A-0529B15AD434}"/>
    <cellStyle name="20% - Accent2 2 2 2 6 2 4" xfId="15024" xr:uid="{53F2B985-78D2-4C82-8206-968617EFD29C}"/>
    <cellStyle name="20% - Accent2 2 2 2 6 3" xfId="19247" xr:uid="{DBB2FDAB-FA71-48F4-8328-DBBCC1B584CF}"/>
    <cellStyle name="20% - Accent2 2 2 2 6 4" xfId="27692" xr:uid="{E071365B-3478-475C-AA84-309C456F3DC9}"/>
    <cellStyle name="20% - Accent2 2 2 2 6 5" xfId="10806" xr:uid="{16489A47-B323-4190-A050-DEA639AAB823}"/>
    <cellStyle name="20% - Accent2 2 2 2 7" xfId="4516" xr:uid="{00000000-0005-0000-0000-0000B7000000}"/>
    <cellStyle name="20% - Accent2 2 2 2 7 2" xfId="21399" xr:uid="{565EEC5F-7C54-4B0E-B634-60C8A362438C}"/>
    <cellStyle name="20% - Accent2 2 2 2 7 3" xfId="29845" xr:uid="{4275A870-960C-4A43-814F-6CC8EFDA4922}"/>
    <cellStyle name="20% - Accent2 2 2 2 7 4" xfId="12958" xr:uid="{60E9C710-BFB4-4BF8-AC9C-CDE0CEA26E8B}"/>
    <cellStyle name="20% - Accent2 2 2 2 8" xfId="17181" xr:uid="{74F60743-52B3-4536-8CAF-3608DFA0D50F}"/>
    <cellStyle name="20% - Accent2 2 2 2 9" xfId="25623" xr:uid="{23633D99-B51F-4FAE-BD80-46745A45E9FD}"/>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23957" xr:uid="{F136E558-BADE-46F1-A31E-F1F9B8B9EDCC}"/>
    <cellStyle name="20% - Accent2 2 2 3 2 2 3" xfId="32403" xr:uid="{25A137E4-7CA2-4CA6-97A3-68DCFB2F07EE}"/>
    <cellStyle name="20% - Accent2 2 2 3 2 2 4" xfId="15516" xr:uid="{3BFE496B-78D9-4863-8EB1-4FAD517768A6}"/>
    <cellStyle name="20% - Accent2 2 2 3 2 3" xfId="19739" xr:uid="{468CFA28-1F81-439C-AA75-F6F9677D1544}"/>
    <cellStyle name="20% - Accent2 2 2 3 2 4" xfId="28186" xr:uid="{EB4E3100-6DA2-431C-BCEE-7ACB44BF43A8}"/>
    <cellStyle name="20% - Accent2 2 2 3 2 5" xfId="11298" xr:uid="{9090310C-38BD-48F1-AC7E-CA512DCC9C11}"/>
    <cellStyle name="20% - Accent2 2 2 3 3" xfId="4929" xr:uid="{00000000-0005-0000-0000-0000BB000000}"/>
    <cellStyle name="20% - Accent2 2 2 3 3 2" xfId="21812" xr:uid="{9061F619-4BA3-4D0E-8967-7A6FB6CC9821}"/>
    <cellStyle name="20% - Accent2 2 2 3 3 3" xfId="30258" xr:uid="{0068D149-1DC3-4FE3-8A16-256822451DB6}"/>
    <cellStyle name="20% - Accent2 2 2 3 3 4" xfId="13371" xr:uid="{3C1797B9-9E5D-46B9-9446-CF1FC4CC4B16}"/>
    <cellStyle name="20% - Accent2 2 2 3 4" xfId="17594" xr:uid="{D399830B-738F-479B-A4EF-BF5307132260}"/>
    <cellStyle name="20% - Accent2 2 2 3 5" xfId="26039" xr:uid="{D6670F7C-9611-47EA-9D6D-675727528EA7}"/>
    <cellStyle name="20% - Accent2 2 2 3 6" xfId="9153" xr:uid="{8804FC26-7E2E-4547-8120-92933A32CE51}"/>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24370" xr:uid="{0E9C7F33-2ACC-41A4-804D-9472D9F16035}"/>
    <cellStyle name="20% - Accent2 2 2 4 2 2 3" xfId="32816" xr:uid="{1E03CA9A-13BB-4A69-B6E5-B57E94A8E017}"/>
    <cellStyle name="20% - Accent2 2 2 4 2 2 4" xfId="15929" xr:uid="{6D51C58C-11FA-421B-994D-6B4A34CD3A93}"/>
    <cellStyle name="20% - Accent2 2 2 4 2 3" xfId="20152" xr:uid="{E16C928A-6CAD-4641-9F08-688C191A5C87}"/>
    <cellStyle name="20% - Accent2 2 2 4 2 4" xfId="28599" xr:uid="{7753DBE4-2491-46B3-96CA-1F4148F7A98A}"/>
    <cellStyle name="20% - Accent2 2 2 4 2 5" xfId="11711" xr:uid="{31535E82-0624-4F50-9B1B-D8FD1DDB655A}"/>
    <cellStyle name="20% - Accent2 2 2 4 3" xfId="5342" xr:uid="{00000000-0005-0000-0000-0000BF000000}"/>
    <cellStyle name="20% - Accent2 2 2 4 3 2" xfId="22225" xr:uid="{A1A9E3D7-EC27-44B5-AE9A-B4C673113CA2}"/>
    <cellStyle name="20% - Accent2 2 2 4 3 3" xfId="30671" xr:uid="{DF07B928-EEF8-455D-92C9-E21C22129458}"/>
    <cellStyle name="20% - Accent2 2 2 4 3 4" xfId="13784" xr:uid="{0BD1571B-B4CA-4175-8850-B8665E32C017}"/>
    <cellStyle name="20% - Accent2 2 2 4 4" xfId="18007" xr:uid="{88895399-C007-4B52-B3AF-3CCD321CD172}"/>
    <cellStyle name="20% - Accent2 2 2 4 5" xfId="26452" xr:uid="{FE1AA5E5-B5A2-4FE0-BE1A-700CD2DB9373}"/>
    <cellStyle name="20% - Accent2 2 2 4 6" xfId="9566" xr:uid="{41DF9536-9822-4ADD-9F46-DD09D78DA836}"/>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24783" xr:uid="{3BBAE85E-EE23-4A6A-A0DB-C2F4EC6C42A6}"/>
    <cellStyle name="20% - Accent2 2 2 5 2 2 3" xfId="33229" xr:uid="{2C2104C8-E549-49A6-A9A4-05DFCA8EC0E2}"/>
    <cellStyle name="20% - Accent2 2 2 5 2 2 4" xfId="16342" xr:uid="{9CEB2297-3E98-4BC0-883F-61E58B8539C5}"/>
    <cellStyle name="20% - Accent2 2 2 5 2 3" xfId="20565" xr:uid="{ADF89DA2-6F00-4908-849D-489137F7E7E7}"/>
    <cellStyle name="20% - Accent2 2 2 5 2 4" xfId="29012" xr:uid="{737A6882-0E65-4266-8D71-133F4AAAD1BC}"/>
    <cellStyle name="20% - Accent2 2 2 5 2 5" xfId="12124" xr:uid="{AB5C41AD-DA94-4691-A084-61F624688AFA}"/>
    <cellStyle name="20% - Accent2 2 2 5 3" xfId="5755" xr:uid="{00000000-0005-0000-0000-0000C3000000}"/>
    <cellStyle name="20% - Accent2 2 2 5 3 2" xfId="22638" xr:uid="{5A4D6624-5390-4768-9942-209B546A0C41}"/>
    <cellStyle name="20% - Accent2 2 2 5 3 3" xfId="31084" xr:uid="{EB26D2DD-19F8-4128-9A4B-BC005CB0A185}"/>
    <cellStyle name="20% - Accent2 2 2 5 3 4" xfId="14197" xr:uid="{74FB311A-9825-42D6-B33E-8B3D9F65C463}"/>
    <cellStyle name="20% - Accent2 2 2 5 4" xfId="18420" xr:uid="{967FE118-646E-41FA-9181-CDB3DBCDCABE}"/>
    <cellStyle name="20% - Accent2 2 2 5 5" xfId="26865" xr:uid="{04CF32FF-93F8-4581-A177-55AB42FA133D}"/>
    <cellStyle name="20% - Accent2 2 2 5 6" xfId="9979" xr:uid="{4478E94D-5DCC-474C-A98A-4BFEBE5C3B49}"/>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25196" xr:uid="{50CB8E25-056C-4D63-8032-9F399E89FC16}"/>
    <cellStyle name="20% - Accent2 2 2 6 2 2 3" xfId="33642" xr:uid="{EC8ADD07-6A39-4483-A0BC-39989DAA0567}"/>
    <cellStyle name="20% - Accent2 2 2 6 2 2 4" xfId="16755" xr:uid="{D597B23F-7A86-4494-9B59-D3F1D272B84E}"/>
    <cellStyle name="20% - Accent2 2 2 6 2 3" xfId="20978" xr:uid="{F6EE85D4-73E8-4C56-866F-E16E320DA295}"/>
    <cellStyle name="20% - Accent2 2 2 6 2 4" xfId="29425" xr:uid="{3F6DFBBF-674D-4046-A58A-AE4852908B24}"/>
    <cellStyle name="20% - Accent2 2 2 6 2 5" xfId="12537" xr:uid="{9D952EF1-5CD3-4E32-8BFA-5740528062BF}"/>
    <cellStyle name="20% - Accent2 2 2 6 3" xfId="6168" xr:uid="{00000000-0005-0000-0000-0000C7000000}"/>
    <cellStyle name="20% - Accent2 2 2 6 3 2" xfId="23051" xr:uid="{EEADFFBA-C1D4-419D-BE5C-BF4E236FD7D4}"/>
    <cellStyle name="20% - Accent2 2 2 6 3 3" xfId="31497" xr:uid="{0A86C86A-7180-42B4-9ACA-ABFCCF848653}"/>
    <cellStyle name="20% - Accent2 2 2 6 3 4" xfId="14610" xr:uid="{028E3CCF-0710-4BCF-A797-21AE9123AB4B}"/>
    <cellStyle name="20% - Accent2 2 2 6 4" xfId="18833" xr:uid="{0BB352FF-FCE8-47D7-A81F-FC81C0F751C7}"/>
    <cellStyle name="20% - Accent2 2 2 6 5" xfId="27278" xr:uid="{521D206F-BB3F-45EF-9158-92A3AB4F4CE9}"/>
    <cellStyle name="20% - Accent2 2 2 6 6" xfId="10392" xr:uid="{7B8EF98E-948A-45FE-A80C-9E4F752B390C}"/>
    <cellStyle name="20% - Accent2 2 2 7" xfId="2274" xr:uid="{00000000-0005-0000-0000-0000C8000000}"/>
    <cellStyle name="20% - Accent2 2 2 7 2" xfId="6581" xr:uid="{00000000-0005-0000-0000-0000C9000000}"/>
    <cellStyle name="20% - Accent2 2 2 7 2 2" xfId="23464" xr:uid="{51F2CDAA-EF0A-47BE-A757-CDC0513271CD}"/>
    <cellStyle name="20% - Accent2 2 2 7 2 3" xfId="31910" xr:uid="{2D9065A5-62B4-49B2-8E76-CDC587F6DE20}"/>
    <cellStyle name="20% - Accent2 2 2 7 2 4" xfId="15023" xr:uid="{552E6970-36B7-4473-A6A8-F11BFF253177}"/>
    <cellStyle name="20% - Accent2 2 2 7 3" xfId="19246" xr:uid="{53446B72-859F-4FB1-A100-F453C33D5D9A}"/>
    <cellStyle name="20% - Accent2 2 2 7 4" xfId="27691" xr:uid="{0438FCCB-80F0-4621-BF6B-F72928C089DC}"/>
    <cellStyle name="20% - Accent2 2 2 7 5" xfId="10805" xr:uid="{C1CAD25F-179F-4C7D-8891-DE0E27517A90}"/>
    <cellStyle name="20% - Accent2 2 2 8" xfId="4515" xr:uid="{00000000-0005-0000-0000-0000CA000000}"/>
    <cellStyle name="20% - Accent2 2 2 8 2" xfId="21398" xr:uid="{62D4A9C6-8A1B-492C-B99F-44995F14E14E}"/>
    <cellStyle name="20% - Accent2 2 2 8 3" xfId="29844" xr:uid="{6D93CF87-98E6-486F-A923-D1E691260DCD}"/>
    <cellStyle name="20% - Accent2 2 2 8 4" xfId="12957" xr:uid="{2E95E0B2-FD76-474E-8267-639F3C9691AD}"/>
    <cellStyle name="20% - Accent2 2 2 9" xfId="17180" xr:uid="{9D81AF4F-1123-4878-B090-B455892041FE}"/>
    <cellStyle name="20% - Accent2 2 3" xfId="13" xr:uid="{00000000-0005-0000-0000-0000CB000000}"/>
    <cellStyle name="20% - Accent2 2 3 10" xfId="8741" xr:uid="{F92316D4-1C38-4451-90B1-C36663E77D2B}"/>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23959" xr:uid="{8C6618DB-92B7-4AE7-9DE9-D85E682629A6}"/>
    <cellStyle name="20% - Accent2 2 3 2 2 2 3" xfId="32405" xr:uid="{36EF8623-BDE0-44E4-8066-7D815C29E864}"/>
    <cellStyle name="20% - Accent2 2 3 2 2 2 4" xfId="15518" xr:uid="{A7FFC633-1735-4AC7-BE61-D46D84AE6524}"/>
    <cellStyle name="20% - Accent2 2 3 2 2 3" xfId="19741" xr:uid="{2948222F-A5D8-4ED9-A5D3-DBB2606A42C0}"/>
    <cellStyle name="20% - Accent2 2 3 2 2 4" xfId="28188" xr:uid="{A246864E-7FED-4E53-8D80-CD9052F231A6}"/>
    <cellStyle name="20% - Accent2 2 3 2 2 5" xfId="11300" xr:uid="{8905A9FD-627E-435C-ABFD-9E0E8B9FDBBC}"/>
    <cellStyle name="20% - Accent2 2 3 2 3" xfId="4931" xr:uid="{00000000-0005-0000-0000-0000CF000000}"/>
    <cellStyle name="20% - Accent2 2 3 2 3 2" xfId="21814" xr:uid="{42FBE325-84FB-42CC-9121-8AF7026CA7CF}"/>
    <cellStyle name="20% - Accent2 2 3 2 3 3" xfId="30260" xr:uid="{235752B2-B893-4996-8D5A-8B4E6FFDBB43}"/>
    <cellStyle name="20% - Accent2 2 3 2 3 4" xfId="13373" xr:uid="{3E28C06B-5FCC-490E-87E6-F822438E0257}"/>
    <cellStyle name="20% - Accent2 2 3 2 4" xfId="17596" xr:uid="{1439F3E7-D7E3-48A9-9A1A-6073FC057361}"/>
    <cellStyle name="20% - Accent2 2 3 2 5" xfId="26041" xr:uid="{28C12FC3-E88E-4174-BFF4-B4E67CDC4A95}"/>
    <cellStyle name="20% - Accent2 2 3 2 6" xfId="9155" xr:uid="{AB4AB1CC-7F19-4B15-9DA1-50EBD4D91E74}"/>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24372" xr:uid="{D76D7F06-13A1-40DF-AC56-A94B8ED597D0}"/>
    <cellStyle name="20% - Accent2 2 3 3 2 2 3" xfId="32818" xr:uid="{A49B8B9C-5329-4445-89DB-40A38205712A}"/>
    <cellStyle name="20% - Accent2 2 3 3 2 2 4" xfId="15931" xr:uid="{D48BF353-3CB3-4C58-9FB3-F206DF1133F7}"/>
    <cellStyle name="20% - Accent2 2 3 3 2 3" xfId="20154" xr:uid="{E13F1A45-E4F4-49CE-A4DF-DA27E13B78CC}"/>
    <cellStyle name="20% - Accent2 2 3 3 2 4" xfId="28601" xr:uid="{48B2B78E-C618-404E-AF4D-34C14E9B2E53}"/>
    <cellStyle name="20% - Accent2 2 3 3 2 5" xfId="11713" xr:uid="{C5D786F1-4DA3-4328-823A-FC7B5766FB35}"/>
    <cellStyle name="20% - Accent2 2 3 3 3" xfId="5344" xr:uid="{00000000-0005-0000-0000-0000D3000000}"/>
    <cellStyle name="20% - Accent2 2 3 3 3 2" xfId="22227" xr:uid="{10C5DE7C-02C1-48A5-8B01-01B8271D4A09}"/>
    <cellStyle name="20% - Accent2 2 3 3 3 3" xfId="30673" xr:uid="{9F5F324D-7C1C-4DD4-8B31-2144E2A33031}"/>
    <cellStyle name="20% - Accent2 2 3 3 3 4" xfId="13786" xr:uid="{141A4C45-82F3-492D-901F-03D33AF42A1A}"/>
    <cellStyle name="20% - Accent2 2 3 3 4" xfId="18009" xr:uid="{E117139D-ECEE-4853-8172-25AAD6E46E33}"/>
    <cellStyle name="20% - Accent2 2 3 3 5" xfId="26454" xr:uid="{2B8C7A22-5D81-4423-BDF2-DE3CF2112827}"/>
    <cellStyle name="20% - Accent2 2 3 3 6" xfId="9568" xr:uid="{D5521D5C-00C9-4F73-8D77-768A585CFC32}"/>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24785" xr:uid="{DD63A304-36D3-4E5E-9391-C1B75566A574}"/>
    <cellStyle name="20% - Accent2 2 3 4 2 2 3" xfId="33231" xr:uid="{82B34959-2B04-4022-A6F7-25681C0AAB9E}"/>
    <cellStyle name="20% - Accent2 2 3 4 2 2 4" xfId="16344" xr:uid="{151CBAAC-0DC9-44B4-AFED-0E1AEB383FFD}"/>
    <cellStyle name="20% - Accent2 2 3 4 2 3" xfId="20567" xr:uid="{514ABC6E-D614-47F0-9888-AB0C660145D1}"/>
    <cellStyle name="20% - Accent2 2 3 4 2 4" xfId="29014" xr:uid="{44816EEB-6517-41E5-989E-2E9503B79FD6}"/>
    <cellStyle name="20% - Accent2 2 3 4 2 5" xfId="12126" xr:uid="{82053B0D-489B-40D3-962F-E862A89AED64}"/>
    <cellStyle name="20% - Accent2 2 3 4 3" xfId="5757" xr:uid="{00000000-0005-0000-0000-0000D7000000}"/>
    <cellStyle name="20% - Accent2 2 3 4 3 2" xfId="22640" xr:uid="{D5EF0AC0-9F25-4D90-B9BD-61938A385E15}"/>
    <cellStyle name="20% - Accent2 2 3 4 3 3" xfId="31086" xr:uid="{0C6A948E-05DA-410D-9EE1-85B2D6A42ECD}"/>
    <cellStyle name="20% - Accent2 2 3 4 3 4" xfId="14199" xr:uid="{AEFAEFCF-77AA-4482-AF2E-2F6D6E3428A6}"/>
    <cellStyle name="20% - Accent2 2 3 4 4" xfId="18422" xr:uid="{FF601C59-55AA-4167-8843-FCF68A833D94}"/>
    <cellStyle name="20% - Accent2 2 3 4 5" xfId="26867" xr:uid="{53D5A22E-B59F-48BE-9D71-6DBCABB1D35C}"/>
    <cellStyle name="20% - Accent2 2 3 4 6" xfId="9981" xr:uid="{1F125B9E-C1AC-4AFA-BF4B-BF979370572F}"/>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25198" xr:uid="{8F142F4E-8F24-4E67-A489-074AD29F858A}"/>
    <cellStyle name="20% - Accent2 2 3 5 2 2 3" xfId="33644" xr:uid="{7829AB25-A7FA-4CD4-B369-848A681BE31D}"/>
    <cellStyle name="20% - Accent2 2 3 5 2 2 4" xfId="16757" xr:uid="{8ADA0CB9-C4C4-4BF7-AABC-BEDFC1571AB8}"/>
    <cellStyle name="20% - Accent2 2 3 5 2 3" xfId="20980" xr:uid="{911A7B1B-9887-4FEE-8936-B0E468262C08}"/>
    <cellStyle name="20% - Accent2 2 3 5 2 4" xfId="29427" xr:uid="{5F81430D-E805-45DB-9660-6AB9F1D2B7BA}"/>
    <cellStyle name="20% - Accent2 2 3 5 2 5" xfId="12539" xr:uid="{56ED6BD9-721F-4D8D-A068-0DAB4AE96E08}"/>
    <cellStyle name="20% - Accent2 2 3 5 3" xfId="6170" xr:uid="{00000000-0005-0000-0000-0000DB000000}"/>
    <cellStyle name="20% - Accent2 2 3 5 3 2" xfId="23053" xr:uid="{20BA7B44-63B9-436E-9559-EDC54F130E69}"/>
    <cellStyle name="20% - Accent2 2 3 5 3 3" xfId="31499" xr:uid="{96B4A2E2-E995-4680-9053-19E56978704F}"/>
    <cellStyle name="20% - Accent2 2 3 5 3 4" xfId="14612" xr:uid="{3278C5DC-1F05-42F8-BD60-0AEF29A2CAE1}"/>
    <cellStyle name="20% - Accent2 2 3 5 4" xfId="18835" xr:uid="{903A4A02-F3D0-48D5-8489-36F9517944FF}"/>
    <cellStyle name="20% - Accent2 2 3 5 5" xfId="27280" xr:uid="{DF1E5525-60F8-4913-9C9A-51041C35F395}"/>
    <cellStyle name="20% - Accent2 2 3 5 6" xfId="10394" xr:uid="{A47CA1B6-C866-4413-990C-BFFAF3BA4C76}"/>
    <cellStyle name="20% - Accent2 2 3 6" xfId="2276" xr:uid="{00000000-0005-0000-0000-0000DC000000}"/>
    <cellStyle name="20% - Accent2 2 3 6 2" xfId="6583" xr:uid="{00000000-0005-0000-0000-0000DD000000}"/>
    <cellStyle name="20% - Accent2 2 3 6 2 2" xfId="23466" xr:uid="{4860670A-FBBF-4588-8D5F-16F3AADFFAEA}"/>
    <cellStyle name="20% - Accent2 2 3 6 2 3" xfId="31912" xr:uid="{FB453A53-2967-4801-95FB-713DD030386F}"/>
    <cellStyle name="20% - Accent2 2 3 6 2 4" xfId="15025" xr:uid="{CCCA214C-55EF-41D7-B77B-45819E4620BB}"/>
    <cellStyle name="20% - Accent2 2 3 6 3" xfId="19248" xr:uid="{62463DB3-A367-4DB7-B83F-801E2FEFB079}"/>
    <cellStyle name="20% - Accent2 2 3 6 4" xfId="27693" xr:uid="{431F519F-3108-4501-B1B3-FE28F5164D79}"/>
    <cellStyle name="20% - Accent2 2 3 6 5" xfId="10807" xr:uid="{36405482-ADE0-4D18-A179-F111BC79CBD2}"/>
    <cellStyle name="20% - Accent2 2 3 7" xfId="4517" xr:uid="{00000000-0005-0000-0000-0000DE000000}"/>
    <cellStyle name="20% - Accent2 2 3 7 2" xfId="21400" xr:uid="{11D4B76A-4679-427F-92FE-8EF116EEF9D2}"/>
    <cellStyle name="20% - Accent2 2 3 7 3" xfId="29846" xr:uid="{B16B98A6-2D76-49FF-A1FE-E57EAA069387}"/>
    <cellStyle name="20% - Accent2 2 3 7 4" xfId="12959" xr:uid="{6FDBA2AA-B465-4FAB-991C-F377F5F92B52}"/>
    <cellStyle name="20% - Accent2 2 3 8" xfId="17182" xr:uid="{002A6F08-A017-44AE-A7D2-898D510C1D07}"/>
    <cellStyle name="20% - Accent2 2 3 9" xfId="25624" xr:uid="{0217CBC8-35AF-4464-A220-6819990C92ED}"/>
    <cellStyle name="20% - Accent2 2 4" xfId="579" xr:uid="{00000000-0005-0000-0000-0000DF000000}"/>
    <cellStyle name="20% - Accent2 2 4 2" xfId="2850" xr:uid="{00000000-0005-0000-0000-0000E0000000}"/>
    <cellStyle name="20% - Accent2 2 4 2 2" xfId="7073" xr:uid="{00000000-0005-0000-0000-0000E1000000}"/>
    <cellStyle name="20% - Accent2 2 4 2 2 2" xfId="23956" xr:uid="{CCFC3656-70E7-435D-B61D-D7E5B2DD956E}"/>
    <cellStyle name="20% - Accent2 2 4 2 2 3" xfId="32402" xr:uid="{B9A73CDC-0444-46C3-BA5E-239212191F58}"/>
    <cellStyle name="20% - Accent2 2 4 2 2 4" xfId="15515" xr:uid="{81F78BB0-9CDD-4D15-A8AA-7ABC332A20D2}"/>
    <cellStyle name="20% - Accent2 2 4 2 3" xfId="19738" xr:uid="{31F32EAD-7846-431C-99E1-059DFCA8F97B}"/>
    <cellStyle name="20% - Accent2 2 4 2 4" xfId="28185" xr:uid="{52B3A551-9CC6-4073-B9F2-22AD20F8A4E6}"/>
    <cellStyle name="20% - Accent2 2 4 2 5" xfId="11297" xr:uid="{9D0E0E88-7CE7-40FC-A366-EB354C12F65C}"/>
    <cellStyle name="20% - Accent2 2 4 3" xfId="4928" xr:uid="{00000000-0005-0000-0000-0000E2000000}"/>
    <cellStyle name="20% - Accent2 2 4 3 2" xfId="21811" xr:uid="{8F829F9A-8EA9-4AFD-BD79-020CA53E9564}"/>
    <cellStyle name="20% - Accent2 2 4 3 3" xfId="30257" xr:uid="{0B6A33D3-168C-47EA-9B1C-04BF9447B9FB}"/>
    <cellStyle name="20% - Accent2 2 4 3 4" xfId="13370" xr:uid="{3946B48B-3DB3-4DCD-9062-682F7858CACB}"/>
    <cellStyle name="20% - Accent2 2 4 4" xfId="17593" xr:uid="{39F1B31A-FDA3-44A3-B6E5-82ECBDC50263}"/>
    <cellStyle name="20% - Accent2 2 4 5" xfId="26038" xr:uid="{2B378D4D-7576-44CF-9485-F2190FF48B75}"/>
    <cellStyle name="20% - Accent2 2 4 6" xfId="9152" xr:uid="{63AE5085-FD9E-4569-AB73-FDD43E6A8945}"/>
    <cellStyle name="20% - Accent2 2 5" xfId="1032" xr:uid="{00000000-0005-0000-0000-0000E3000000}"/>
    <cellStyle name="20% - Accent2 2 5 2" xfId="3263" xr:uid="{00000000-0005-0000-0000-0000E4000000}"/>
    <cellStyle name="20% - Accent2 2 5 2 2" xfId="7486" xr:uid="{00000000-0005-0000-0000-0000E5000000}"/>
    <cellStyle name="20% - Accent2 2 5 2 2 2" xfId="24369" xr:uid="{C60B66D0-4E67-4702-B4D1-63C182DA73B7}"/>
    <cellStyle name="20% - Accent2 2 5 2 2 3" xfId="32815" xr:uid="{F318A521-286A-488F-A5D2-D919D436D49B}"/>
    <cellStyle name="20% - Accent2 2 5 2 2 4" xfId="15928" xr:uid="{4C3D4562-E703-4067-B40E-1EEB3ED596CE}"/>
    <cellStyle name="20% - Accent2 2 5 2 3" xfId="20151" xr:uid="{7D2FCE8D-7C0D-4FA0-8075-9B5DD0B1F9F3}"/>
    <cellStyle name="20% - Accent2 2 5 2 4" xfId="28598" xr:uid="{507288CD-01E5-433B-846A-9E7D83938983}"/>
    <cellStyle name="20% - Accent2 2 5 2 5" xfId="11710" xr:uid="{9692FB07-37E5-42CF-8007-97D8ED333026}"/>
    <cellStyle name="20% - Accent2 2 5 3" xfId="5341" xr:uid="{00000000-0005-0000-0000-0000E6000000}"/>
    <cellStyle name="20% - Accent2 2 5 3 2" xfId="22224" xr:uid="{A21ECF54-B9AD-4462-A7D9-B508D8D640FF}"/>
    <cellStyle name="20% - Accent2 2 5 3 3" xfId="30670" xr:uid="{907276E5-DB0A-4C04-8E86-60394EF72A46}"/>
    <cellStyle name="20% - Accent2 2 5 3 4" xfId="13783" xr:uid="{C1D3DAFD-5AE3-4A96-BAE3-8B114072D51B}"/>
    <cellStyle name="20% - Accent2 2 5 4" xfId="18006" xr:uid="{E2B79D18-5EC8-4E93-A06C-4B795F24BB49}"/>
    <cellStyle name="20% - Accent2 2 5 5" xfId="26451" xr:uid="{3AA9FC95-FDFD-4338-B45F-ADD524301726}"/>
    <cellStyle name="20% - Accent2 2 5 6" xfId="9565" xr:uid="{805683A2-E6FF-40D3-88E9-8F468402B44C}"/>
    <cellStyle name="20% - Accent2 2 6" xfId="1446" xr:uid="{00000000-0005-0000-0000-0000E7000000}"/>
    <cellStyle name="20% - Accent2 2 6 2" xfId="3676" xr:uid="{00000000-0005-0000-0000-0000E8000000}"/>
    <cellStyle name="20% - Accent2 2 6 2 2" xfId="7899" xr:uid="{00000000-0005-0000-0000-0000E9000000}"/>
    <cellStyle name="20% - Accent2 2 6 2 2 2" xfId="24782" xr:uid="{5B2512C9-7AFC-427F-BA87-E989A197C93B}"/>
    <cellStyle name="20% - Accent2 2 6 2 2 3" xfId="33228" xr:uid="{489620BA-175D-4C00-A5A9-B62580C3814B}"/>
    <cellStyle name="20% - Accent2 2 6 2 2 4" xfId="16341" xr:uid="{7FDF1430-43B7-4118-BF4A-E39D6F5AA218}"/>
    <cellStyle name="20% - Accent2 2 6 2 3" xfId="20564" xr:uid="{C649FA3F-8EBB-45D3-A419-DD4A3C277B60}"/>
    <cellStyle name="20% - Accent2 2 6 2 4" xfId="29011" xr:uid="{82856E26-6190-4262-9E87-88E55A284215}"/>
    <cellStyle name="20% - Accent2 2 6 2 5" xfId="12123" xr:uid="{50AAA781-7378-4A07-808B-2466C97FCFD2}"/>
    <cellStyle name="20% - Accent2 2 6 3" xfId="5754" xr:uid="{00000000-0005-0000-0000-0000EA000000}"/>
    <cellStyle name="20% - Accent2 2 6 3 2" xfId="22637" xr:uid="{218478C6-247F-488A-916A-8E6E4ACCAED8}"/>
    <cellStyle name="20% - Accent2 2 6 3 3" xfId="31083" xr:uid="{76808831-B231-4C0E-8391-D96B50C4686E}"/>
    <cellStyle name="20% - Accent2 2 6 3 4" xfId="14196" xr:uid="{7EE85B5B-C9BD-49CA-BE7E-A0B5506C1789}"/>
    <cellStyle name="20% - Accent2 2 6 4" xfId="18419" xr:uid="{FB020D4C-6B02-4EFD-A187-469B83327BD6}"/>
    <cellStyle name="20% - Accent2 2 6 5" xfId="26864" xr:uid="{AD69AB74-ADCC-4FBC-B370-7AB80BD8D6EA}"/>
    <cellStyle name="20% - Accent2 2 6 6" xfId="9978" xr:uid="{1C94CFA9-9055-4744-B047-6004A40CF822}"/>
    <cellStyle name="20% - Accent2 2 7" xfId="1860" xr:uid="{00000000-0005-0000-0000-0000EB000000}"/>
    <cellStyle name="20% - Accent2 2 7 2" xfId="4089" xr:uid="{00000000-0005-0000-0000-0000EC000000}"/>
    <cellStyle name="20% - Accent2 2 7 2 2" xfId="8312" xr:uid="{00000000-0005-0000-0000-0000ED000000}"/>
    <cellStyle name="20% - Accent2 2 7 2 2 2" xfId="25195" xr:uid="{2CF10820-2723-4E28-8307-5730F416AF0C}"/>
    <cellStyle name="20% - Accent2 2 7 2 2 3" xfId="33641" xr:uid="{9FA58FAC-D7DC-4C11-8EF9-A1D740731532}"/>
    <cellStyle name="20% - Accent2 2 7 2 2 4" xfId="16754" xr:uid="{0CDB01C5-1E96-47F8-BAE9-7E331A00133D}"/>
    <cellStyle name="20% - Accent2 2 7 2 3" xfId="20977" xr:uid="{3F756DFF-959F-4578-BFFF-2EB0DDE6E5C1}"/>
    <cellStyle name="20% - Accent2 2 7 2 4" xfId="29424" xr:uid="{8FB66A28-E349-440F-9B46-4536F4A2850F}"/>
    <cellStyle name="20% - Accent2 2 7 2 5" xfId="12536" xr:uid="{86A4E0E1-3A68-4BB3-8D39-54150D3302AF}"/>
    <cellStyle name="20% - Accent2 2 7 3" xfId="6167" xr:uid="{00000000-0005-0000-0000-0000EE000000}"/>
    <cellStyle name="20% - Accent2 2 7 3 2" xfId="23050" xr:uid="{CDB79529-DFD6-4CE7-868A-A6A94B171437}"/>
    <cellStyle name="20% - Accent2 2 7 3 3" xfId="31496" xr:uid="{6BAC505E-0A90-4690-A37D-EA996F9F227D}"/>
    <cellStyle name="20% - Accent2 2 7 3 4" xfId="14609" xr:uid="{12366031-5791-4B1A-A141-2E3F69AF763A}"/>
    <cellStyle name="20% - Accent2 2 7 4" xfId="18832" xr:uid="{D311D142-07E4-4155-BA06-F1A30D0A238C}"/>
    <cellStyle name="20% - Accent2 2 7 5" xfId="27277" xr:uid="{64D8AB4A-B263-4711-9903-CF9947C201A3}"/>
    <cellStyle name="20% - Accent2 2 7 6" xfId="10391" xr:uid="{BA43EB37-11B0-48A8-9367-6A15D18D7422}"/>
    <cellStyle name="20% - Accent2 2 8" xfId="2273" xr:uid="{00000000-0005-0000-0000-0000EF000000}"/>
    <cellStyle name="20% - Accent2 2 8 2" xfId="6580" xr:uid="{00000000-0005-0000-0000-0000F0000000}"/>
    <cellStyle name="20% - Accent2 2 8 2 2" xfId="23463" xr:uid="{530AE45F-B49C-4DA4-80C5-25C31F2DFAB6}"/>
    <cellStyle name="20% - Accent2 2 8 2 3" xfId="31909" xr:uid="{569F5235-41FE-49A4-BCEE-CCD33565EE7B}"/>
    <cellStyle name="20% - Accent2 2 8 2 4" xfId="15022" xr:uid="{7D535002-9B03-45AE-AD5C-08CBC32030BE}"/>
    <cellStyle name="20% - Accent2 2 8 3" xfId="19245" xr:uid="{046E3102-645C-4519-A9E4-26A16345F851}"/>
    <cellStyle name="20% - Accent2 2 8 4" xfId="27690" xr:uid="{3BFFB836-AAB6-4BA0-9D66-F2FC4F76A16C}"/>
    <cellStyle name="20% - Accent2 2 8 5" xfId="10804" xr:uid="{D3E90AD5-A822-4899-B205-8417C9A614D0}"/>
    <cellStyle name="20% - Accent2 2 9" xfId="4514" xr:uid="{00000000-0005-0000-0000-0000F1000000}"/>
    <cellStyle name="20% - Accent2 2 9 2" xfId="21397" xr:uid="{D3FAD454-6940-44FC-95D6-A43A26AB7F70}"/>
    <cellStyle name="20% - Accent2 2 9 3" xfId="29843" xr:uid="{69213F0E-1AC0-45B1-8B04-56EA7C826E5E}"/>
    <cellStyle name="20% - Accent2 2 9 4" xfId="12956" xr:uid="{3E85D2DA-3D44-4C7D-8E2F-72F8FA13A563}"/>
    <cellStyle name="20% - Accent2 3" xfId="14" xr:uid="{00000000-0005-0000-0000-0000F2000000}"/>
    <cellStyle name="20% - Accent2 3 10" xfId="25625" xr:uid="{658A25EB-828E-4129-B438-78BF6C764D8F}"/>
    <cellStyle name="20% - Accent2 3 11" xfId="8742" xr:uid="{6379F07E-2B10-4265-8E13-BDFA3553E45F}"/>
    <cellStyle name="20% - Accent2 3 2" xfId="15" xr:uid="{00000000-0005-0000-0000-0000F3000000}"/>
    <cellStyle name="20% - Accent2 3 2 10" xfId="8743" xr:uid="{5672CE03-A0A8-4104-9132-790FE74137E7}"/>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23961" xr:uid="{92BBDE56-4F14-4352-A47E-A7BD605DA488}"/>
    <cellStyle name="20% - Accent2 3 2 2 2 2 3" xfId="32407" xr:uid="{CE7CCDE4-DFF4-4655-AA32-E1B74C8C4C85}"/>
    <cellStyle name="20% - Accent2 3 2 2 2 2 4" xfId="15520" xr:uid="{EE9432FA-E97F-4389-9EDF-742D790A0289}"/>
    <cellStyle name="20% - Accent2 3 2 2 2 3" xfId="19743" xr:uid="{620ECCB8-6F6F-4BA4-9A53-D72114ECFE2D}"/>
    <cellStyle name="20% - Accent2 3 2 2 2 4" xfId="28190" xr:uid="{4E527429-FF94-44E7-B616-914A2A1C3BD8}"/>
    <cellStyle name="20% - Accent2 3 2 2 2 5" xfId="11302" xr:uid="{61905FF9-BEBB-4A92-84E5-E0A5F60CD62F}"/>
    <cellStyle name="20% - Accent2 3 2 2 3" xfId="4933" xr:uid="{00000000-0005-0000-0000-0000F7000000}"/>
    <cellStyle name="20% - Accent2 3 2 2 3 2" xfId="21816" xr:uid="{9671561F-1A3A-4E7E-BF2F-646A4C3FE658}"/>
    <cellStyle name="20% - Accent2 3 2 2 3 3" xfId="30262" xr:uid="{65A529B5-3620-48D4-9D7B-23C96B1926F3}"/>
    <cellStyle name="20% - Accent2 3 2 2 3 4" xfId="13375" xr:uid="{8413F1C6-B6D8-4F78-9CFD-33E70821F5D2}"/>
    <cellStyle name="20% - Accent2 3 2 2 4" xfId="17598" xr:uid="{190B3632-CBF8-4149-8CE7-923CEA46D6D5}"/>
    <cellStyle name="20% - Accent2 3 2 2 5" xfId="26043" xr:uid="{D8010DB6-2868-4A04-B47A-1D74512D1A11}"/>
    <cellStyle name="20% - Accent2 3 2 2 6" xfId="9157" xr:uid="{699A09B5-9C8E-4D6B-A0CE-CF1F6F1F3054}"/>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24374" xr:uid="{6EAEBD53-CED6-41F2-93B9-DED80B2E6124}"/>
    <cellStyle name="20% - Accent2 3 2 3 2 2 3" xfId="32820" xr:uid="{B1E8479F-234E-4E99-AC5E-7A69BAD85669}"/>
    <cellStyle name="20% - Accent2 3 2 3 2 2 4" xfId="15933" xr:uid="{7D0B9F86-F504-4293-9916-9AA151B0F326}"/>
    <cellStyle name="20% - Accent2 3 2 3 2 3" xfId="20156" xr:uid="{33267573-04D5-4DC8-822B-6CEAD0B44F07}"/>
    <cellStyle name="20% - Accent2 3 2 3 2 4" xfId="28603" xr:uid="{FD77FE77-2F95-4811-AFEC-C14A816F430F}"/>
    <cellStyle name="20% - Accent2 3 2 3 2 5" xfId="11715" xr:uid="{B3BA8BE6-B866-4EE0-9529-E0A2B2CBB2EC}"/>
    <cellStyle name="20% - Accent2 3 2 3 3" xfId="5346" xr:uid="{00000000-0005-0000-0000-0000FB000000}"/>
    <cellStyle name="20% - Accent2 3 2 3 3 2" xfId="22229" xr:uid="{4BEEDA74-D37D-416B-8095-BF124A2D2765}"/>
    <cellStyle name="20% - Accent2 3 2 3 3 3" xfId="30675" xr:uid="{D6549B0D-D8B4-45C1-9363-0F009DEEF494}"/>
    <cellStyle name="20% - Accent2 3 2 3 3 4" xfId="13788" xr:uid="{6D5C13BF-7149-42CE-AB0E-AC1648EB8BA7}"/>
    <cellStyle name="20% - Accent2 3 2 3 4" xfId="18011" xr:uid="{D48C3F4A-1044-4415-ABE7-1D47CF1EAF97}"/>
    <cellStyle name="20% - Accent2 3 2 3 5" xfId="26456" xr:uid="{31EC3624-6CD7-446C-8FE2-75AA79D4FD0C}"/>
    <cellStyle name="20% - Accent2 3 2 3 6" xfId="9570" xr:uid="{FF4265DA-BF39-4716-8E28-D61E31690C96}"/>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24787" xr:uid="{595E82B4-A320-4C08-B6CF-3758BC1C8315}"/>
    <cellStyle name="20% - Accent2 3 2 4 2 2 3" xfId="33233" xr:uid="{93B7D04F-269F-4382-B65E-E61FC4DDC917}"/>
    <cellStyle name="20% - Accent2 3 2 4 2 2 4" xfId="16346" xr:uid="{A389F333-0C1E-49D9-A66A-26316567D54A}"/>
    <cellStyle name="20% - Accent2 3 2 4 2 3" xfId="20569" xr:uid="{B7BEF0E4-786D-462A-8C0B-0B222C3DD4DA}"/>
    <cellStyle name="20% - Accent2 3 2 4 2 4" xfId="29016" xr:uid="{5D35A6F4-4366-41B9-BED1-67E7CFC4EB4A}"/>
    <cellStyle name="20% - Accent2 3 2 4 2 5" xfId="12128" xr:uid="{62EE7914-A359-4EF1-8143-A935CDCBE497}"/>
    <cellStyle name="20% - Accent2 3 2 4 3" xfId="5759" xr:uid="{00000000-0005-0000-0000-0000FF000000}"/>
    <cellStyle name="20% - Accent2 3 2 4 3 2" xfId="22642" xr:uid="{A06E745B-E2D9-4F89-9327-C28EE9D0E726}"/>
    <cellStyle name="20% - Accent2 3 2 4 3 3" xfId="31088" xr:uid="{F6B3ECEA-3A56-4EC7-B3E6-34DD15EE4FAC}"/>
    <cellStyle name="20% - Accent2 3 2 4 3 4" xfId="14201" xr:uid="{1FB87E3E-3B60-4560-AC88-58B97E93ECFA}"/>
    <cellStyle name="20% - Accent2 3 2 4 4" xfId="18424" xr:uid="{23FC014D-28C0-4B84-8F85-4AABC6B02011}"/>
    <cellStyle name="20% - Accent2 3 2 4 5" xfId="26869" xr:uid="{BE5F1DB6-F80D-48E6-9863-0B883DDA0E07}"/>
    <cellStyle name="20% - Accent2 3 2 4 6" xfId="9983" xr:uid="{D68A4DF2-EBF2-4823-8F7C-0E80E6F6DE33}"/>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25200" xr:uid="{C9A021F6-F11F-4E1B-A2A8-9EEC513EE4E5}"/>
    <cellStyle name="20% - Accent2 3 2 5 2 2 3" xfId="33646" xr:uid="{E5938B2B-FA23-4E70-A230-45D83D83F3B5}"/>
    <cellStyle name="20% - Accent2 3 2 5 2 2 4" xfId="16759" xr:uid="{9ED7384B-63D8-42C2-8279-5B4FE9CFEAD7}"/>
    <cellStyle name="20% - Accent2 3 2 5 2 3" xfId="20982" xr:uid="{3C1D7FB9-DC0B-4663-86E1-3A86638E17BD}"/>
    <cellStyle name="20% - Accent2 3 2 5 2 4" xfId="29429" xr:uid="{4ECB3884-7479-4B7C-B009-6C26AC32C9A3}"/>
    <cellStyle name="20% - Accent2 3 2 5 2 5" xfId="12541" xr:uid="{3CEC1436-A1F6-4279-A63C-0CC19B68E5B0}"/>
    <cellStyle name="20% - Accent2 3 2 5 3" xfId="6172" xr:uid="{00000000-0005-0000-0000-000003010000}"/>
    <cellStyle name="20% - Accent2 3 2 5 3 2" xfId="23055" xr:uid="{6AC6BE56-00DA-4041-88F2-763D37AE269A}"/>
    <cellStyle name="20% - Accent2 3 2 5 3 3" xfId="31501" xr:uid="{02D462BB-6AAC-448A-9783-F72CB35F92CB}"/>
    <cellStyle name="20% - Accent2 3 2 5 3 4" xfId="14614" xr:uid="{333B81C2-BF65-4593-9744-CFBF3A15B194}"/>
    <cellStyle name="20% - Accent2 3 2 5 4" xfId="18837" xr:uid="{CFDDA0A1-0A9C-404F-A3B3-80198E268269}"/>
    <cellStyle name="20% - Accent2 3 2 5 5" xfId="27282" xr:uid="{12066CEB-218B-46C9-9190-5DD201CD7ABB}"/>
    <cellStyle name="20% - Accent2 3 2 5 6" xfId="10396" xr:uid="{22717055-D4A5-4EA3-A0C0-494DF2A2B989}"/>
    <cellStyle name="20% - Accent2 3 2 6" xfId="2278" xr:uid="{00000000-0005-0000-0000-000004010000}"/>
    <cellStyle name="20% - Accent2 3 2 6 2" xfId="6585" xr:uid="{00000000-0005-0000-0000-000005010000}"/>
    <cellStyle name="20% - Accent2 3 2 6 2 2" xfId="23468" xr:uid="{F1032C09-6EF3-4A87-9048-41237DB2308E}"/>
    <cellStyle name="20% - Accent2 3 2 6 2 3" xfId="31914" xr:uid="{53C80B23-43DC-42BA-8FA6-A04A24C42738}"/>
    <cellStyle name="20% - Accent2 3 2 6 2 4" xfId="15027" xr:uid="{EC59B145-EB59-4D87-9FCA-4607670E5F89}"/>
    <cellStyle name="20% - Accent2 3 2 6 3" xfId="19250" xr:uid="{7B3BEC88-1D94-42A0-BD1B-8B3603860E41}"/>
    <cellStyle name="20% - Accent2 3 2 6 4" xfId="27695" xr:uid="{A884EC1B-3BA6-4A9D-86B1-A306BAF1D234}"/>
    <cellStyle name="20% - Accent2 3 2 6 5" xfId="10809" xr:uid="{A19C53C8-FE83-42C5-AE5A-5F2B34A08282}"/>
    <cellStyle name="20% - Accent2 3 2 7" xfId="4519" xr:uid="{00000000-0005-0000-0000-000006010000}"/>
    <cellStyle name="20% - Accent2 3 2 7 2" xfId="21402" xr:uid="{04494602-35FF-4C42-AFC9-D1C845AE8E38}"/>
    <cellStyle name="20% - Accent2 3 2 7 3" xfId="29848" xr:uid="{B5FDBB73-C2BF-4274-A061-FE072FCBAD05}"/>
    <cellStyle name="20% - Accent2 3 2 7 4" xfId="12961" xr:uid="{A091580D-80F2-4D59-A8CF-05AD92835CF3}"/>
    <cellStyle name="20% - Accent2 3 2 8" xfId="17184" xr:uid="{3BA038CA-3171-4D14-BCB4-F2C7AB485753}"/>
    <cellStyle name="20% - Accent2 3 2 9" xfId="25626" xr:uid="{3918375D-0869-4AA9-87EC-7E2D448DDEA8}"/>
    <cellStyle name="20% - Accent2 3 3" xfId="583" xr:uid="{00000000-0005-0000-0000-000007010000}"/>
    <cellStyle name="20% - Accent2 3 3 2" xfId="2854" xr:uid="{00000000-0005-0000-0000-000008010000}"/>
    <cellStyle name="20% - Accent2 3 3 2 2" xfId="7077" xr:uid="{00000000-0005-0000-0000-000009010000}"/>
    <cellStyle name="20% - Accent2 3 3 2 2 2" xfId="23960" xr:uid="{A218D462-03BC-41D3-9DE4-CC62E07DE69F}"/>
    <cellStyle name="20% - Accent2 3 3 2 2 3" xfId="32406" xr:uid="{C0411303-B6EF-4885-AA19-9C8A4314EC93}"/>
    <cellStyle name="20% - Accent2 3 3 2 2 4" xfId="15519" xr:uid="{62A7EF8B-3ED3-45FB-A8F9-986BFAA68BF8}"/>
    <cellStyle name="20% - Accent2 3 3 2 3" xfId="19742" xr:uid="{B6A89CA9-0F5C-42E1-8785-F3A22013D565}"/>
    <cellStyle name="20% - Accent2 3 3 2 4" xfId="28189" xr:uid="{341B1B83-2E9E-4EA3-85C9-F3554E2CDE57}"/>
    <cellStyle name="20% - Accent2 3 3 2 5" xfId="11301" xr:uid="{07D85B52-764C-4CCD-A1D9-B254A1CECE17}"/>
    <cellStyle name="20% - Accent2 3 3 3" xfId="4932" xr:uid="{00000000-0005-0000-0000-00000A010000}"/>
    <cellStyle name="20% - Accent2 3 3 3 2" xfId="21815" xr:uid="{B648DD80-6A36-44E6-8907-14A48A1EC1EA}"/>
    <cellStyle name="20% - Accent2 3 3 3 3" xfId="30261" xr:uid="{8DB5A75A-BE4A-40DC-A698-F0CE3D3CB77B}"/>
    <cellStyle name="20% - Accent2 3 3 3 4" xfId="13374" xr:uid="{FFD47F74-2EAB-4EDD-B018-DCCC6107BFE7}"/>
    <cellStyle name="20% - Accent2 3 3 4" xfId="17597" xr:uid="{3E76CABB-08B3-48EB-8268-C952DCED4307}"/>
    <cellStyle name="20% - Accent2 3 3 5" xfId="26042" xr:uid="{8AF4D1FF-3267-4C88-A057-A7C9EEB2CEC1}"/>
    <cellStyle name="20% - Accent2 3 3 6" xfId="9156" xr:uid="{87BE053B-73F2-4D95-9636-7C86B86E442C}"/>
    <cellStyle name="20% - Accent2 3 4" xfId="1036" xr:uid="{00000000-0005-0000-0000-00000B010000}"/>
    <cellStyle name="20% - Accent2 3 4 2" xfId="3267" xr:uid="{00000000-0005-0000-0000-00000C010000}"/>
    <cellStyle name="20% - Accent2 3 4 2 2" xfId="7490" xr:uid="{00000000-0005-0000-0000-00000D010000}"/>
    <cellStyle name="20% - Accent2 3 4 2 2 2" xfId="24373" xr:uid="{C6089A0E-69BE-4EA2-B1EF-FC4A85124D43}"/>
    <cellStyle name="20% - Accent2 3 4 2 2 3" xfId="32819" xr:uid="{BC3C5D29-01A0-406B-A2C5-F6D30BE2628C}"/>
    <cellStyle name="20% - Accent2 3 4 2 2 4" xfId="15932" xr:uid="{05E72351-1B2F-4CCF-8B23-C0944852E0BC}"/>
    <cellStyle name="20% - Accent2 3 4 2 3" xfId="20155" xr:uid="{BAFE17FA-7E2D-4CB6-9C92-2275A3ED2198}"/>
    <cellStyle name="20% - Accent2 3 4 2 4" xfId="28602" xr:uid="{EE6A02B8-2C00-4644-8D2A-0540F4979FFC}"/>
    <cellStyle name="20% - Accent2 3 4 2 5" xfId="11714" xr:uid="{3C01228B-5379-4BDA-9421-CA439BC8DF37}"/>
    <cellStyle name="20% - Accent2 3 4 3" xfId="5345" xr:uid="{00000000-0005-0000-0000-00000E010000}"/>
    <cellStyle name="20% - Accent2 3 4 3 2" xfId="22228" xr:uid="{774509F4-0FE1-41FF-8F36-05CE77284001}"/>
    <cellStyle name="20% - Accent2 3 4 3 3" xfId="30674" xr:uid="{AE4B5C94-5801-425E-9C50-38ADCE20D0F3}"/>
    <cellStyle name="20% - Accent2 3 4 3 4" xfId="13787" xr:uid="{E811001C-98F4-4261-B384-D1AA87A102D7}"/>
    <cellStyle name="20% - Accent2 3 4 4" xfId="18010" xr:uid="{563E8A31-B9EF-4E14-B0E9-AD6E63D83A98}"/>
    <cellStyle name="20% - Accent2 3 4 5" xfId="26455" xr:uid="{75C0F6B4-6A1E-470C-814B-4C2643487CF1}"/>
    <cellStyle name="20% - Accent2 3 4 6" xfId="9569" xr:uid="{06AD9AFA-D9B0-429A-A20D-54C04B2CE5AF}"/>
    <cellStyle name="20% - Accent2 3 5" xfId="1450" xr:uid="{00000000-0005-0000-0000-00000F010000}"/>
    <cellStyle name="20% - Accent2 3 5 2" xfId="3680" xr:uid="{00000000-0005-0000-0000-000010010000}"/>
    <cellStyle name="20% - Accent2 3 5 2 2" xfId="7903" xr:uid="{00000000-0005-0000-0000-000011010000}"/>
    <cellStyle name="20% - Accent2 3 5 2 2 2" xfId="24786" xr:uid="{CE3FA59D-DF14-4396-AAFD-FA1489EB107F}"/>
    <cellStyle name="20% - Accent2 3 5 2 2 3" xfId="33232" xr:uid="{2D20AB24-E8CA-4869-99CB-41D164C7E5CB}"/>
    <cellStyle name="20% - Accent2 3 5 2 2 4" xfId="16345" xr:uid="{DFD127C5-1E9B-442C-B777-815C53D88C70}"/>
    <cellStyle name="20% - Accent2 3 5 2 3" xfId="20568" xr:uid="{D2F1EC79-2219-4EA8-B4FB-8F0642FDF861}"/>
    <cellStyle name="20% - Accent2 3 5 2 4" xfId="29015" xr:uid="{1456C34E-445F-419E-A7BD-38575EC5C2FA}"/>
    <cellStyle name="20% - Accent2 3 5 2 5" xfId="12127" xr:uid="{30CEE944-9B7E-4895-9DC6-F6B47D0DBDC4}"/>
    <cellStyle name="20% - Accent2 3 5 3" xfId="5758" xr:uid="{00000000-0005-0000-0000-000012010000}"/>
    <cellStyle name="20% - Accent2 3 5 3 2" xfId="22641" xr:uid="{89828B14-3D74-46FB-97E5-B5F9F2F5E4CE}"/>
    <cellStyle name="20% - Accent2 3 5 3 3" xfId="31087" xr:uid="{93AA00DB-694B-4842-B351-5A79231D158A}"/>
    <cellStyle name="20% - Accent2 3 5 3 4" xfId="14200" xr:uid="{34D40B97-752E-4B90-8C37-61165378D9BF}"/>
    <cellStyle name="20% - Accent2 3 5 4" xfId="18423" xr:uid="{E34B4F90-AFDC-4709-A85B-72F745C596CA}"/>
    <cellStyle name="20% - Accent2 3 5 5" xfId="26868" xr:uid="{13CE24F3-D84A-4393-95D6-B28C3740C6F7}"/>
    <cellStyle name="20% - Accent2 3 5 6" xfId="9982" xr:uid="{08A0CF52-84EB-4BD7-819F-70CDB97C3C64}"/>
    <cellStyle name="20% - Accent2 3 6" xfId="1864" xr:uid="{00000000-0005-0000-0000-000013010000}"/>
    <cellStyle name="20% - Accent2 3 6 2" xfId="4093" xr:uid="{00000000-0005-0000-0000-000014010000}"/>
    <cellStyle name="20% - Accent2 3 6 2 2" xfId="8316" xr:uid="{00000000-0005-0000-0000-000015010000}"/>
    <cellStyle name="20% - Accent2 3 6 2 2 2" xfId="25199" xr:uid="{5DD34D1C-876A-4C5D-AAA0-5A3DD8A843B5}"/>
    <cellStyle name="20% - Accent2 3 6 2 2 3" xfId="33645" xr:uid="{D1B4EFDD-59F6-461C-A04C-ED8FA00CAC1D}"/>
    <cellStyle name="20% - Accent2 3 6 2 2 4" xfId="16758" xr:uid="{09498BBF-D807-4E9D-AA4D-FAB061003955}"/>
    <cellStyle name="20% - Accent2 3 6 2 3" xfId="20981" xr:uid="{7F21A51A-298F-4F87-B3A7-89163D550D73}"/>
    <cellStyle name="20% - Accent2 3 6 2 4" xfId="29428" xr:uid="{17C5850A-D94D-40CB-8292-F28C3330FD8E}"/>
    <cellStyle name="20% - Accent2 3 6 2 5" xfId="12540" xr:uid="{8793A784-9139-4339-B29C-D88FE67A839D}"/>
    <cellStyle name="20% - Accent2 3 6 3" xfId="6171" xr:uid="{00000000-0005-0000-0000-000016010000}"/>
    <cellStyle name="20% - Accent2 3 6 3 2" xfId="23054" xr:uid="{1227679F-C45A-455D-9CFB-6F4F558ED62F}"/>
    <cellStyle name="20% - Accent2 3 6 3 3" xfId="31500" xr:uid="{E2C1C661-076C-43AC-860C-9E4A65EA235E}"/>
    <cellStyle name="20% - Accent2 3 6 3 4" xfId="14613" xr:uid="{3E3B8280-C6C1-47B8-B7AE-6A44E0D0D80D}"/>
    <cellStyle name="20% - Accent2 3 6 4" xfId="18836" xr:uid="{EEE07682-ACFB-4A4E-AF5E-B16EDDFA692E}"/>
    <cellStyle name="20% - Accent2 3 6 5" xfId="27281" xr:uid="{C38C2B8E-6855-4F8B-AA4F-D2F71A4CDEFD}"/>
    <cellStyle name="20% - Accent2 3 6 6" xfId="10395" xr:uid="{BC63CF79-B9A5-4878-9D67-8284C12B3ED5}"/>
    <cellStyle name="20% - Accent2 3 7" xfId="2277" xr:uid="{00000000-0005-0000-0000-000017010000}"/>
    <cellStyle name="20% - Accent2 3 7 2" xfId="6584" xr:uid="{00000000-0005-0000-0000-000018010000}"/>
    <cellStyle name="20% - Accent2 3 7 2 2" xfId="23467" xr:uid="{88D4CED2-D046-4F9C-8987-CBC5355D05CF}"/>
    <cellStyle name="20% - Accent2 3 7 2 3" xfId="31913" xr:uid="{EE1C4C7B-8624-4890-BB26-DB42D8708D43}"/>
    <cellStyle name="20% - Accent2 3 7 2 4" xfId="15026" xr:uid="{07EC9C0A-1B26-4453-8D70-66246C324D85}"/>
    <cellStyle name="20% - Accent2 3 7 3" xfId="19249" xr:uid="{C7C877CF-9872-4AB6-9BB2-7345236A6B42}"/>
    <cellStyle name="20% - Accent2 3 7 4" xfId="27694" xr:uid="{AE6E9ACC-154E-4C73-B0A7-C7E67A8F7921}"/>
    <cellStyle name="20% - Accent2 3 7 5" xfId="10808" xr:uid="{69FDE91C-FE33-4878-8AEB-860224BEEC78}"/>
    <cellStyle name="20% - Accent2 3 8" xfId="4518" xr:uid="{00000000-0005-0000-0000-000019010000}"/>
    <cellStyle name="20% - Accent2 3 8 2" xfId="21401" xr:uid="{0CC31CFA-2AC4-4567-A83B-7AD30F9A31C5}"/>
    <cellStyle name="20% - Accent2 3 8 3" xfId="29847" xr:uid="{C5856332-3BF1-4C34-BDD0-0A3D1D22699C}"/>
    <cellStyle name="20% - Accent2 3 8 4" xfId="12960" xr:uid="{19BD737A-19A5-47F1-B5D2-918F4651F841}"/>
    <cellStyle name="20% - Accent2 3 9" xfId="17183" xr:uid="{0DF6375E-AB1B-4742-9016-6EC8F156892E}"/>
    <cellStyle name="20% - Accent2 4" xfId="16" xr:uid="{00000000-0005-0000-0000-00001A010000}"/>
    <cellStyle name="20% - Accent2 4 10" xfId="8744" xr:uid="{8A513EDC-AA44-4938-A93F-05A72E4AF03E}"/>
    <cellStyle name="20% - Accent2 4 2" xfId="585" xr:uid="{00000000-0005-0000-0000-00001B010000}"/>
    <cellStyle name="20% - Accent2 4 2 2" xfId="2856" xr:uid="{00000000-0005-0000-0000-00001C010000}"/>
    <cellStyle name="20% - Accent2 4 2 2 2" xfId="7079" xr:uid="{00000000-0005-0000-0000-00001D010000}"/>
    <cellStyle name="20% - Accent2 4 2 2 2 2" xfId="23962" xr:uid="{18821A0E-ADCE-4E8E-924D-282227A0E0DD}"/>
    <cellStyle name="20% - Accent2 4 2 2 2 3" xfId="32408" xr:uid="{088D9E55-8896-4842-A5C9-0830B4027EDB}"/>
    <cellStyle name="20% - Accent2 4 2 2 2 4" xfId="15521" xr:uid="{624D4617-36CD-4653-A250-C260D8F9C3CE}"/>
    <cellStyle name="20% - Accent2 4 2 2 3" xfId="19744" xr:uid="{20F8A49A-25E9-4A3C-9B68-7BBD289E7D6C}"/>
    <cellStyle name="20% - Accent2 4 2 2 4" xfId="28191" xr:uid="{1F4E656B-0EF0-4AF2-8A4B-B6D981229619}"/>
    <cellStyle name="20% - Accent2 4 2 2 5" xfId="11303" xr:uid="{7412B225-F2EE-4DCA-906E-50BE5671938D}"/>
    <cellStyle name="20% - Accent2 4 2 3" xfId="4934" xr:uid="{00000000-0005-0000-0000-00001E010000}"/>
    <cellStyle name="20% - Accent2 4 2 3 2" xfId="21817" xr:uid="{ACFA9333-704A-4336-A1D2-3830C30C6852}"/>
    <cellStyle name="20% - Accent2 4 2 3 3" xfId="30263" xr:uid="{29AD51A4-BCA9-423B-A61A-1B4DB2264D3C}"/>
    <cellStyle name="20% - Accent2 4 2 3 4" xfId="13376" xr:uid="{D1F51DED-03E1-4FF7-A181-B7D92A4F7EA9}"/>
    <cellStyle name="20% - Accent2 4 2 4" xfId="17599" xr:uid="{AC48A39C-E622-4727-B50C-CB9EAD790B0D}"/>
    <cellStyle name="20% - Accent2 4 2 5" xfId="26044" xr:uid="{205564C5-9E99-423D-A3CC-3D8B5833BD39}"/>
    <cellStyle name="20% - Accent2 4 2 6" xfId="9158" xr:uid="{4553053A-03E2-417E-A2FF-BC25AC33E914}"/>
    <cellStyle name="20% - Accent2 4 3" xfId="1038" xr:uid="{00000000-0005-0000-0000-00001F010000}"/>
    <cellStyle name="20% - Accent2 4 3 2" xfId="3269" xr:uid="{00000000-0005-0000-0000-000020010000}"/>
    <cellStyle name="20% - Accent2 4 3 2 2" xfId="7492" xr:uid="{00000000-0005-0000-0000-000021010000}"/>
    <cellStyle name="20% - Accent2 4 3 2 2 2" xfId="24375" xr:uid="{3F3B3E90-C935-4E0C-ABBF-3A236A6D1372}"/>
    <cellStyle name="20% - Accent2 4 3 2 2 3" xfId="32821" xr:uid="{D8C2FD97-2F75-4D6E-AEED-7D7B580FF041}"/>
    <cellStyle name="20% - Accent2 4 3 2 2 4" xfId="15934" xr:uid="{F3B0AE53-3D1D-40D7-9C2A-D664750B1411}"/>
    <cellStyle name="20% - Accent2 4 3 2 3" xfId="20157" xr:uid="{9D6896BE-57B1-4A62-8E80-9B92CE2DFA68}"/>
    <cellStyle name="20% - Accent2 4 3 2 4" xfId="28604" xr:uid="{887F6B5C-5294-4AFF-9114-FA96D2075F35}"/>
    <cellStyle name="20% - Accent2 4 3 2 5" xfId="11716" xr:uid="{1C1F97F0-FDB9-406B-8F7E-01C5F54B0462}"/>
    <cellStyle name="20% - Accent2 4 3 3" xfId="5347" xr:uid="{00000000-0005-0000-0000-000022010000}"/>
    <cellStyle name="20% - Accent2 4 3 3 2" xfId="22230" xr:uid="{67722889-DD28-4FF5-9A80-0A22B3CB929B}"/>
    <cellStyle name="20% - Accent2 4 3 3 3" xfId="30676" xr:uid="{9F73C53E-8DE7-4FF3-9A2B-387E5C02A322}"/>
    <cellStyle name="20% - Accent2 4 3 3 4" xfId="13789" xr:uid="{B4AA2D2E-B09D-4149-9F46-B2D4AE209116}"/>
    <cellStyle name="20% - Accent2 4 3 4" xfId="18012" xr:uid="{CB418710-5D1A-4A90-B443-EA5968269C72}"/>
    <cellStyle name="20% - Accent2 4 3 5" xfId="26457" xr:uid="{A276318A-D77A-420B-9265-FF9CC7661D1A}"/>
    <cellStyle name="20% - Accent2 4 3 6" xfId="9571" xr:uid="{50361480-9C9E-4259-8F1A-40522C701171}"/>
    <cellStyle name="20% - Accent2 4 4" xfId="1452" xr:uid="{00000000-0005-0000-0000-000023010000}"/>
    <cellStyle name="20% - Accent2 4 4 2" xfId="3682" xr:uid="{00000000-0005-0000-0000-000024010000}"/>
    <cellStyle name="20% - Accent2 4 4 2 2" xfId="7905" xr:uid="{00000000-0005-0000-0000-000025010000}"/>
    <cellStyle name="20% - Accent2 4 4 2 2 2" xfId="24788" xr:uid="{CA3E8DF1-5BBD-4FBC-B8E2-CC1A09D051E9}"/>
    <cellStyle name="20% - Accent2 4 4 2 2 3" xfId="33234" xr:uid="{00D6493D-C50F-428D-9C8E-5C151181517E}"/>
    <cellStyle name="20% - Accent2 4 4 2 2 4" xfId="16347" xr:uid="{F69835F2-2C3F-4F32-AB52-40F85BB3F3DF}"/>
    <cellStyle name="20% - Accent2 4 4 2 3" xfId="20570" xr:uid="{3151C7EC-4E86-436D-8899-11F49A064359}"/>
    <cellStyle name="20% - Accent2 4 4 2 4" xfId="29017" xr:uid="{836F4B05-EFCF-4B3C-8FB1-F18B1A9FC965}"/>
    <cellStyle name="20% - Accent2 4 4 2 5" xfId="12129" xr:uid="{40220C66-3483-4A37-AA1A-FD67D8D0B761}"/>
    <cellStyle name="20% - Accent2 4 4 3" xfId="5760" xr:uid="{00000000-0005-0000-0000-000026010000}"/>
    <cellStyle name="20% - Accent2 4 4 3 2" xfId="22643" xr:uid="{930311B7-B377-401C-AD25-885227CC68C0}"/>
    <cellStyle name="20% - Accent2 4 4 3 3" xfId="31089" xr:uid="{A2E61335-9C22-4841-969A-C623900BD281}"/>
    <cellStyle name="20% - Accent2 4 4 3 4" xfId="14202" xr:uid="{E35B0A0B-9685-4E93-AF46-2F25D8AFA48D}"/>
    <cellStyle name="20% - Accent2 4 4 4" xfId="18425" xr:uid="{EE385291-451C-4AA3-8FE5-E46C988AF396}"/>
    <cellStyle name="20% - Accent2 4 4 5" xfId="26870" xr:uid="{8989D433-1E12-4DAD-8F1A-4D1F08EC798A}"/>
    <cellStyle name="20% - Accent2 4 4 6" xfId="9984" xr:uid="{8FBED6B4-0B71-49FB-B4FD-79705BDFCDB3}"/>
    <cellStyle name="20% - Accent2 4 5" xfId="1866" xr:uid="{00000000-0005-0000-0000-000027010000}"/>
    <cellStyle name="20% - Accent2 4 5 2" xfId="4095" xr:uid="{00000000-0005-0000-0000-000028010000}"/>
    <cellStyle name="20% - Accent2 4 5 2 2" xfId="8318" xr:uid="{00000000-0005-0000-0000-000029010000}"/>
    <cellStyle name="20% - Accent2 4 5 2 2 2" xfId="25201" xr:uid="{473AD00C-C1CC-41D0-B52F-2B22021DC35B}"/>
    <cellStyle name="20% - Accent2 4 5 2 2 3" xfId="33647" xr:uid="{FD83B24E-184B-4FA4-940F-241E6B2CF395}"/>
    <cellStyle name="20% - Accent2 4 5 2 2 4" xfId="16760" xr:uid="{07A15213-4682-484A-87D5-4FC4A9FB7B4B}"/>
    <cellStyle name="20% - Accent2 4 5 2 3" xfId="20983" xr:uid="{B39E008D-4A3E-4560-9014-F76D94A8CDB0}"/>
    <cellStyle name="20% - Accent2 4 5 2 4" xfId="29430" xr:uid="{3CCBEBE0-5E7A-4FE6-BD83-F8D546A9CBD5}"/>
    <cellStyle name="20% - Accent2 4 5 2 5" xfId="12542" xr:uid="{CADD3773-5FA9-4BED-B044-5D0B5AF5AA79}"/>
    <cellStyle name="20% - Accent2 4 5 3" xfId="6173" xr:uid="{00000000-0005-0000-0000-00002A010000}"/>
    <cellStyle name="20% - Accent2 4 5 3 2" xfId="23056" xr:uid="{0180E6AA-A5B3-4DD5-8866-0D824AE6C8ED}"/>
    <cellStyle name="20% - Accent2 4 5 3 3" xfId="31502" xr:uid="{4CE9E6E7-815E-4694-AC89-313893D43B04}"/>
    <cellStyle name="20% - Accent2 4 5 3 4" xfId="14615" xr:uid="{BB2A7E0D-2DF0-48DE-BC04-1B057B5E292C}"/>
    <cellStyle name="20% - Accent2 4 5 4" xfId="18838" xr:uid="{7902DCC3-8B81-49B5-B63E-EDE9E8B39EE3}"/>
    <cellStyle name="20% - Accent2 4 5 5" xfId="27283" xr:uid="{5E3FB98B-B6B1-4449-BD30-2EE8FAC11DE8}"/>
    <cellStyle name="20% - Accent2 4 5 6" xfId="10397" xr:uid="{B7A5E56F-63DD-4194-9994-897C04C5B94F}"/>
    <cellStyle name="20% - Accent2 4 6" xfId="2279" xr:uid="{00000000-0005-0000-0000-00002B010000}"/>
    <cellStyle name="20% - Accent2 4 6 2" xfId="6586" xr:uid="{00000000-0005-0000-0000-00002C010000}"/>
    <cellStyle name="20% - Accent2 4 6 2 2" xfId="23469" xr:uid="{3777C89B-53DF-4A1A-839F-1704EE7F9253}"/>
    <cellStyle name="20% - Accent2 4 6 2 3" xfId="31915" xr:uid="{BCD177AF-1915-46AD-8557-8EBA1AD7223E}"/>
    <cellStyle name="20% - Accent2 4 6 2 4" xfId="15028" xr:uid="{21CF83CB-EBCF-4870-AF66-FE06CBD4F3DF}"/>
    <cellStyle name="20% - Accent2 4 6 3" xfId="19251" xr:uid="{BA41FDA1-95D9-4A18-968D-B008B9109594}"/>
    <cellStyle name="20% - Accent2 4 6 4" xfId="27696" xr:uid="{0B9923EA-F1BD-4160-A47A-3D2CB05EE32A}"/>
    <cellStyle name="20% - Accent2 4 6 5" xfId="10810" xr:uid="{03457874-A5FC-4FB2-8106-E3C0FA691D64}"/>
    <cellStyle name="20% - Accent2 4 7" xfId="4520" xr:uid="{00000000-0005-0000-0000-00002D010000}"/>
    <cellStyle name="20% - Accent2 4 7 2" xfId="21403" xr:uid="{892BDFF1-F20F-4DC9-AE1A-F966281E6C09}"/>
    <cellStyle name="20% - Accent2 4 7 3" xfId="29849" xr:uid="{FB6B4753-B8FD-489B-9E84-5C1C8FB9BC59}"/>
    <cellStyle name="20% - Accent2 4 7 4" xfId="12962" xr:uid="{A291546E-1B1E-4756-ACD7-745D92D33263}"/>
    <cellStyle name="20% - Accent2 4 8" xfId="17185" xr:uid="{CBB09C79-87ED-4A14-B1E9-D0E77389CB2B}"/>
    <cellStyle name="20% - Accent2 4 9" xfId="25627" xr:uid="{D2BE37AD-9E1B-4EAE-BD3C-DB0C8E577EC2}"/>
    <cellStyle name="20% - Accent2 5" xfId="578" xr:uid="{00000000-0005-0000-0000-00002E010000}"/>
    <cellStyle name="20% - Accent2 5 2" xfId="2849" xr:uid="{00000000-0005-0000-0000-00002F010000}"/>
    <cellStyle name="20% - Accent2 5 2 2" xfId="7072" xr:uid="{00000000-0005-0000-0000-000030010000}"/>
    <cellStyle name="20% - Accent2 5 2 2 2" xfId="23955" xr:uid="{ABC1AA42-6AC2-450C-8511-0B315634756C}"/>
    <cellStyle name="20% - Accent2 5 2 2 3" xfId="32401" xr:uid="{DAC5CD09-8D2F-4B4B-8B26-ED4FF82E7B3E}"/>
    <cellStyle name="20% - Accent2 5 2 2 4" xfId="15514" xr:uid="{D9DC483A-1FE1-4A26-B988-F1339CD8DD23}"/>
    <cellStyle name="20% - Accent2 5 2 3" xfId="19737" xr:uid="{A1A1159D-EC6C-43D8-930F-AEE555B7DD30}"/>
    <cellStyle name="20% - Accent2 5 2 4" xfId="28184" xr:uid="{9F20C25E-F1AF-45FD-8E46-2FBAC3548C03}"/>
    <cellStyle name="20% - Accent2 5 2 5" xfId="11296" xr:uid="{0163B9CD-D33B-424E-A64B-2D1B1332DAB0}"/>
    <cellStyle name="20% - Accent2 5 3" xfId="4927" xr:uid="{00000000-0005-0000-0000-000031010000}"/>
    <cellStyle name="20% - Accent2 5 3 2" xfId="21810" xr:uid="{E8A9B8EA-0F24-4888-AB30-0EBF07171379}"/>
    <cellStyle name="20% - Accent2 5 3 3" xfId="30256" xr:uid="{B9253B08-EE35-452A-BADC-B0A0B80B3938}"/>
    <cellStyle name="20% - Accent2 5 3 4" xfId="13369" xr:uid="{B678A12F-3564-49D5-9A35-422678549EF0}"/>
    <cellStyle name="20% - Accent2 5 4" xfId="17592" xr:uid="{29450115-0D38-4E42-AA34-4F55A66A6B2A}"/>
    <cellStyle name="20% - Accent2 5 5" xfId="26037" xr:uid="{AD470AD4-B150-4D1C-982F-AFE0B499EE7E}"/>
    <cellStyle name="20% - Accent2 5 6" xfId="9151" xr:uid="{E621DD79-E24A-4658-A014-06B25ACB5747}"/>
    <cellStyle name="20% - Accent2 6" xfId="1031" xr:uid="{00000000-0005-0000-0000-000032010000}"/>
    <cellStyle name="20% - Accent2 6 2" xfId="3262" xr:uid="{00000000-0005-0000-0000-000033010000}"/>
    <cellStyle name="20% - Accent2 6 2 2" xfId="7485" xr:uid="{00000000-0005-0000-0000-000034010000}"/>
    <cellStyle name="20% - Accent2 6 2 2 2" xfId="24368" xr:uid="{1697648D-2CD4-4DC0-9B2A-A6E150959B0E}"/>
    <cellStyle name="20% - Accent2 6 2 2 3" xfId="32814" xr:uid="{9901F1DC-CF5C-4F12-A4EE-DCA8F29FC557}"/>
    <cellStyle name="20% - Accent2 6 2 2 4" xfId="15927" xr:uid="{1DAEE010-BD1B-4A03-8885-16788DB81E62}"/>
    <cellStyle name="20% - Accent2 6 2 3" xfId="20150" xr:uid="{9BBB3A1F-CB76-47BC-B62F-5E1D2E65CC51}"/>
    <cellStyle name="20% - Accent2 6 2 4" xfId="28597" xr:uid="{5A644720-4B02-42C5-811E-CD263A704302}"/>
    <cellStyle name="20% - Accent2 6 2 5" xfId="11709" xr:uid="{D2A1FDEC-7FAF-4435-8F85-26328DA50D6C}"/>
    <cellStyle name="20% - Accent2 6 3" xfId="5340" xr:uid="{00000000-0005-0000-0000-000035010000}"/>
    <cellStyle name="20% - Accent2 6 3 2" xfId="22223" xr:uid="{6009EA38-82BB-4257-B53A-4C6C654B9401}"/>
    <cellStyle name="20% - Accent2 6 3 3" xfId="30669" xr:uid="{755CDC70-CDE9-4A16-8760-711B825E546C}"/>
    <cellStyle name="20% - Accent2 6 3 4" xfId="13782" xr:uid="{9A3058FE-F19D-46AC-B459-356389301075}"/>
    <cellStyle name="20% - Accent2 6 4" xfId="18005" xr:uid="{CBEA2E1B-06D6-41E7-BE50-6B0B5958FCC5}"/>
    <cellStyle name="20% - Accent2 6 5" xfId="26450" xr:uid="{74FCECDE-C275-461E-B3C1-77F9F913E7A5}"/>
    <cellStyle name="20% - Accent2 6 6" xfId="9564" xr:uid="{FC390370-A043-41CF-BD98-73EB379D310E}"/>
    <cellStyle name="20% - Accent2 7" xfId="1445" xr:uid="{00000000-0005-0000-0000-000036010000}"/>
    <cellStyle name="20% - Accent2 7 2" xfId="3675" xr:uid="{00000000-0005-0000-0000-000037010000}"/>
    <cellStyle name="20% - Accent2 7 2 2" xfId="7898" xr:uid="{00000000-0005-0000-0000-000038010000}"/>
    <cellStyle name="20% - Accent2 7 2 2 2" xfId="24781" xr:uid="{51DC1829-0025-4FA9-8097-534744B69DEB}"/>
    <cellStyle name="20% - Accent2 7 2 2 3" xfId="33227" xr:uid="{CCB3EF56-24C0-4559-9DBC-EEE347023960}"/>
    <cellStyle name="20% - Accent2 7 2 2 4" xfId="16340" xr:uid="{0AB0E6CA-C6AC-4AA7-A20C-6588016BF25B}"/>
    <cellStyle name="20% - Accent2 7 2 3" xfId="20563" xr:uid="{57491A97-FE92-4843-A7D4-3E42A00DC3E7}"/>
    <cellStyle name="20% - Accent2 7 2 4" xfId="29010" xr:uid="{E9A90FFA-901E-4180-8A8E-D8ACFE501D22}"/>
    <cellStyle name="20% - Accent2 7 2 5" xfId="12122" xr:uid="{CFBA7BC6-637B-4C0A-BC95-974270D98349}"/>
    <cellStyle name="20% - Accent2 7 3" xfId="5753" xr:uid="{00000000-0005-0000-0000-000039010000}"/>
    <cellStyle name="20% - Accent2 7 3 2" xfId="22636" xr:uid="{9E476F47-2FD2-4C28-A63E-45B852508AF4}"/>
    <cellStyle name="20% - Accent2 7 3 3" xfId="31082" xr:uid="{7A0C8B5F-FDBE-4B04-A07F-0ACC5F428EA8}"/>
    <cellStyle name="20% - Accent2 7 3 4" xfId="14195" xr:uid="{07B9D828-179A-456D-B0BA-D2E0664E04A9}"/>
    <cellStyle name="20% - Accent2 7 4" xfId="18418" xr:uid="{840A0991-1947-4CBB-BE5C-3C64A4EE046C}"/>
    <cellStyle name="20% - Accent2 7 5" xfId="26863" xr:uid="{1548713D-7E99-4D5E-A58B-1AF25766A248}"/>
    <cellStyle name="20% - Accent2 7 6" xfId="9977" xr:uid="{E984BF01-8A87-47EB-9174-19680B1C984C}"/>
    <cellStyle name="20% - Accent2 8" xfId="1859" xr:uid="{00000000-0005-0000-0000-00003A010000}"/>
    <cellStyle name="20% - Accent2 8 2" xfId="4088" xr:uid="{00000000-0005-0000-0000-00003B010000}"/>
    <cellStyle name="20% - Accent2 8 2 2" xfId="8311" xr:uid="{00000000-0005-0000-0000-00003C010000}"/>
    <cellStyle name="20% - Accent2 8 2 2 2" xfId="25194" xr:uid="{5909C548-CF12-4070-A6AE-FD3650C1CA16}"/>
    <cellStyle name="20% - Accent2 8 2 2 3" xfId="33640" xr:uid="{080AF057-2E13-48F3-BF48-860AA4E2E44D}"/>
    <cellStyle name="20% - Accent2 8 2 2 4" xfId="16753" xr:uid="{47BCCC43-DCD9-42CD-BCB3-2F85CA790CB3}"/>
    <cellStyle name="20% - Accent2 8 2 3" xfId="20976" xr:uid="{F5F36CCB-B7C4-46BA-AA2D-8EA7EC213406}"/>
    <cellStyle name="20% - Accent2 8 2 4" xfId="29423" xr:uid="{0B02641C-3650-4E96-BBE5-BCFC9AF738FB}"/>
    <cellStyle name="20% - Accent2 8 2 5" xfId="12535" xr:uid="{C9164DF4-5DF3-46F6-B234-6E1D882C25A9}"/>
    <cellStyle name="20% - Accent2 8 3" xfId="6166" xr:uid="{00000000-0005-0000-0000-00003D010000}"/>
    <cellStyle name="20% - Accent2 8 3 2" xfId="23049" xr:uid="{72AC8C7D-7EBC-438D-8EE1-745442ED0AEC}"/>
    <cellStyle name="20% - Accent2 8 3 3" xfId="31495" xr:uid="{AF637BDE-6C8E-4998-8A21-C8BE7942432B}"/>
    <cellStyle name="20% - Accent2 8 3 4" xfId="14608" xr:uid="{B0877A66-9082-4567-B2A3-2576DF02184A}"/>
    <cellStyle name="20% - Accent2 8 4" xfId="18831" xr:uid="{8985E0F6-F01B-4575-B817-3806FEE18EF1}"/>
    <cellStyle name="20% - Accent2 8 5" xfId="27276" xr:uid="{373337B9-A19B-4156-BDC2-DBACAC36CCB3}"/>
    <cellStyle name="20% - Accent2 8 6" xfId="10390" xr:uid="{AFF3DD81-6085-4E49-83CA-78EC498F82F6}"/>
    <cellStyle name="20% - Accent2 9" xfId="2272" xr:uid="{00000000-0005-0000-0000-00003E010000}"/>
    <cellStyle name="20% - Accent2 9 2" xfId="6579" xr:uid="{00000000-0005-0000-0000-00003F010000}"/>
    <cellStyle name="20% - Accent2 9 2 2" xfId="23462" xr:uid="{513F07AE-EDA5-4AE6-99C0-ED561269E85B}"/>
    <cellStyle name="20% - Accent2 9 2 3" xfId="31908" xr:uid="{5F380244-772D-4EA1-8FCE-FA21906202AB}"/>
    <cellStyle name="20% - Accent2 9 2 4" xfId="15021" xr:uid="{2DA98C84-F085-4388-9A45-1CAC9D82F7D3}"/>
    <cellStyle name="20% - Accent2 9 3" xfId="19244" xr:uid="{7A4DF17D-D605-418B-9B7D-9A75232D5966}"/>
    <cellStyle name="20% - Accent2 9 4" xfId="27689" xr:uid="{43F02BB0-8DFC-46A9-B9E8-2EBF8472CE91}"/>
    <cellStyle name="20% - Accent2 9 5" xfId="10803" xr:uid="{79A68034-86D9-415D-B83C-3F9223D4AEE7}"/>
    <cellStyle name="20% - Accent3" xfId="17" builtinId="38" customBuiltin="1"/>
    <cellStyle name="20% - Accent3 10" xfId="4521" xr:uid="{00000000-0005-0000-0000-000041010000}"/>
    <cellStyle name="20% - Accent3 10 2" xfId="21404" xr:uid="{A1C7DE5B-7D00-4DC7-A2E0-27236D23B5E6}"/>
    <cellStyle name="20% - Accent3 10 3" xfId="29850" xr:uid="{439858D1-5FC1-4398-B2E3-6352097904A1}"/>
    <cellStyle name="20% - Accent3 10 4" xfId="12963" xr:uid="{F68917F1-764E-4357-B748-3BA354A7D9AF}"/>
    <cellStyle name="20% - Accent3 11" xfId="17186" xr:uid="{4187F5B8-6901-4EF3-96E9-7A1A989C1E1B}"/>
    <cellStyle name="20% - Accent3 12" xfId="25628" xr:uid="{52D1B0DD-A0EC-4405-93BF-17B7E8950F10}"/>
    <cellStyle name="20% - Accent3 13" xfId="8745" xr:uid="{B64C02B9-C502-430B-9143-21E986683807}"/>
    <cellStyle name="20% - Accent3 2" xfId="18" xr:uid="{00000000-0005-0000-0000-000042010000}"/>
    <cellStyle name="20% - Accent3 2 10" xfId="17187" xr:uid="{154BC57C-FEE4-4CC0-BD09-E8BA2728E1EA}"/>
    <cellStyle name="20% - Accent3 2 11" xfId="25629" xr:uid="{5064FA3D-D70B-456A-A01E-19DA6CB7F07E}"/>
    <cellStyle name="20% - Accent3 2 12" xfId="8746" xr:uid="{9AD75DEC-7803-4AC7-8119-1BE80373AC95}"/>
    <cellStyle name="20% - Accent3 2 2" xfId="19" xr:uid="{00000000-0005-0000-0000-000043010000}"/>
    <cellStyle name="20% - Accent3 2 2 10" xfId="25630" xr:uid="{6E9FF89F-35DA-424D-930C-54361C361F6E}"/>
    <cellStyle name="20% - Accent3 2 2 11" xfId="8747" xr:uid="{FDC38BB4-255B-45A8-8611-7C06674CE71D}"/>
    <cellStyle name="20% - Accent3 2 2 2" xfId="20" xr:uid="{00000000-0005-0000-0000-000044010000}"/>
    <cellStyle name="20% - Accent3 2 2 2 10" xfId="8748" xr:uid="{A9ECE0F9-10E4-43A3-880A-19B90C5FBA8C}"/>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23966" xr:uid="{960D43E9-841A-49A2-ABFE-39992EB9A178}"/>
    <cellStyle name="20% - Accent3 2 2 2 2 2 2 3" xfId="32412" xr:uid="{AAC46D88-2542-4F41-B006-FD0D53D65294}"/>
    <cellStyle name="20% - Accent3 2 2 2 2 2 2 4" xfId="15525" xr:uid="{909A5FC4-88D1-40FE-80C9-74D67E2B4A8E}"/>
    <cellStyle name="20% - Accent3 2 2 2 2 2 3" xfId="19748" xr:uid="{8A0577FA-1651-473D-9989-28A001495835}"/>
    <cellStyle name="20% - Accent3 2 2 2 2 2 4" xfId="28195" xr:uid="{C2A4F90F-2121-46C3-A1C9-5F4E91B0E5F7}"/>
    <cellStyle name="20% - Accent3 2 2 2 2 2 5" xfId="11307" xr:uid="{695FDBBF-CF25-4E30-BD88-44867525E518}"/>
    <cellStyle name="20% - Accent3 2 2 2 2 3" xfId="4938" xr:uid="{00000000-0005-0000-0000-000048010000}"/>
    <cellStyle name="20% - Accent3 2 2 2 2 3 2" xfId="21821" xr:uid="{D2D87C10-4FFD-48D5-8392-10645ED4C667}"/>
    <cellStyle name="20% - Accent3 2 2 2 2 3 3" xfId="30267" xr:uid="{90B2FC91-8F2E-4E29-89A8-B69C06F7DC14}"/>
    <cellStyle name="20% - Accent3 2 2 2 2 3 4" xfId="13380" xr:uid="{38A22D2F-B329-4331-8230-6DDAC3161EA5}"/>
    <cellStyle name="20% - Accent3 2 2 2 2 4" xfId="17603" xr:uid="{B5C93953-52BF-48E3-8127-EF0677913096}"/>
    <cellStyle name="20% - Accent3 2 2 2 2 5" xfId="26048" xr:uid="{DA28EDA2-AC3B-4D7A-A5A9-7E37F8F4DBAB}"/>
    <cellStyle name="20% - Accent3 2 2 2 2 6" xfId="9162" xr:uid="{1003DE9F-3261-48AB-BD71-B65A98FB9846}"/>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24379" xr:uid="{26861DBE-9BDA-40EC-B6B7-5DA9752510D1}"/>
    <cellStyle name="20% - Accent3 2 2 2 3 2 2 3" xfId="32825" xr:uid="{2D04B207-CE96-445C-A0FA-9726F741FC00}"/>
    <cellStyle name="20% - Accent3 2 2 2 3 2 2 4" xfId="15938" xr:uid="{3EBDE469-3DB9-4628-B4B1-BC5DFAAC183C}"/>
    <cellStyle name="20% - Accent3 2 2 2 3 2 3" xfId="20161" xr:uid="{3ABF5AF9-8942-4AB7-832E-91D19295BA14}"/>
    <cellStyle name="20% - Accent3 2 2 2 3 2 4" xfId="28608" xr:uid="{B11A8B6C-C510-4AA8-9415-0600C9852613}"/>
    <cellStyle name="20% - Accent3 2 2 2 3 2 5" xfId="11720" xr:uid="{96F15E75-72F2-42C5-B1B7-FD8E2EF0A5EC}"/>
    <cellStyle name="20% - Accent3 2 2 2 3 3" xfId="5351" xr:uid="{00000000-0005-0000-0000-00004C010000}"/>
    <cellStyle name="20% - Accent3 2 2 2 3 3 2" xfId="22234" xr:uid="{2C2E2F4D-8794-417E-A5EE-0F420E34C7D3}"/>
    <cellStyle name="20% - Accent3 2 2 2 3 3 3" xfId="30680" xr:uid="{CAA0DEC0-73AA-41B8-98FE-A6822492F9B6}"/>
    <cellStyle name="20% - Accent3 2 2 2 3 3 4" xfId="13793" xr:uid="{C779559D-4751-4D11-AEF4-FD9763CC59AC}"/>
    <cellStyle name="20% - Accent3 2 2 2 3 4" xfId="18016" xr:uid="{B163E964-4847-4780-ADC1-ACD49473E4F3}"/>
    <cellStyle name="20% - Accent3 2 2 2 3 5" xfId="26461" xr:uid="{7783EA09-42F8-491F-B9EC-D63003F403D5}"/>
    <cellStyle name="20% - Accent3 2 2 2 3 6" xfId="9575" xr:uid="{02C32324-D82C-4CD6-9944-ABDDCCBA8BED}"/>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24792" xr:uid="{1A82C34E-C181-4050-972C-553B2972C4A6}"/>
    <cellStyle name="20% - Accent3 2 2 2 4 2 2 3" xfId="33238" xr:uid="{BD35668A-7F51-4E45-AE3B-53D4086F59E0}"/>
    <cellStyle name="20% - Accent3 2 2 2 4 2 2 4" xfId="16351" xr:uid="{CA68956F-DEDE-4C98-8260-E98EF4A1711A}"/>
    <cellStyle name="20% - Accent3 2 2 2 4 2 3" xfId="20574" xr:uid="{B8017CA9-FCC4-406E-B1E2-6106045DD7B0}"/>
    <cellStyle name="20% - Accent3 2 2 2 4 2 4" xfId="29021" xr:uid="{3DEDF533-2560-48C6-9BF2-868965769E3B}"/>
    <cellStyle name="20% - Accent3 2 2 2 4 2 5" xfId="12133" xr:uid="{17AD8E01-A087-456D-B22D-FB7C301E7993}"/>
    <cellStyle name="20% - Accent3 2 2 2 4 3" xfId="5764" xr:uid="{00000000-0005-0000-0000-000050010000}"/>
    <cellStyle name="20% - Accent3 2 2 2 4 3 2" xfId="22647" xr:uid="{767C8E78-7EE0-4644-8D58-89188B11EFAF}"/>
    <cellStyle name="20% - Accent3 2 2 2 4 3 3" xfId="31093" xr:uid="{672A44D9-8FA0-48D8-8496-B983CEA4D8AC}"/>
    <cellStyle name="20% - Accent3 2 2 2 4 3 4" xfId="14206" xr:uid="{58195315-E642-4784-8D66-9CCDCDFEAA68}"/>
    <cellStyle name="20% - Accent3 2 2 2 4 4" xfId="18429" xr:uid="{398DC43E-6CE5-4A80-B370-B7A09753CB8E}"/>
    <cellStyle name="20% - Accent3 2 2 2 4 5" xfId="26874" xr:uid="{79B70EFA-3817-428B-91E9-F58A52AEC89D}"/>
    <cellStyle name="20% - Accent3 2 2 2 4 6" xfId="9988" xr:uid="{C81AB266-1C7C-40A6-A95B-787FBDD00F6B}"/>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25205" xr:uid="{A35F724F-4211-423A-8251-F50A92F21356}"/>
    <cellStyle name="20% - Accent3 2 2 2 5 2 2 3" xfId="33651" xr:uid="{20F16B43-04BF-4B4C-BA18-2A545FD598D3}"/>
    <cellStyle name="20% - Accent3 2 2 2 5 2 2 4" xfId="16764" xr:uid="{7841B155-3301-4200-8B4A-61213AB19FDF}"/>
    <cellStyle name="20% - Accent3 2 2 2 5 2 3" xfId="20987" xr:uid="{D21C8308-D73B-4530-9706-C895F7BCDBE4}"/>
    <cellStyle name="20% - Accent3 2 2 2 5 2 4" xfId="29434" xr:uid="{1939C130-C425-44CE-9C8E-A141B492F8BF}"/>
    <cellStyle name="20% - Accent3 2 2 2 5 2 5" xfId="12546" xr:uid="{9B43D629-4A34-40F3-8813-E6BE5283DF3A}"/>
    <cellStyle name="20% - Accent3 2 2 2 5 3" xfId="6177" xr:uid="{00000000-0005-0000-0000-000054010000}"/>
    <cellStyle name="20% - Accent3 2 2 2 5 3 2" xfId="23060" xr:uid="{B7857ECC-1B6A-47EE-B580-874CF936B57A}"/>
    <cellStyle name="20% - Accent3 2 2 2 5 3 3" xfId="31506" xr:uid="{71FE8B68-BCC3-48C2-98FB-13F487EFE4FF}"/>
    <cellStyle name="20% - Accent3 2 2 2 5 3 4" xfId="14619" xr:uid="{9A3CDBB2-EAC6-4CF1-A8C8-595A2352C447}"/>
    <cellStyle name="20% - Accent3 2 2 2 5 4" xfId="18842" xr:uid="{12988EC6-C380-4509-B9D0-178C077B7240}"/>
    <cellStyle name="20% - Accent3 2 2 2 5 5" xfId="27287" xr:uid="{D6165970-D6E1-4775-A029-A1B4B5DB8D17}"/>
    <cellStyle name="20% - Accent3 2 2 2 5 6" xfId="10401" xr:uid="{EA600780-8C56-46D8-993B-CF5D4632C525}"/>
    <cellStyle name="20% - Accent3 2 2 2 6" xfId="2283" xr:uid="{00000000-0005-0000-0000-000055010000}"/>
    <cellStyle name="20% - Accent3 2 2 2 6 2" xfId="6590" xr:uid="{00000000-0005-0000-0000-000056010000}"/>
    <cellStyle name="20% - Accent3 2 2 2 6 2 2" xfId="23473" xr:uid="{5B80BD51-5D48-4513-8D76-DCCB279D882C}"/>
    <cellStyle name="20% - Accent3 2 2 2 6 2 3" xfId="31919" xr:uid="{D8D255A9-C98F-45D9-A8B1-38F571B23E67}"/>
    <cellStyle name="20% - Accent3 2 2 2 6 2 4" xfId="15032" xr:uid="{C3A072DE-46CC-4076-A3E5-2F59A6523F34}"/>
    <cellStyle name="20% - Accent3 2 2 2 6 3" xfId="19255" xr:uid="{9EC38F38-089B-4267-A77D-27DBB252E351}"/>
    <cellStyle name="20% - Accent3 2 2 2 6 4" xfId="27700" xr:uid="{145DA834-BCB1-48B8-AB50-287D1D556978}"/>
    <cellStyle name="20% - Accent3 2 2 2 6 5" xfId="10814" xr:uid="{54A165BF-5746-4A45-AB4E-1AD798F1B291}"/>
    <cellStyle name="20% - Accent3 2 2 2 7" xfId="4524" xr:uid="{00000000-0005-0000-0000-000057010000}"/>
    <cellStyle name="20% - Accent3 2 2 2 7 2" xfId="21407" xr:uid="{FEB6AF5B-F920-46E2-BBAE-27B341FD9031}"/>
    <cellStyle name="20% - Accent3 2 2 2 7 3" xfId="29853" xr:uid="{B9EE5A46-DC47-4DDA-9669-05773F0B2146}"/>
    <cellStyle name="20% - Accent3 2 2 2 7 4" xfId="12966" xr:uid="{626BAA18-6006-4373-8264-A44E17A7803C}"/>
    <cellStyle name="20% - Accent3 2 2 2 8" xfId="17189" xr:uid="{3157FD0D-E627-4687-BFB2-E457149E1760}"/>
    <cellStyle name="20% - Accent3 2 2 2 9" xfId="25631" xr:uid="{6ECBC1B3-B4A9-4C95-B5EB-2E7A612E20D8}"/>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23965" xr:uid="{9970129C-D109-491D-BAC0-95FB54C017B7}"/>
    <cellStyle name="20% - Accent3 2 2 3 2 2 3" xfId="32411" xr:uid="{250AD098-00CA-47EF-A583-2DB551983F58}"/>
    <cellStyle name="20% - Accent3 2 2 3 2 2 4" xfId="15524" xr:uid="{5D96F2B5-EABE-453D-9B5B-110671106778}"/>
    <cellStyle name="20% - Accent3 2 2 3 2 3" xfId="19747" xr:uid="{753B9075-7386-45D8-A3FD-91E598A640A0}"/>
    <cellStyle name="20% - Accent3 2 2 3 2 4" xfId="28194" xr:uid="{07181C91-A03B-4CBB-98B0-90F43BB83B6B}"/>
    <cellStyle name="20% - Accent3 2 2 3 2 5" xfId="11306" xr:uid="{B7F6C265-1E57-4D98-B0E9-2FD63F4CBFB8}"/>
    <cellStyle name="20% - Accent3 2 2 3 3" xfId="4937" xr:uid="{00000000-0005-0000-0000-00005B010000}"/>
    <cellStyle name="20% - Accent3 2 2 3 3 2" xfId="21820" xr:uid="{139A4A15-BA4D-4A59-AE0A-71656EB5CF78}"/>
    <cellStyle name="20% - Accent3 2 2 3 3 3" xfId="30266" xr:uid="{0CC813B6-D2D9-4E62-BD32-1235A4846CF2}"/>
    <cellStyle name="20% - Accent3 2 2 3 3 4" xfId="13379" xr:uid="{186BB82B-9779-4FB8-93CF-D66FB878F7F6}"/>
    <cellStyle name="20% - Accent3 2 2 3 4" xfId="17602" xr:uid="{C9937355-03BE-4AF1-A257-374F097A7384}"/>
    <cellStyle name="20% - Accent3 2 2 3 5" xfId="26047" xr:uid="{C10BE08E-0006-4136-ABE5-D2284FBDC5D6}"/>
    <cellStyle name="20% - Accent3 2 2 3 6" xfId="9161" xr:uid="{8D1C1DA5-9BDA-4D0C-8409-CE24E896E02A}"/>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24378" xr:uid="{7E877181-E8D7-4E0F-83C5-85588C175535}"/>
    <cellStyle name="20% - Accent3 2 2 4 2 2 3" xfId="32824" xr:uid="{4BFA062E-41C3-44B8-A135-1375C30158DA}"/>
    <cellStyle name="20% - Accent3 2 2 4 2 2 4" xfId="15937" xr:uid="{2718C53F-D0B5-4567-961B-C1EACE4FBDCE}"/>
    <cellStyle name="20% - Accent3 2 2 4 2 3" xfId="20160" xr:uid="{C729C56E-672B-46B7-9A3E-6C35EBC35FA4}"/>
    <cellStyle name="20% - Accent3 2 2 4 2 4" xfId="28607" xr:uid="{428D3008-01C8-41DC-99FA-7E98BBE1C447}"/>
    <cellStyle name="20% - Accent3 2 2 4 2 5" xfId="11719" xr:uid="{E0820205-A2A4-40ED-AEDF-4F1894DA2330}"/>
    <cellStyle name="20% - Accent3 2 2 4 3" xfId="5350" xr:uid="{00000000-0005-0000-0000-00005F010000}"/>
    <cellStyle name="20% - Accent3 2 2 4 3 2" xfId="22233" xr:uid="{8131D7CD-CED2-4B90-812C-1D0D7A4B2B56}"/>
    <cellStyle name="20% - Accent3 2 2 4 3 3" xfId="30679" xr:uid="{6ABBF4AB-B345-4E01-A2F9-625116F60182}"/>
    <cellStyle name="20% - Accent3 2 2 4 3 4" xfId="13792" xr:uid="{C557B69A-0A9E-4115-BCB7-A46ECFB7BDDC}"/>
    <cellStyle name="20% - Accent3 2 2 4 4" xfId="18015" xr:uid="{84661CD1-1408-479E-B018-E619F4A4ED6D}"/>
    <cellStyle name="20% - Accent3 2 2 4 5" xfId="26460" xr:uid="{D8F8E789-8A49-4415-8495-1A6A8FE9A526}"/>
    <cellStyle name="20% - Accent3 2 2 4 6" xfId="9574" xr:uid="{E98F6255-9A8C-429A-8226-185065A10434}"/>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24791" xr:uid="{F4400915-8793-4C20-9729-F6DF7670898A}"/>
    <cellStyle name="20% - Accent3 2 2 5 2 2 3" xfId="33237" xr:uid="{D0D62890-0FCC-4AB9-B803-CBB0F98F429B}"/>
    <cellStyle name="20% - Accent3 2 2 5 2 2 4" xfId="16350" xr:uid="{1BC05FDC-DB2A-4BC7-A0DA-C521BD7A5982}"/>
    <cellStyle name="20% - Accent3 2 2 5 2 3" xfId="20573" xr:uid="{D3E989C3-CB2F-496C-9472-16F2E3CD6D4C}"/>
    <cellStyle name="20% - Accent3 2 2 5 2 4" xfId="29020" xr:uid="{E3FD39A9-F915-4A41-B078-887DAC661590}"/>
    <cellStyle name="20% - Accent3 2 2 5 2 5" xfId="12132" xr:uid="{E0014969-E47E-4EF8-A84A-F6A0B66E5648}"/>
    <cellStyle name="20% - Accent3 2 2 5 3" xfId="5763" xr:uid="{00000000-0005-0000-0000-000063010000}"/>
    <cellStyle name="20% - Accent3 2 2 5 3 2" xfId="22646" xr:uid="{72D58B5C-18F5-4DD4-AB5F-76EE77F6953B}"/>
    <cellStyle name="20% - Accent3 2 2 5 3 3" xfId="31092" xr:uid="{5CA2EA9D-8ED8-4276-8238-D5DACFAE4A08}"/>
    <cellStyle name="20% - Accent3 2 2 5 3 4" xfId="14205" xr:uid="{93C90F33-4362-4852-AEBC-5B30C5E97D2B}"/>
    <cellStyle name="20% - Accent3 2 2 5 4" xfId="18428" xr:uid="{225510B2-E60E-4C9E-AE45-31170CDB74DD}"/>
    <cellStyle name="20% - Accent3 2 2 5 5" xfId="26873" xr:uid="{2D7DA5F8-3E3B-4224-BE1A-AF3370844763}"/>
    <cellStyle name="20% - Accent3 2 2 5 6" xfId="9987" xr:uid="{108F1EE1-D7C5-4BBB-B6EF-46ED88207D30}"/>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25204" xr:uid="{DF4B574A-461A-4476-9804-C7D8910E1133}"/>
    <cellStyle name="20% - Accent3 2 2 6 2 2 3" xfId="33650" xr:uid="{4BE5032C-B8F9-476E-A80C-490F7BF5CD9F}"/>
    <cellStyle name="20% - Accent3 2 2 6 2 2 4" xfId="16763" xr:uid="{A061F2D9-1E94-470D-95ED-7A913C3563CA}"/>
    <cellStyle name="20% - Accent3 2 2 6 2 3" xfId="20986" xr:uid="{A2D9AFF7-1EBE-4587-94E6-1213B5812D5D}"/>
    <cellStyle name="20% - Accent3 2 2 6 2 4" xfId="29433" xr:uid="{26371C77-B660-4A96-8121-59058C5CBB71}"/>
    <cellStyle name="20% - Accent3 2 2 6 2 5" xfId="12545" xr:uid="{CD284C4D-5815-489D-9FD5-F5440115BAB2}"/>
    <cellStyle name="20% - Accent3 2 2 6 3" xfId="6176" xr:uid="{00000000-0005-0000-0000-000067010000}"/>
    <cellStyle name="20% - Accent3 2 2 6 3 2" xfId="23059" xr:uid="{A879980F-E6C5-49E0-87BE-5ED124CA4E0C}"/>
    <cellStyle name="20% - Accent3 2 2 6 3 3" xfId="31505" xr:uid="{D0F2A7D3-887C-47A8-93BB-B37F8FCBD952}"/>
    <cellStyle name="20% - Accent3 2 2 6 3 4" xfId="14618" xr:uid="{A369FB29-89CB-421A-914B-8D610B5D93AE}"/>
    <cellStyle name="20% - Accent3 2 2 6 4" xfId="18841" xr:uid="{42428189-D11E-4EA8-BDE9-B8EB79ECFED0}"/>
    <cellStyle name="20% - Accent3 2 2 6 5" xfId="27286" xr:uid="{F7D8782F-5EA9-49FE-91BE-ECC3943FB6AA}"/>
    <cellStyle name="20% - Accent3 2 2 6 6" xfId="10400" xr:uid="{A737B5FE-550E-4A43-84B4-0A8E0658BCFE}"/>
    <cellStyle name="20% - Accent3 2 2 7" xfId="2282" xr:uid="{00000000-0005-0000-0000-000068010000}"/>
    <cellStyle name="20% - Accent3 2 2 7 2" xfId="6589" xr:uid="{00000000-0005-0000-0000-000069010000}"/>
    <cellStyle name="20% - Accent3 2 2 7 2 2" xfId="23472" xr:uid="{992707B7-4778-4DDA-9345-4FADD245D401}"/>
    <cellStyle name="20% - Accent3 2 2 7 2 3" xfId="31918" xr:uid="{2D4F1A4B-3FA4-4FB2-813D-EE8B3E2AC8CD}"/>
    <cellStyle name="20% - Accent3 2 2 7 2 4" xfId="15031" xr:uid="{382B9352-ADA7-48D1-9E5D-7CFFCB76C59D}"/>
    <cellStyle name="20% - Accent3 2 2 7 3" xfId="19254" xr:uid="{65F81613-E5AC-4BF9-82BD-B807453FAD89}"/>
    <cellStyle name="20% - Accent3 2 2 7 4" xfId="27699" xr:uid="{6EA10E32-A162-41F9-9850-EA266235F35A}"/>
    <cellStyle name="20% - Accent3 2 2 7 5" xfId="10813" xr:uid="{06FAE8DB-BAEA-4D95-ABE8-029D336EF5A1}"/>
    <cellStyle name="20% - Accent3 2 2 8" xfId="4523" xr:uid="{00000000-0005-0000-0000-00006A010000}"/>
    <cellStyle name="20% - Accent3 2 2 8 2" xfId="21406" xr:uid="{728D3D23-B9E6-48C3-81BF-4DB18A031329}"/>
    <cellStyle name="20% - Accent3 2 2 8 3" xfId="29852" xr:uid="{A1EF8AC6-962B-4AF5-8C1C-1461AEA22D21}"/>
    <cellStyle name="20% - Accent3 2 2 8 4" xfId="12965" xr:uid="{136EFB0E-355A-4A4D-A893-E9C265667113}"/>
    <cellStyle name="20% - Accent3 2 2 9" xfId="17188" xr:uid="{5CC6992B-76F5-46DD-ADCC-0329C879619D}"/>
    <cellStyle name="20% - Accent3 2 3" xfId="21" xr:uid="{00000000-0005-0000-0000-00006B010000}"/>
    <cellStyle name="20% - Accent3 2 3 10" xfId="8749" xr:uid="{82923CD9-42CC-4A06-B50D-C863AD3D0A3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23967" xr:uid="{3B415F76-A7E7-44B4-8E5A-5A26DEEC5C35}"/>
    <cellStyle name="20% - Accent3 2 3 2 2 2 3" xfId="32413" xr:uid="{2D5CACC4-9B6C-482D-97F6-152D295B39A1}"/>
    <cellStyle name="20% - Accent3 2 3 2 2 2 4" xfId="15526" xr:uid="{2E4BDFB0-4A87-4861-8707-9AE42B8F5C13}"/>
    <cellStyle name="20% - Accent3 2 3 2 2 3" xfId="19749" xr:uid="{169ECDB1-D295-4716-B307-D961D58A01AF}"/>
    <cellStyle name="20% - Accent3 2 3 2 2 4" xfId="28196" xr:uid="{06037C87-5913-4DAA-AB1A-2C02870599F8}"/>
    <cellStyle name="20% - Accent3 2 3 2 2 5" xfId="11308" xr:uid="{694665AF-7589-4BAD-A4A5-41486A872882}"/>
    <cellStyle name="20% - Accent3 2 3 2 3" xfId="4939" xr:uid="{00000000-0005-0000-0000-00006F010000}"/>
    <cellStyle name="20% - Accent3 2 3 2 3 2" xfId="21822" xr:uid="{9BF068A4-BEBC-4C5B-8725-EE3AE5A7ABBF}"/>
    <cellStyle name="20% - Accent3 2 3 2 3 3" xfId="30268" xr:uid="{DB76B800-CC08-4EB3-A1AB-F4A1E2A61F80}"/>
    <cellStyle name="20% - Accent3 2 3 2 3 4" xfId="13381" xr:uid="{3866980A-57A6-48EB-B9C2-3EB02F3D1EB3}"/>
    <cellStyle name="20% - Accent3 2 3 2 4" xfId="17604" xr:uid="{309E6BD1-97C5-4297-A25A-B94DB3D6FB86}"/>
    <cellStyle name="20% - Accent3 2 3 2 5" xfId="26049" xr:uid="{47D474EF-B417-4E34-A1BA-01503C53F36D}"/>
    <cellStyle name="20% - Accent3 2 3 2 6" xfId="9163" xr:uid="{8C5554FF-86AA-47A4-A9F4-E7FBD109FF96}"/>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24380" xr:uid="{375D3759-3E49-4EA0-8B22-4B56A9841606}"/>
    <cellStyle name="20% - Accent3 2 3 3 2 2 3" xfId="32826" xr:uid="{7B0A9E9A-3E6C-4773-8BD1-98D4F82A78EF}"/>
    <cellStyle name="20% - Accent3 2 3 3 2 2 4" xfId="15939" xr:uid="{C663550C-4228-4A12-AF22-27DF7AADED87}"/>
    <cellStyle name="20% - Accent3 2 3 3 2 3" xfId="20162" xr:uid="{C668F758-EFA5-42AD-B941-A079D7C56051}"/>
    <cellStyle name="20% - Accent3 2 3 3 2 4" xfId="28609" xr:uid="{9FD05F6A-B7DA-4991-9AF2-C25ADE0DB691}"/>
    <cellStyle name="20% - Accent3 2 3 3 2 5" xfId="11721" xr:uid="{35E2E28A-2174-4860-8957-719FAA61F0D1}"/>
    <cellStyle name="20% - Accent3 2 3 3 3" xfId="5352" xr:uid="{00000000-0005-0000-0000-000073010000}"/>
    <cellStyle name="20% - Accent3 2 3 3 3 2" xfId="22235" xr:uid="{E1B45F5C-A583-480F-845E-0F5ACCBA16C2}"/>
    <cellStyle name="20% - Accent3 2 3 3 3 3" xfId="30681" xr:uid="{C8132A14-6F94-49C4-8D19-C008C21FA5C6}"/>
    <cellStyle name="20% - Accent3 2 3 3 3 4" xfId="13794" xr:uid="{CD815498-135A-48F4-8486-9781F8601250}"/>
    <cellStyle name="20% - Accent3 2 3 3 4" xfId="18017" xr:uid="{836F68A3-6189-4AE4-B517-A904D2A8EFD6}"/>
    <cellStyle name="20% - Accent3 2 3 3 5" xfId="26462" xr:uid="{9EC86972-4A18-4E1E-934F-90658A318973}"/>
    <cellStyle name="20% - Accent3 2 3 3 6" xfId="9576" xr:uid="{AA9DE8DB-562F-4045-9D39-7DC5B3255805}"/>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24793" xr:uid="{53A39698-A754-40DE-969B-A22311B7B4FC}"/>
    <cellStyle name="20% - Accent3 2 3 4 2 2 3" xfId="33239" xr:uid="{595EEDC7-2120-4831-8874-7F76262D4292}"/>
    <cellStyle name="20% - Accent3 2 3 4 2 2 4" xfId="16352" xr:uid="{00175F87-1BA9-4204-93CF-7EB460D82CEC}"/>
    <cellStyle name="20% - Accent3 2 3 4 2 3" xfId="20575" xr:uid="{F424607D-5B36-4A6E-860D-A664C183A7B7}"/>
    <cellStyle name="20% - Accent3 2 3 4 2 4" xfId="29022" xr:uid="{934105E0-F8AC-45FC-814E-C6730F1BDF5C}"/>
    <cellStyle name="20% - Accent3 2 3 4 2 5" xfId="12134" xr:uid="{E5C0E4CE-C9FA-42D3-8DBC-21F65F613C0B}"/>
    <cellStyle name="20% - Accent3 2 3 4 3" xfId="5765" xr:uid="{00000000-0005-0000-0000-000077010000}"/>
    <cellStyle name="20% - Accent3 2 3 4 3 2" xfId="22648" xr:uid="{3DEBC046-3557-49F5-A15A-4005644D985B}"/>
    <cellStyle name="20% - Accent3 2 3 4 3 3" xfId="31094" xr:uid="{2D0BF2D1-3B25-4459-9C79-88A6FF8074A5}"/>
    <cellStyle name="20% - Accent3 2 3 4 3 4" xfId="14207" xr:uid="{27A1CBCB-A0F1-4D77-ADF6-CBEAF02C1257}"/>
    <cellStyle name="20% - Accent3 2 3 4 4" xfId="18430" xr:uid="{850FC1BE-2717-480F-93D4-3254A1E68D44}"/>
    <cellStyle name="20% - Accent3 2 3 4 5" xfId="26875" xr:uid="{58BD340B-18F4-4E41-8E83-53492C694E63}"/>
    <cellStyle name="20% - Accent3 2 3 4 6" xfId="9989" xr:uid="{2A903167-5B16-458D-AE06-C1C2982508BD}"/>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25206" xr:uid="{CEC367A8-CA31-455B-A856-68CEAC14FBCD}"/>
    <cellStyle name="20% - Accent3 2 3 5 2 2 3" xfId="33652" xr:uid="{59568004-721B-4761-A1EC-9E812FBC2E61}"/>
    <cellStyle name="20% - Accent3 2 3 5 2 2 4" xfId="16765" xr:uid="{708F16A5-A5BF-4A98-BC72-72B66C804D7E}"/>
    <cellStyle name="20% - Accent3 2 3 5 2 3" xfId="20988" xr:uid="{EEF62B94-B665-48F6-BC61-8FBB3504A5A0}"/>
    <cellStyle name="20% - Accent3 2 3 5 2 4" xfId="29435" xr:uid="{07352637-263F-4D2C-9D98-CB1E50A36CAA}"/>
    <cellStyle name="20% - Accent3 2 3 5 2 5" xfId="12547" xr:uid="{E2D8BE90-D801-4476-9256-5376420E3CB4}"/>
    <cellStyle name="20% - Accent3 2 3 5 3" xfId="6178" xr:uid="{00000000-0005-0000-0000-00007B010000}"/>
    <cellStyle name="20% - Accent3 2 3 5 3 2" xfId="23061" xr:uid="{C7BB3DEE-5F54-4C98-A12C-F87A784EB407}"/>
    <cellStyle name="20% - Accent3 2 3 5 3 3" xfId="31507" xr:uid="{77379989-0711-441A-A0C6-6D82C68FE5DA}"/>
    <cellStyle name="20% - Accent3 2 3 5 3 4" xfId="14620" xr:uid="{93C906A1-2B78-49AF-A704-EE929D86028B}"/>
    <cellStyle name="20% - Accent3 2 3 5 4" xfId="18843" xr:uid="{362E2A7B-B4E3-45FB-8E40-E6EB090A2A48}"/>
    <cellStyle name="20% - Accent3 2 3 5 5" xfId="27288" xr:uid="{F3D28B6E-C940-4EA4-B330-E09A99B3BB1F}"/>
    <cellStyle name="20% - Accent3 2 3 5 6" xfId="10402" xr:uid="{C178319B-9FE3-426B-8789-FCEAAD0EA4D7}"/>
    <cellStyle name="20% - Accent3 2 3 6" xfId="2284" xr:uid="{00000000-0005-0000-0000-00007C010000}"/>
    <cellStyle name="20% - Accent3 2 3 6 2" xfId="6591" xr:uid="{00000000-0005-0000-0000-00007D010000}"/>
    <cellStyle name="20% - Accent3 2 3 6 2 2" xfId="23474" xr:uid="{A01F8B95-3C72-4448-8C47-F32931215437}"/>
    <cellStyle name="20% - Accent3 2 3 6 2 3" xfId="31920" xr:uid="{D9AC4217-D365-4A9A-966E-625177599309}"/>
    <cellStyle name="20% - Accent3 2 3 6 2 4" xfId="15033" xr:uid="{8028DDCA-5537-47DD-BABF-C416E8BC40D2}"/>
    <cellStyle name="20% - Accent3 2 3 6 3" xfId="19256" xr:uid="{4ACFC916-D372-4B85-91B6-68C8DB49AB3E}"/>
    <cellStyle name="20% - Accent3 2 3 6 4" xfId="27701" xr:uid="{8AEEE2F2-BD71-44F5-95B4-F23B40273DC2}"/>
    <cellStyle name="20% - Accent3 2 3 6 5" xfId="10815" xr:uid="{A2CBE00F-671C-45AE-932E-D87381D5451C}"/>
    <cellStyle name="20% - Accent3 2 3 7" xfId="4525" xr:uid="{00000000-0005-0000-0000-00007E010000}"/>
    <cellStyle name="20% - Accent3 2 3 7 2" xfId="21408" xr:uid="{E55D847A-5963-4685-BE08-EC6FD87993D2}"/>
    <cellStyle name="20% - Accent3 2 3 7 3" xfId="29854" xr:uid="{2ABEC72A-210E-4E72-AE5B-39B5AFC5A0B7}"/>
    <cellStyle name="20% - Accent3 2 3 7 4" xfId="12967" xr:uid="{DFC1474D-8B6E-4560-85CB-0ED2DA5D9FAF}"/>
    <cellStyle name="20% - Accent3 2 3 8" xfId="17190" xr:uid="{FD6F101D-598B-4168-86B5-24D73A7AE79B}"/>
    <cellStyle name="20% - Accent3 2 3 9" xfId="25632" xr:uid="{28832F32-8255-4F51-BD08-2220439F3F6B}"/>
    <cellStyle name="20% - Accent3 2 4" xfId="587" xr:uid="{00000000-0005-0000-0000-00007F010000}"/>
    <cellStyle name="20% - Accent3 2 4 2" xfId="2858" xr:uid="{00000000-0005-0000-0000-000080010000}"/>
    <cellStyle name="20% - Accent3 2 4 2 2" xfId="7081" xr:uid="{00000000-0005-0000-0000-000081010000}"/>
    <cellStyle name="20% - Accent3 2 4 2 2 2" xfId="23964" xr:uid="{A9CDC92E-F53C-425A-884C-74512D34F704}"/>
    <cellStyle name="20% - Accent3 2 4 2 2 3" xfId="32410" xr:uid="{0DDB3A49-6578-4622-AAB1-DA0B4276F99F}"/>
    <cellStyle name="20% - Accent3 2 4 2 2 4" xfId="15523" xr:uid="{900DB63A-7651-49F3-830D-BC2B5C54A4C3}"/>
    <cellStyle name="20% - Accent3 2 4 2 3" xfId="19746" xr:uid="{FA52AE38-C56A-4A25-93B1-C0A3C697A80A}"/>
    <cellStyle name="20% - Accent3 2 4 2 4" xfId="28193" xr:uid="{68C89FD1-4BFB-49C5-9EC4-7FBB31517A56}"/>
    <cellStyle name="20% - Accent3 2 4 2 5" xfId="11305" xr:uid="{218120D7-2242-4FEF-B2D2-F5FC944E363F}"/>
    <cellStyle name="20% - Accent3 2 4 3" xfId="4936" xr:uid="{00000000-0005-0000-0000-000082010000}"/>
    <cellStyle name="20% - Accent3 2 4 3 2" xfId="21819" xr:uid="{56A50644-451F-45AE-8F0E-C97FC0609C32}"/>
    <cellStyle name="20% - Accent3 2 4 3 3" xfId="30265" xr:uid="{B7B393A6-8124-4690-8F06-ABF8253405D7}"/>
    <cellStyle name="20% - Accent3 2 4 3 4" xfId="13378" xr:uid="{4F0BF16C-17B2-498D-A699-274D6434F759}"/>
    <cellStyle name="20% - Accent3 2 4 4" xfId="17601" xr:uid="{D053B0C6-74A2-4C14-9E73-32BFDA265408}"/>
    <cellStyle name="20% - Accent3 2 4 5" xfId="26046" xr:uid="{16686D2E-90E0-467E-BA63-AA24610F0853}"/>
    <cellStyle name="20% - Accent3 2 4 6" xfId="9160" xr:uid="{CF80C08D-5528-44B1-B1E8-9F81357BD54F}"/>
    <cellStyle name="20% - Accent3 2 5" xfId="1040" xr:uid="{00000000-0005-0000-0000-000083010000}"/>
    <cellStyle name="20% - Accent3 2 5 2" xfId="3271" xr:uid="{00000000-0005-0000-0000-000084010000}"/>
    <cellStyle name="20% - Accent3 2 5 2 2" xfId="7494" xr:uid="{00000000-0005-0000-0000-000085010000}"/>
    <cellStyle name="20% - Accent3 2 5 2 2 2" xfId="24377" xr:uid="{4E563CDF-AD12-4DA1-AEAB-D66825A3FC84}"/>
    <cellStyle name="20% - Accent3 2 5 2 2 3" xfId="32823" xr:uid="{64EE240B-F5C9-402E-923D-611A4FA60E25}"/>
    <cellStyle name="20% - Accent3 2 5 2 2 4" xfId="15936" xr:uid="{923744CB-8E39-4B79-83A8-0296EE463EA9}"/>
    <cellStyle name="20% - Accent3 2 5 2 3" xfId="20159" xr:uid="{DC7B2547-5A47-47D6-845C-51E3C4FD6FB7}"/>
    <cellStyle name="20% - Accent3 2 5 2 4" xfId="28606" xr:uid="{A18756FF-C054-4546-BF1D-B8A6EF30A377}"/>
    <cellStyle name="20% - Accent3 2 5 2 5" xfId="11718" xr:uid="{177F13DA-FBDB-4E56-BCCF-81C307390903}"/>
    <cellStyle name="20% - Accent3 2 5 3" xfId="5349" xr:uid="{00000000-0005-0000-0000-000086010000}"/>
    <cellStyle name="20% - Accent3 2 5 3 2" xfId="22232" xr:uid="{9A25E25A-E8D7-46C5-B991-F17F458A8455}"/>
    <cellStyle name="20% - Accent3 2 5 3 3" xfId="30678" xr:uid="{43C6B82F-D027-4471-B765-E8959676C9E5}"/>
    <cellStyle name="20% - Accent3 2 5 3 4" xfId="13791" xr:uid="{E3570B84-339C-41A1-8428-FE6E3DD192B1}"/>
    <cellStyle name="20% - Accent3 2 5 4" xfId="18014" xr:uid="{0D4D9E9E-8FCD-47D5-9175-B3418CC54AA6}"/>
    <cellStyle name="20% - Accent3 2 5 5" xfId="26459" xr:uid="{81DB7490-B3E1-4A85-A34F-B250439D0449}"/>
    <cellStyle name="20% - Accent3 2 5 6" xfId="9573" xr:uid="{EF58616E-B341-4185-BCFA-6D6EA7216782}"/>
    <cellStyle name="20% - Accent3 2 6" xfId="1454" xr:uid="{00000000-0005-0000-0000-000087010000}"/>
    <cellStyle name="20% - Accent3 2 6 2" xfId="3684" xr:uid="{00000000-0005-0000-0000-000088010000}"/>
    <cellStyle name="20% - Accent3 2 6 2 2" xfId="7907" xr:uid="{00000000-0005-0000-0000-000089010000}"/>
    <cellStyle name="20% - Accent3 2 6 2 2 2" xfId="24790" xr:uid="{0DF2F85F-0834-434E-8459-5068533A1CC6}"/>
    <cellStyle name="20% - Accent3 2 6 2 2 3" xfId="33236" xr:uid="{A7A71DFA-DD9E-4673-A816-F757E0E75C67}"/>
    <cellStyle name="20% - Accent3 2 6 2 2 4" xfId="16349" xr:uid="{B375D6B6-635F-4519-91C8-0D7AF56017D9}"/>
    <cellStyle name="20% - Accent3 2 6 2 3" xfId="20572" xr:uid="{0F8088AB-3C6C-49E0-8DED-24B43D3FA7F5}"/>
    <cellStyle name="20% - Accent3 2 6 2 4" xfId="29019" xr:uid="{93150109-9DE8-4354-868B-26193BDD2DC6}"/>
    <cellStyle name="20% - Accent3 2 6 2 5" xfId="12131" xr:uid="{E73917D0-9972-4334-8192-E6A202D166CC}"/>
    <cellStyle name="20% - Accent3 2 6 3" xfId="5762" xr:uid="{00000000-0005-0000-0000-00008A010000}"/>
    <cellStyle name="20% - Accent3 2 6 3 2" xfId="22645" xr:uid="{2EB261CB-CC9A-4A6C-B961-109802656972}"/>
    <cellStyle name="20% - Accent3 2 6 3 3" xfId="31091" xr:uid="{2956C0E0-890D-4E60-9E62-4EA388BD0810}"/>
    <cellStyle name="20% - Accent3 2 6 3 4" xfId="14204" xr:uid="{D11A641C-1149-419D-AB4D-C8D006BEB644}"/>
    <cellStyle name="20% - Accent3 2 6 4" xfId="18427" xr:uid="{D3161376-0E0E-4AC1-B5E7-ADFEF1707271}"/>
    <cellStyle name="20% - Accent3 2 6 5" xfId="26872" xr:uid="{50EB6665-B8D8-4D22-A550-5D600A176ADB}"/>
    <cellStyle name="20% - Accent3 2 6 6" xfId="9986" xr:uid="{8509C636-564A-46A2-A56F-D1EB14A0086B}"/>
    <cellStyle name="20% - Accent3 2 7" xfId="1868" xr:uid="{00000000-0005-0000-0000-00008B010000}"/>
    <cellStyle name="20% - Accent3 2 7 2" xfId="4097" xr:uid="{00000000-0005-0000-0000-00008C010000}"/>
    <cellStyle name="20% - Accent3 2 7 2 2" xfId="8320" xr:uid="{00000000-0005-0000-0000-00008D010000}"/>
    <cellStyle name="20% - Accent3 2 7 2 2 2" xfId="25203" xr:uid="{2E2DF12D-C425-4136-A638-3974F8785DFB}"/>
    <cellStyle name="20% - Accent3 2 7 2 2 3" xfId="33649" xr:uid="{94DDD617-8D72-4DF7-811D-8DA29D582862}"/>
    <cellStyle name="20% - Accent3 2 7 2 2 4" xfId="16762" xr:uid="{96D8FE35-B9C9-4FDD-89D5-BF48E74A170B}"/>
    <cellStyle name="20% - Accent3 2 7 2 3" xfId="20985" xr:uid="{AE12F280-0419-47DE-84D8-29508D7ADA46}"/>
    <cellStyle name="20% - Accent3 2 7 2 4" xfId="29432" xr:uid="{83A75F99-FFA5-4A35-924C-5F46AEAD021F}"/>
    <cellStyle name="20% - Accent3 2 7 2 5" xfId="12544" xr:uid="{52B4C31F-6678-4D18-8038-4C2E3C4F3A37}"/>
    <cellStyle name="20% - Accent3 2 7 3" xfId="6175" xr:uid="{00000000-0005-0000-0000-00008E010000}"/>
    <cellStyle name="20% - Accent3 2 7 3 2" xfId="23058" xr:uid="{E5876576-43A5-4F40-91D5-C81E5084BAE9}"/>
    <cellStyle name="20% - Accent3 2 7 3 3" xfId="31504" xr:uid="{1B731210-EFF3-4419-AB90-481046C88A79}"/>
    <cellStyle name="20% - Accent3 2 7 3 4" xfId="14617" xr:uid="{558B62F9-EE44-4C57-88BB-DECAA704EC54}"/>
    <cellStyle name="20% - Accent3 2 7 4" xfId="18840" xr:uid="{D5F763E0-E3AF-4F18-8E65-5670FF32B0F2}"/>
    <cellStyle name="20% - Accent3 2 7 5" xfId="27285" xr:uid="{0ACA1A20-40E2-4B7E-A0E5-A924EDAE9F58}"/>
    <cellStyle name="20% - Accent3 2 7 6" xfId="10399" xr:uid="{41BB7559-F079-4E94-A2A2-236ABF98AFF0}"/>
    <cellStyle name="20% - Accent3 2 8" xfId="2281" xr:uid="{00000000-0005-0000-0000-00008F010000}"/>
    <cellStyle name="20% - Accent3 2 8 2" xfId="6588" xr:uid="{00000000-0005-0000-0000-000090010000}"/>
    <cellStyle name="20% - Accent3 2 8 2 2" xfId="23471" xr:uid="{17BD4781-78CE-405C-B62B-93CA71964AC4}"/>
    <cellStyle name="20% - Accent3 2 8 2 3" xfId="31917" xr:uid="{381B04A4-B67A-44CF-BE7B-C216B95A3227}"/>
    <cellStyle name="20% - Accent3 2 8 2 4" xfId="15030" xr:uid="{2E423168-63E6-49A4-94D1-6BC7C4211B69}"/>
    <cellStyle name="20% - Accent3 2 8 3" xfId="19253" xr:uid="{32BA3F3F-5AED-4CC3-A23A-3E173F3A70D3}"/>
    <cellStyle name="20% - Accent3 2 8 4" xfId="27698" xr:uid="{4E3C867A-363B-4B37-AC90-30FD4CE88FA5}"/>
    <cellStyle name="20% - Accent3 2 8 5" xfId="10812" xr:uid="{7B3D2C6B-9457-4695-8CE3-3C359666D460}"/>
    <cellStyle name="20% - Accent3 2 9" xfId="4522" xr:uid="{00000000-0005-0000-0000-000091010000}"/>
    <cellStyle name="20% - Accent3 2 9 2" xfId="21405" xr:uid="{0EFB2AD8-2AFC-454B-B667-F7B91415F80A}"/>
    <cellStyle name="20% - Accent3 2 9 3" xfId="29851" xr:uid="{F77D1A7C-F182-480F-B64E-D33BFAAFA1A9}"/>
    <cellStyle name="20% - Accent3 2 9 4" xfId="12964" xr:uid="{F5437255-679F-439F-A7D3-2DBC05E74D91}"/>
    <cellStyle name="20% - Accent3 3" xfId="22" xr:uid="{00000000-0005-0000-0000-000092010000}"/>
    <cellStyle name="20% - Accent3 3 10" xfId="25633" xr:uid="{F3B1FC0E-AFBC-458E-A311-C01DF8B0379A}"/>
    <cellStyle name="20% - Accent3 3 11" xfId="8750" xr:uid="{0BFF8A2C-EFDD-48AC-B094-A625342CE531}"/>
    <cellStyle name="20% - Accent3 3 2" xfId="23" xr:uid="{00000000-0005-0000-0000-000093010000}"/>
    <cellStyle name="20% - Accent3 3 2 10" xfId="8751" xr:uid="{2BD3C354-A0AB-4F3D-8551-29CFF578DCAF}"/>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23969" xr:uid="{E5EC276C-AD22-40F3-BD25-6EE364780BCD}"/>
    <cellStyle name="20% - Accent3 3 2 2 2 2 3" xfId="32415" xr:uid="{89C7B030-FED4-4B15-8244-A535E64CB3F8}"/>
    <cellStyle name="20% - Accent3 3 2 2 2 2 4" xfId="15528" xr:uid="{99289B47-8720-4A8A-851C-3F55B3FF613C}"/>
    <cellStyle name="20% - Accent3 3 2 2 2 3" xfId="19751" xr:uid="{EE2540DA-1A47-4C49-A881-96FC64C0F369}"/>
    <cellStyle name="20% - Accent3 3 2 2 2 4" xfId="28198" xr:uid="{DA0A7046-2BE7-457F-8A8D-BA0F7E795E32}"/>
    <cellStyle name="20% - Accent3 3 2 2 2 5" xfId="11310" xr:uid="{CB8BDCE3-EF08-44A7-9AA3-E7AFA2E1F10D}"/>
    <cellStyle name="20% - Accent3 3 2 2 3" xfId="4941" xr:uid="{00000000-0005-0000-0000-000097010000}"/>
    <cellStyle name="20% - Accent3 3 2 2 3 2" xfId="21824" xr:uid="{6642DB3D-CD30-45D6-A54F-FC525EC28082}"/>
    <cellStyle name="20% - Accent3 3 2 2 3 3" xfId="30270" xr:uid="{F5DA02D3-F7C1-4C60-818D-9B1B20F5653A}"/>
    <cellStyle name="20% - Accent3 3 2 2 3 4" xfId="13383" xr:uid="{996AD103-5137-421D-A759-E2924CA0EB00}"/>
    <cellStyle name="20% - Accent3 3 2 2 4" xfId="17606" xr:uid="{BA9351D8-B583-417A-9B15-01BAC761A9BD}"/>
    <cellStyle name="20% - Accent3 3 2 2 5" xfId="26051" xr:uid="{B68E0F3D-1A62-42F3-ABB0-89286EA78367}"/>
    <cellStyle name="20% - Accent3 3 2 2 6" xfId="9165" xr:uid="{BFE5B0CB-7A04-4FFC-B466-03FFC92C66B5}"/>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24382" xr:uid="{F68130B3-E38D-4A2D-B303-A2761ADDDFD1}"/>
    <cellStyle name="20% - Accent3 3 2 3 2 2 3" xfId="32828" xr:uid="{3800A5FC-6C5F-4040-BE5C-8874FAEE4C19}"/>
    <cellStyle name="20% - Accent3 3 2 3 2 2 4" xfId="15941" xr:uid="{135F64EF-5FC0-49BD-842E-7AC3C72ECE78}"/>
    <cellStyle name="20% - Accent3 3 2 3 2 3" xfId="20164" xr:uid="{FA3DE381-AD91-4451-B109-8F064FAD4C7C}"/>
    <cellStyle name="20% - Accent3 3 2 3 2 4" xfId="28611" xr:uid="{1A60D73F-9C1C-4339-B9CE-B97BE32E4142}"/>
    <cellStyle name="20% - Accent3 3 2 3 2 5" xfId="11723" xr:uid="{52287DE6-76D9-4909-AD4D-6E62FE73CF9D}"/>
    <cellStyle name="20% - Accent3 3 2 3 3" xfId="5354" xr:uid="{00000000-0005-0000-0000-00009B010000}"/>
    <cellStyle name="20% - Accent3 3 2 3 3 2" xfId="22237" xr:uid="{11E5E5FC-2AE7-428D-98E1-9C724037A6ED}"/>
    <cellStyle name="20% - Accent3 3 2 3 3 3" xfId="30683" xr:uid="{97821343-6763-4847-9A76-D80A0548C9A3}"/>
    <cellStyle name="20% - Accent3 3 2 3 3 4" xfId="13796" xr:uid="{9A494743-ED7E-42B7-8E4B-52844B2070E2}"/>
    <cellStyle name="20% - Accent3 3 2 3 4" xfId="18019" xr:uid="{F32D0C53-FFEA-4F3F-95E2-DC865EF733EF}"/>
    <cellStyle name="20% - Accent3 3 2 3 5" xfId="26464" xr:uid="{729AC0A9-F93E-4DD1-B78D-51ABAF2FF7DF}"/>
    <cellStyle name="20% - Accent3 3 2 3 6" xfId="9578" xr:uid="{555967EE-B7EB-4909-A73A-EF07527A97C8}"/>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24795" xr:uid="{A7B2D6D5-E623-4B55-8ADC-0BA84BE2B6AA}"/>
    <cellStyle name="20% - Accent3 3 2 4 2 2 3" xfId="33241" xr:uid="{F06AB200-CA9F-4257-A896-D0455CF177BA}"/>
    <cellStyle name="20% - Accent3 3 2 4 2 2 4" xfId="16354" xr:uid="{ABE05E50-D39C-4BD8-85E3-AACF99E6D42E}"/>
    <cellStyle name="20% - Accent3 3 2 4 2 3" xfId="20577" xr:uid="{94447DD3-E428-47DE-ABFC-1A5D15978676}"/>
    <cellStyle name="20% - Accent3 3 2 4 2 4" xfId="29024" xr:uid="{6B8A51AF-0EDA-4744-A03B-2A4CF8E2F318}"/>
    <cellStyle name="20% - Accent3 3 2 4 2 5" xfId="12136" xr:uid="{2CB34B3B-A7BA-4ADE-BCEE-6A2AEFC09D0D}"/>
    <cellStyle name="20% - Accent3 3 2 4 3" xfId="5767" xr:uid="{00000000-0005-0000-0000-00009F010000}"/>
    <cellStyle name="20% - Accent3 3 2 4 3 2" xfId="22650" xr:uid="{04A58AAD-56E6-408A-ACFF-1B0FC905E7F7}"/>
    <cellStyle name="20% - Accent3 3 2 4 3 3" xfId="31096" xr:uid="{C7B9B5BE-567F-47CE-AFDE-87E85119E773}"/>
    <cellStyle name="20% - Accent3 3 2 4 3 4" xfId="14209" xr:uid="{C42DF898-B9F6-430F-BA04-C2180C846986}"/>
    <cellStyle name="20% - Accent3 3 2 4 4" xfId="18432" xr:uid="{57FC8DA4-AB5A-4976-8E2A-09F9E635A7C6}"/>
    <cellStyle name="20% - Accent3 3 2 4 5" xfId="26877" xr:uid="{2AA80833-E6E6-46A7-B7A9-ABD8C8E8D4A5}"/>
    <cellStyle name="20% - Accent3 3 2 4 6" xfId="9991" xr:uid="{8C30F88C-AE8A-49A1-AE24-E4CD13F81571}"/>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25208" xr:uid="{A93C3277-8D70-489B-B56F-FA6C417AFFDB}"/>
    <cellStyle name="20% - Accent3 3 2 5 2 2 3" xfId="33654" xr:uid="{F5DEAECD-ABB3-42EB-A8B0-F47E160AA9A4}"/>
    <cellStyle name="20% - Accent3 3 2 5 2 2 4" xfId="16767" xr:uid="{DAFCE3FF-062F-4C44-9FD5-4F03D81501E5}"/>
    <cellStyle name="20% - Accent3 3 2 5 2 3" xfId="20990" xr:uid="{195BB474-35B7-42E4-B5B4-AAD017BFEB22}"/>
    <cellStyle name="20% - Accent3 3 2 5 2 4" xfId="29437" xr:uid="{481FACAE-B087-4803-9B2D-9C9DA117262E}"/>
    <cellStyle name="20% - Accent3 3 2 5 2 5" xfId="12549" xr:uid="{CE0947FA-B6CF-4166-90CF-BFE04A66720E}"/>
    <cellStyle name="20% - Accent3 3 2 5 3" xfId="6180" xr:uid="{00000000-0005-0000-0000-0000A3010000}"/>
    <cellStyle name="20% - Accent3 3 2 5 3 2" xfId="23063" xr:uid="{AB4B8907-5E91-4DD2-B076-7F865FFA89B1}"/>
    <cellStyle name="20% - Accent3 3 2 5 3 3" xfId="31509" xr:uid="{7C9DBA2D-77BA-4375-81DE-A0D864C49279}"/>
    <cellStyle name="20% - Accent3 3 2 5 3 4" xfId="14622" xr:uid="{59384FA4-4DB6-4F7B-8B63-EE6C5D84BC6D}"/>
    <cellStyle name="20% - Accent3 3 2 5 4" xfId="18845" xr:uid="{5863A1C0-EC43-44F6-9406-9AAE0BE41D87}"/>
    <cellStyle name="20% - Accent3 3 2 5 5" xfId="27290" xr:uid="{D4746000-4162-4485-A7DE-1B89D39A7992}"/>
    <cellStyle name="20% - Accent3 3 2 5 6" xfId="10404" xr:uid="{C55DA2FD-75B3-41D5-A622-9BF7119AF3FB}"/>
    <cellStyle name="20% - Accent3 3 2 6" xfId="2286" xr:uid="{00000000-0005-0000-0000-0000A4010000}"/>
    <cellStyle name="20% - Accent3 3 2 6 2" xfId="6593" xr:uid="{00000000-0005-0000-0000-0000A5010000}"/>
    <cellStyle name="20% - Accent3 3 2 6 2 2" xfId="23476" xr:uid="{A8C39F29-4C64-4C7E-BAF2-4C2B991B563F}"/>
    <cellStyle name="20% - Accent3 3 2 6 2 3" xfId="31922" xr:uid="{18B26F06-85A5-4922-9225-9DE42A06A43C}"/>
    <cellStyle name="20% - Accent3 3 2 6 2 4" xfId="15035" xr:uid="{88AD9F3C-F6ED-42A6-85A4-30DD776672AB}"/>
    <cellStyle name="20% - Accent3 3 2 6 3" xfId="19258" xr:uid="{43563A72-3BB8-4D02-8AEC-1A17436EBC16}"/>
    <cellStyle name="20% - Accent3 3 2 6 4" xfId="27703" xr:uid="{E7087CC2-4CEB-43D9-A8A4-01103C6D84D5}"/>
    <cellStyle name="20% - Accent3 3 2 6 5" xfId="10817" xr:uid="{D11145A6-CD9B-4ED4-916F-31ABDBD223CD}"/>
    <cellStyle name="20% - Accent3 3 2 7" xfId="4527" xr:uid="{00000000-0005-0000-0000-0000A6010000}"/>
    <cellStyle name="20% - Accent3 3 2 7 2" xfId="21410" xr:uid="{C7FC5380-2C64-4DFC-8143-F3CD74001F8B}"/>
    <cellStyle name="20% - Accent3 3 2 7 3" xfId="29856" xr:uid="{7638A996-123C-4F58-AF17-2F40C0721B98}"/>
    <cellStyle name="20% - Accent3 3 2 7 4" xfId="12969" xr:uid="{65F17F5A-C63B-4DB3-8040-FD45D6479B97}"/>
    <cellStyle name="20% - Accent3 3 2 8" xfId="17192" xr:uid="{C5C774FB-F33D-4C58-9FB8-B0B8D766C499}"/>
    <cellStyle name="20% - Accent3 3 2 9" xfId="25634" xr:uid="{FF95B051-10E0-4EE2-88AC-E41314BBD73F}"/>
    <cellStyle name="20% - Accent3 3 3" xfId="591" xr:uid="{00000000-0005-0000-0000-0000A7010000}"/>
    <cellStyle name="20% - Accent3 3 3 2" xfId="2862" xr:uid="{00000000-0005-0000-0000-0000A8010000}"/>
    <cellStyle name="20% - Accent3 3 3 2 2" xfId="7085" xr:uid="{00000000-0005-0000-0000-0000A9010000}"/>
    <cellStyle name="20% - Accent3 3 3 2 2 2" xfId="23968" xr:uid="{AA2C4465-702D-4C5E-8CAE-2FF9B00B080F}"/>
    <cellStyle name="20% - Accent3 3 3 2 2 3" xfId="32414" xr:uid="{268314E1-964C-43EE-9E93-977248074587}"/>
    <cellStyle name="20% - Accent3 3 3 2 2 4" xfId="15527" xr:uid="{187A4144-31CC-4FF0-A4F2-6084E1740956}"/>
    <cellStyle name="20% - Accent3 3 3 2 3" xfId="19750" xr:uid="{F62A6344-C1D1-416F-B6CA-C24C874FEA99}"/>
    <cellStyle name="20% - Accent3 3 3 2 4" xfId="28197" xr:uid="{AFD7C570-00DA-40B1-BC2E-984C63CC7C3D}"/>
    <cellStyle name="20% - Accent3 3 3 2 5" xfId="11309" xr:uid="{F5D6DD62-1451-4B09-AA6B-54D7B64F4ED0}"/>
    <cellStyle name="20% - Accent3 3 3 3" xfId="4940" xr:uid="{00000000-0005-0000-0000-0000AA010000}"/>
    <cellStyle name="20% - Accent3 3 3 3 2" xfId="21823" xr:uid="{318556A7-7F73-43DA-99D9-905E169C33A3}"/>
    <cellStyle name="20% - Accent3 3 3 3 3" xfId="30269" xr:uid="{401E0798-78AE-4D16-B5EF-72B732F08647}"/>
    <cellStyle name="20% - Accent3 3 3 3 4" xfId="13382" xr:uid="{D51B2160-F4E1-4D97-A6FC-A70CDC581314}"/>
    <cellStyle name="20% - Accent3 3 3 4" xfId="17605" xr:uid="{E3B759CA-0CB6-4206-A9AC-1FD4210A28E0}"/>
    <cellStyle name="20% - Accent3 3 3 5" xfId="26050" xr:uid="{5BF56D22-2CB2-4BAB-B25D-82DD7D63B701}"/>
    <cellStyle name="20% - Accent3 3 3 6" xfId="9164" xr:uid="{6782670D-B5C7-4931-8CA5-CCECF082E91F}"/>
    <cellStyle name="20% - Accent3 3 4" xfId="1044" xr:uid="{00000000-0005-0000-0000-0000AB010000}"/>
    <cellStyle name="20% - Accent3 3 4 2" xfId="3275" xr:uid="{00000000-0005-0000-0000-0000AC010000}"/>
    <cellStyle name="20% - Accent3 3 4 2 2" xfId="7498" xr:uid="{00000000-0005-0000-0000-0000AD010000}"/>
    <cellStyle name="20% - Accent3 3 4 2 2 2" xfId="24381" xr:uid="{B18871D3-D90E-4EDA-A244-8B0F9545DE5B}"/>
    <cellStyle name="20% - Accent3 3 4 2 2 3" xfId="32827" xr:uid="{82AB76E0-E6BF-453C-A860-106C4807FD7E}"/>
    <cellStyle name="20% - Accent3 3 4 2 2 4" xfId="15940" xr:uid="{2113692A-6E04-4120-93CC-90306A25D34D}"/>
    <cellStyle name="20% - Accent3 3 4 2 3" xfId="20163" xr:uid="{A0ED22E4-78B1-49FD-9E1C-75C70430BCA8}"/>
    <cellStyle name="20% - Accent3 3 4 2 4" xfId="28610" xr:uid="{78649AE3-860D-4759-8E4B-97C0C46F30AB}"/>
    <cellStyle name="20% - Accent3 3 4 2 5" xfId="11722" xr:uid="{630517A5-1AFD-4DC3-B09D-64846534873E}"/>
    <cellStyle name="20% - Accent3 3 4 3" xfId="5353" xr:uid="{00000000-0005-0000-0000-0000AE010000}"/>
    <cellStyle name="20% - Accent3 3 4 3 2" xfId="22236" xr:uid="{FE1885CD-2C5B-4D26-B4F7-A87A56E7537E}"/>
    <cellStyle name="20% - Accent3 3 4 3 3" xfId="30682" xr:uid="{A7A119BE-A216-458D-B317-9A7FB20476C6}"/>
    <cellStyle name="20% - Accent3 3 4 3 4" xfId="13795" xr:uid="{4BD3EC48-B694-4581-B844-7262BA13B764}"/>
    <cellStyle name="20% - Accent3 3 4 4" xfId="18018" xr:uid="{B1BBBD31-088E-45C4-854B-040AF1F786BE}"/>
    <cellStyle name="20% - Accent3 3 4 5" xfId="26463" xr:uid="{BE83097B-F319-4461-8353-871EDE71E978}"/>
    <cellStyle name="20% - Accent3 3 4 6" xfId="9577" xr:uid="{0859757D-426E-4E9A-9A5B-D662ADD35C1A}"/>
    <cellStyle name="20% - Accent3 3 5" xfId="1458" xr:uid="{00000000-0005-0000-0000-0000AF010000}"/>
    <cellStyle name="20% - Accent3 3 5 2" xfId="3688" xr:uid="{00000000-0005-0000-0000-0000B0010000}"/>
    <cellStyle name="20% - Accent3 3 5 2 2" xfId="7911" xr:uid="{00000000-0005-0000-0000-0000B1010000}"/>
    <cellStyle name="20% - Accent3 3 5 2 2 2" xfId="24794" xr:uid="{8F736617-A95F-4246-8A67-3445A93DD729}"/>
    <cellStyle name="20% - Accent3 3 5 2 2 3" xfId="33240" xr:uid="{83A536C1-E7E9-4778-8780-53D4859D7EA2}"/>
    <cellStyle name="20% - Accent3 3 5 2 2 4" xfId="16353" xr:uid="{8FDEB43B-B291-4DFC-949F-03DF9AB3C5E8}"/>
    <cellStyle name="20% - Accent3 3 5 2 3" xfId="20576" xr:uid="{05C86A88-0DA4-4043-AF7B-504EE6625800}"/>
    <cellStyle name="20% - Accent3 3 5 2 4" xfId="29023" xr:uid="{B26BC331-654F-4F78-98A1-437CE94934B8}"/>
    <cellStyle name="20% - Accent3 3 5 2 5" xfId="12135" xr:uid="{ED4EAA49-DA5F-4B38-AE55-99304B47F88D}"/>
    <cellStyle name="20% - Accent3 3 5 3" xfId="5766" xr:uid="{00000000-0005-0000-0000-0000B2010000}"/>
    <cellStyle name="20% - Accent3 3 5 3 2" xfId="22649" xr:uid="{7B78913B-11A4-4AB8-B7E0-827898F02984}"/>
    <cellStyle name="20% - Accent3 3 5 3 3" xfId="31095" xr:uid="{9F8794B4-AF6C-44B2-945B-F1E7E84F39D4}"/>
    <cellStyle name="20% - Accent3 3 5 3 4" xfId="14208" xr:uid="{0E32A7DC-8182-4044-AA67-D7E1D48266CB}"/>
    <cellStyle name="20% - Accent3 3 5 4" xfId="18431" xr:uid="{18DCCCE2-5BBD-484F-8D27-D398AB4154CA}"/>
    <cellStyle name="20% - Accent3 3 5 5" xfId="26876" xr:uid="{8DC07B78-6EC0-40BB-AC58-D72E95C15EED}"/>
    <cellStyle name="20% - Accent3 3 5 6" xfId="9990" xr:uid="{CD76C658-841C-4110-BBB5-1752865F15BB}"/>
    <cellStyle name="20% - Accent3 3 6" xfId="1872" xr:uid="{00000000-0005-0000-0000-0000B3010000}"/>
    <cellStyle name="20% - Accent3 3 6 2" xfId="4101" xr:uid="{00000000-0005-0000-0000-0000B4010000}"/>
    <cellStyle name="20% - Accent3 3 6 2 2" xfId="8324" xr:uid="{00000000-0005-0000-0000-0000B5010000}"/>
    <cellStyle name="20% - Accent3 3 6 2 2 2" xfId="25207" xr:uid="{5366E3F9-8483-4D83-95BF-435F7074FAC9}"/>
    <cellStyle name="20% - Accent3 3 6 2 2 3" xfId="33653" xr:uid="{48F83B58-7FEA-4E61-AC12-E8E7B7D0C7FF}"/>
    <cellStyle name="20% - Accent3 3 6 2 2 4" xfId="16766" xr:uid="{CBEC3641-1A88-4959-A655-E41F25EEED47}"/>
    <cellStyle name="20% - Accent3 3 6 2 3" xfId="20989" xr:uid="{25C2EB47-B1CF-4C31-B1C1-CD39614FDC49}"/>
    <cellStyle name="20% - Accent3 3 6 2 4" xfId="29436" xr:uid="{06B59D7F-E3BC-4C4D-AA10-ED87111EC8B9}"/>
    <cellStyle name="20% - Accent3 3 6 2 5" xfId="12548" xr:uid="{69973DFA-B5E6-45DD-A639-223D05D03ACA}"/>
    <cellStyle name="20% - Accent3 3 6 3" xfId="6179" xr:uid="{00000000-0005-0000-0000-0000B6010000}"/>
    <cellStyle name="20% - Accent3 3 6 3 2" xfId="23062" xr:uid="{879BA686-95BD-4380-99B5-6E62879FFED6}"/>
    <cellStyle name="20% - Accent3 3 6 3 3" xfId="31508" xr:uid="{327B43D7-33CA-4807-8A98-E643BC4BE10D}"/>
    <cellStyle name="20% - Accent3 3 6 3 4" xfId="14621" xr:uid="{BE890AFC-E9F9-4BF0-B2B4-04B95619F03E}"/>
    <cellStyle name="20% - Accent3 3 6 4" xfId="18844" xr:uid="{1C2F0838-5C4D-466C-8A06-CE5348DA4069}"/>
    <cellStyle name="20% - Accent3 3 6 5" xfId="27289" xr:uid="{47083633-9D10-4657-AD7C-472F461F8F5A}"/>
    <cellStyle name="20% - Accent3 3 6 6" xfId="10403" xr:uid="{E6138409-5491-4A6C-9E51-B99C15416D88}"/>
    <cellStyle name="20% - Accent3 3 7" xfId="2285" xr:uid="{00000000-0005-0000-0000-0000B7010000}"/>
    <cellStyle name="20% - Accent3 3 7 2" xfId="6592" xr:uid="{00000000-0005-0000-0000-0000B8010000}"/>
    <cellStyle name="20% - Accent3 3 7 2 2" xfId="23475" xr:uid="{4A2DF02F-25D8-491F-B437-C81F110BBD9F}"/>
    <cellStyle name="20% - Accent3 3 7 2 3" xfId="31921" xr:uid="{21B320F8-A93F-4BEB-A03B-CF90B0556F9D}"/>
    <cellStyle name="20% - Accent3 3 7 2 4" xfId="15034" xr:uid="{DE553361-3DF3-4F25-AC2E-B2E5EECA0F41}"/>
    <cellStyle name="20% - Accent3 3 7 3" xfId="19257" xr:uid="{4D154C5B-9A4D-457B-8A44-3D82010D254F}"/>
    <cellStyle name="20% - Accent3 3 7 4" xfId="27702" xr:uid="{CDFCEB8A-2D72-4D3E-AF25-FB36A616E45C}"/>
    <cellStyle name="20% - Accent3 3 7 5" xfId="10816" xr:uid="{1DFDB196-7871-4270-85A3-911AE5F6AC05}"/>
    <cellStyle name="20% - Accent3 3 8" xfId="4526" xr:uid="{00000000-0005-0000-0000-0000B9010000}"/>
    <cellStyle name="20% - Accent3 3 8 2" xfId="21409" xr:uid="{8E91224D-9F18-4C9D-A670-CA5C6E1B393E}"/>
    <cellStyle name="20% - Accent3 3 8 3" xfId="29855" xr:uid="{89260308-9CEC-4927-9799-845A2B35C89C}"/>
    <cellStyle name="20% - Accent3 3 8 4" xfId="12968" xr:uid="{B3D5B98F-CCE5-4BF3-9FFA-ADA321FD7E36}"/>
    <cellStyle name="20% - Accent3 3 9" xfId="17191" xr:uid="{381D17AC-31E3-4F2E-AB2D-DEAFDF7121CB}"/>
    <cellStyle name="20% - Accent3 4" xfId="24" xr:uid="{00000000-0005-0000-0000-0000BA010000}"/>
    <cellStyle name="20% - Accent3 4 10" xfId="8752" xr:uid="{155BFAC8-A0BF-4208-BBC0-2CDA2F593D0E}"/>
    <cellStyle name="20% - Accent3 4 2" xfId="593" xr:uid="{00000000-0005-0000-0000-0000BB010000}"/>
    <cellStyle name="20% - Accent3 4 2 2" xfId="2864" xr:uid="{00000000-0005-0000-0000-0000BC010000}"/>
    <cellStyle name="20% - Accent3 4 2 2 2" xfId="7087" xr:uid="{00000000-0005-0000-0000-0000BD010000}"/>
    <cellStyle name="20% - Accent3 4 2 2 2 2" xfId="23970" xr:uid="{197D9E3C-3537-4669-A457-7C1C145B642C}"/>
    <cellStyle name="20% - Accent3 4 2 2 2 3" xfId="32416" xr:uid="{8AFB2699-5B61-4FE0-BB3E-2B97D0EB79F0}"/>
    <cellStyle name="20% - Accent3 4 2 2 2 4" xfId="15529" xr:uid="{F1B3E45C-D539-4904-84E7-C64F61EB0956}"/>
    <cellStyle name="20% - Accent3 4 2 2 3" xfId="19752" xr:uid="{DA682592-DA4B-483E-AB7B-1E27507D16C8}"/>
    <cellStyle name="20% - Accent3 4 2 2 4" xfId="28199" xr:uid="{AA6B9911-A9ED-4E1D-B85D-B772707C2EA1}"/>
    <cellStyle name="20% - Accent3 4 2 2 5" xfId="11311" xr:uid="{12EF1BD6-03BF-4C48-AD6A-3BA667698E28}"/>
    <cellStyle name="20% - Accent3 4 2 3" xfId="4942" xr:uid="{00000000-0005-0000-0000-0000BE010000}"/>
    <cellStyle name="20% - Accent3 4 2 3 2" xfId="21825" xr:uid="{E940E28D-FBCD-4982-9D43-137B6B27FFB8}"/>
    <cellStyle name="20% - Accent3 4 2 3 3" xfId="30271" xr:uid="{52249D10-7C95-4599-B666-09D0F6999A1C}"/>
    <cellStyle name="20% - Accent3 4 2 3 4" xfId="13384" xr:uid="{4612C9B2-E7F7-460C-8C88-9DF51A91A5F5}"/>
    <cellStyle name="20% - Accent3 4 2 4" xfId="17607" xr:uid="{5DF470E9-DBFA-4471-93DC-A5915AA52CC0}"/>
    <cellStyle name="20% - Accent3 4 2 5" xfId="26052" xr:uid="{3F899FD9-C9BD-4779-B313-E1F2C5CF29D0}"/>
    <cellStyle name="20% - Accent3 4 2 6" xfId="9166" xr:uid="{703DA16A-5C90-4C23-97EA-B87F66385841}"/>
    <cellStyle name="20% - Accent3 4 3" xfId="1046" xr:uid="{00000000-0005-0000-0000-0000BF010000}"/>
    <cellStyle name="20% - Accent3 4 3 2" xfId="3277" xr:uid="{00000000-0005-0000-0000-0000C0010000}"/>
    <cellStyle name="20% - Accent3 4 3 2 2" xfId="7500" xr:uid="{00000000-0005-0000-0000-0000C1010000}"/>
    <cellStyle name="20% - Accent3 4 3 2 2 2" xfId="24383" xr:uid="{9ED40DF3-5A0A-4E1C-86EE-D4FDB17C135E}"/>
    <cellStyle name="20% - Accent3 4 3 2 2 3" xfId="32829" xr:uid="{6CFAA752-FA6E-4D59-8508-54DF2AD58C61}"/>
    <cellStyle name="20% - Accent3 4 3 2 2 4" xfId="15942" xr:uid="{C1BE4F48-E3B8-4943-AFEE-9AF2EE28DAF8}"/>
    <cellStyle name="20% - Accent3 4 3 2 3" xfId="20165" xr:uid="{63090EF2-A7DD-4A53-A3CB-085255BB118A}"/>
    <cellStyle name="20% - Accent3 4 3 2 4" xfId="28612" xr:uid="{559D1A00-E579-4A79-9F37-493184096492}"/>
    <cellStyle name="20% - Accent3 4 3 2 5" xfId="11724" xr:uid="{C5070566-AC30-4EAA-84B6-EC34A4862D84}"/>
    <cellStyle name="20% - Accent3 4 3 3" xfId="5355" xr:uid="{00000000-0005-0000-0000-0000C2010000}"/>
    <cellStyle name="20% - Accent3 4 3 3 2" xfId="22238" xr:uid="{AE147525-00E0-4A59-8598-1C1CD455D4DA}"/>
    <cellStyle name="20% - Accent3 4 3 3 3" xfId="30684" xr:uid="{EF2FDD1D-C292-4D13-8347-25534670E909}"/>
    <cellStyle name="20% - Accent3 4 3 3 4" xfId="13797" xr:uid="{FBA333AB-768F-4698-B3F2-C8F3126C497D}"/>
    <cellStyle name="20% - Accent3 4 3 4" xfId="18020" xr:uid="{E682FC6E-EB60-4204-8023-9759872222BB}"/>
    <cellStyle name="20% - Accent3 4 3 5" xfId="26465" xr:uid="{B92F01AF-922E-47EB-9E93-E035C465305E}"/>
    <cellStyle name="20% - Accent3 4 3 6" xfId="9579" xr:uid="{A3B82D70-22D0-4B67-9A66-A34F1B7D935B}"/>
    <cellStyle name="20% - Accent3 4 4" xfId="1460" xr:uid="{00000000-0005-0000-0000-0000C3010000}"/>
    <cellStyle name="20% - Accent3 4 4 2" xfId="3690" xr:uid="{00000000-0005-0000-0000-0000C4010000}"/>
    <cellStyle name="20% - Accent3 4 4 2 2" xfId="7913" xr:uid="{00000000-0005-0000-0000-0000C5010000}"/>
    <cellStyle name="20% - Accent3 4 4 2 2 2" xfId="24796" xr:uid="{75F1467E-0CF4-4575-BE59-35AE051CE228}"/>
    <cellStyle name="20% - Accent3 4 4 2 2 3" xfId="33242" xr:uid="{9487D5BD-B41E-4733-AF00-6B12C6AE888D}"/>
    <cellStyle name="20% - Accent3 4 4 2 2 4" xfId="16355" xr:uid="{02F40090-3855-4928-859C-1020C69CF7B6}"/>
    <cellStyle name="20% - Accent3 4 4 2 3" xfId="20578" xr:uid="{7C5C476C-585D-4E2A-8E5D-95A1BD664F97}"/>
    <cellStyle name="20% - Accent3 4 4 2 4" xfId="29025" xr:uid="{63B117BB-90C2-485A-97AD-F30640D55E70}"/>
    <cellStyle name="20% - Accent3 4 4 2 5" xfId="12137" xr:uid="{7FDC7CAE-52E2-4CC8-A73E-DDD60FA83EB1}"/>
    <cellStyle name="20% - Accent3 4 4 3" xfId="5768" xr:uid="{00000000-0005-0000-0000-0000C6010000}"/>
    <cellStyle name="20% - Accent3 4 4 3 2" xfId="22651" xr:uid="{6AA99E93-C3C6-419B-9A9C-C48B7960C9BA}"/>
    <cellStyle name="20% - Accent3 4 4 3 3" xfId="31097" xr:uid="{EC025726-0196-4AAD-9D4E-C781E951AF83}"/>
    <cellStyle name="20% - Accent3 4 4 3 4" xfId="14210" xr:uid="{7D0C0AA2-955C-456D-95B9-B9F49753F580}"/>
    <cellStyle name="20% - Accent3 4 4 4" xfId="18433" xr:uid="{A9384300-F743-4309-8CBA-E6B1C94DE69C}"/>
    <cellStyle name="20% - Accent3 4 4 5" xfId="26878" xr:uid="{FE30D57C-7164-41D7-B7E2-12C3450D6DE9}"/>
    <cellStyle name="20% - Accent3 4 4 6" xfId="9992" xr:uid="{EB98B7B7-FC64-4E99-B8C5-F247D068F35C}"/>
    <cellStyle name="20% - Accent3 4 5" xfId="1874" xr:uid="{00000000-0005-0000-0000-0000C7010000}"/>
    <cellStyle name="20% - Accent3 4 5 2" xfId="4103" xr:uid="{00000000-0005-0000-0000-0000C8010000}"/>
    <cellStyle name="20% - Accent3 4 5 2 2" xfId="8326" xr:uid="{00000000-0005-0000-0000-0000C9010000}"/>
    <cellStyle name="20% - Accent3 4 5 2 2 2" xfId="25209" xr:uid="{0199ED69-3865-4446-8777-CF26A2B6285C}"/>
    <cellStyle name="20% - Accent3 4 5 2 2 3" xfId="33655" xr:uid="{EF892485-21D9-423A-9678-EEB91E67EFCE}"/>
    <cellStyle name="20% - Accent3 4 5 2 2 4" xfId="16768" xr:uid="{1BF2803A-0565-4907-9C52-EFA0E9168875}"/>
    <cellStyle name="20% - Accent3 4 5 2 3" xfId="20991" xr:uid="{AB4CDE9F-F645-4593-A870-A092FAC5EE16}"/>
    <cellStyle name="20% - Accent3 4 5 2 4" xfId="29438" xr:uid="{CA130972-2385-433D-A310-47EF605F3F01}"/>
    <cellStyle name="20% - Accent3 4 5 2 5" xfId="12550" xr:uid="{AAB0D3A1-65EE-413E-886F-83B9029126FF}"/>
    <cellStyle name="20% - Accent3 4 5 3" xfId="6181" xr:uid="{00000000-0005-0000-0000-0000CA010000}"/>
    <cellStyle name="20% - Accent3 4 5 3 2" xfId="23064" xr:uid="{0179056A-38FD-46D9-978B-99CE7E8D8A0A}"/>
    <cellStyle name="20% - Accent3 4 5 3 3" xfId="31510" xr:uid="{147472CE-7D93-42A8-90B4-F2AC71109036}"/>
    <cellStyle name="20% - Accent3 4 5 3 4" xfId="14623" xr:uid="{F2E6B702-5ABC-42D0-A414-BB0178B72B84}"/>
    <cellStyle name="20% - Accent3 4 5 4" xfId="18846" xr:uid="{A00671D2-B713-4C4F-A1BD-013004401061}"/>
    <cellStyle name="20% - Accent3 4 5 5" xfId="27291" xr:uid="{0CC0379D-6386-4C53-99A4-1698ADBC422D}"/>
    <cellStyle name="20% - Accent3 4 5 6" xfId="10405" xr:uid="{92421486-2272-4DCE-9798-53C868D1A420}"/>
    <cellStyle name="20% - Accent3 4 6" xfId="2287" xr:uid="{00000000-0005-0000-0000-0000CB010000}"/>
    <cellStyle name="20% - Accent3 4 6 2" xfId="6594" xr:uid="{00000000-0005-0000-0000-0000CC010000}"/>
    <cellStyle name="20% - Accent3 4 6 2 2" xfId="23477" xr:uid="{D2FFC8F8-FE9A-4B72-BE81-10E83C058BBC}"/>
    <cellStyle name="20% - Accent3 4 6 2 3" xfId="31923" xr:uid="{A00BA6A6-66B2-4F43-A5E6-08D35EC725F3}"/>
    <cellStyle name="20% - Accent3 4 6 2 4" xfId="15036" xr:uid="{512F18FC-CB49-4471-8A8F-FCB85727695D}"/>
    <cellStyle name="20% - Accent3 4 6 3" xfId="19259" xr:uid="{AFCF4F7B-8B4C-4A8F-A063-8548E0B82FA0}"/>
    <cellStyle name="20% - Accent3 4 6 4" xfId="27704" xr:uid="{4685849D-B403-4F62-B543-B4BDB67B01F6}"/>
    <cellStyle name="20% - Accent3 4 6 5" xfId="10818" xr:uid="{6873E9D7-9113-4DE5-AA0B-216D8144ED45}"/>
    <cellStyle name="20% - Accent3 4 7" xfId="4528" xr:uid="{00000000-0005-0000-0000-0000CD010000}"/>
    <cellStyle name="20% - Accent3 4 7 2" xfId="21411" xr:uid="{5694F100-63E4-40E9-9C6F-D0B48C4FDE1B}"/>
    <cellStyle name="20% - Accent3 4 7 3" xfId="29857" xr:uid="{6CEC5480-D374-43F2-AC4B-77F4E80D54B7}"/>
    <cellStyle name="20% - Accent3 4 7 4" xfId="12970" xr:uid="{273CAA3B-9FEA-45C3-B04E-571564ADF703}"/>
    <cellStyle name="20% - Accent3 4 8" xfId="17193" xr:uid="{DB0CDDD2-DC1C-413A-8006-91A8733590A1}"/>
    <cellStyle name="20% - Accent3 4 9" xfId="25635" xr:uid="{A6C204DD-6C2D-43E4-AD74-BE31A90A213D}"/>
    <cellStyle name="20% - Accent3 5" xfId="586" xr:uid="{00000000-0005-0000-0000-0000CE010000}"/>
    <cellStyle name="20% - Accent3 5 2" xfId="2857" xr:uid="{00000000-0005-0000-0000-0000CF010000}"/>
    <cellStyle name="20% - Accent3 5 2 2" xfId="7080" xr:uid="{00000000-0005-0000-0000-0000D0010000}"/>
    <cellStyle name="20% - Accent3 5 2 2 2" xfId="23963" xr:uid="{7C6CE1A7-D0AB-4CD4-8C04-B439D2B88946}"/>
    <cellStyle name="20% - Accent3 5 2 2 3" xfId="32409" xr:uid="{26E4546E-11C6-43FA-B24C-BA15EA4A5D8B}"/>
    <cellStyle name="20% - Accent3 5 2 2 4" xfId="15522" xr:uid="{1D43C96F-8AE0-4E06-878A-9D56EAFC881E}"/>
    <cellStyle name="20% - Accent3 5 2 3" xfId="19745" xr:uid="{02ED9118-3BB5-4D0E-9AAF-38925BF6BFA2}"/>
    <cellStyle name="20% - Accent3 5 2 4" xfId="28192" xr:uid="{787B2C72-163E-4BE3-A79A-B552B179F4D9}"/>
    <cellStyle name="20% - Accent3 5 2 5" xfId="11304" xr:uid="{39E0C76A-1969-4C03-B0BA-47F6BCDE3412}"/>
    <cellStyle name="20% - Accent3 5 3" xfId="4935" xr:uid="{00000000-0005-0000-0000-0000D1010000}"/>
    <cellStyle name="20% - Accent3 5 3 2" xfId="21818" xr:uid="{E97A1DDA-8884-49A8-917D-413BFDE1BCA1}"/>
    <cellStyle name="20% - Accent3 5 3 3" xfId="30264" xr:uid="{D7B22246-F652-4CA9-B3BC-087FEE60AB25}"/>
    <cellStyle name="20% - Accent3 5 3 4" xfId="13377" xr:uid="{E29B65E4-0369-40DD-A300-A482D73418AF}"/>
    <cellStyle name="20% - Accent3 5 4" xfId="17600" xr:uid="{5CAB4EA3-09E9-4ED0-ADD0-E72CD786A10F}"/>
    <cellStyle name="20% - Accent3 5 5" xfId="26045" xr:uid="{0B858953-88CD-4AC6-B183-9D6E9C88B4FD}"/>
    <cellStyle name="20% - Accent3 5 6" xfId="9159" xr:uid="{F5B62601-DEBE-46A7-A350-E5FADD20B614}"/>
    <cellStyle name="20% - Accent3 6" xfId="1039" xr:uid="{00000000-0005-0000-0000-0000D2010000}"/>
    <cellStyle name="20% - Accent3 6 2" xfId="3270" xr:uid="{00000000-0005-0000-0000-0000D3010000}"/>
    <cellStyle name="20% - Accent3 6 2 2" xfId="7493" xr:uid="{00000000-0005-0000-0000-0000D4010000}"/>
    <cellStyle name="20% - Accent3 6 2 2 2" xfId="24376" xr:uid="{6D616D1C-7056-4D0D-954B-209BDEC5755B}"/>
    <cellStyle name="20% - Accent3 6 2 2 3" xfId="32822" xr:uid="{D2A33C26-94AD-44DC-9BC4-2AC2871783DB}"/>
    <cellStyle name="20% - Accent3 6 2 2 4" xfId="15935" xr:uid="{6B91F45E-661B-4E32-8A5F-457101AB5A90}"/>
    <cellStyle name="20% - Accent3 6 2 3" xfId="20158" xr:uid="{17E0A9D1-C550-4D3C-A9E1-07156015E6FB}"/>
    <cellStyle name="20% - Accent3 6 2 4" xfId="28605" xr:uid="{7E68F4AF-5C8E-4C02-A90C-AC1374F463CB}"/>
    <cellStyle name="20% - Accent3 6 2 5" xfId="11717" xr:uid="{0E61BDE9-9C60-4E65-A22D-3D74330966E7}"/>
    <cellStyle name="20% - Accent3 6 3" xfId="5348" xr:uid="{00000000-0005-0000-0000-0000D5010000}"/>
    <cellStyle name="20% - Accent3 6 3 2" xfId="22231" xr:uid="{539C5BF9-3941-4E24-B3CE-94A4A99250B8}"/>
    <cellStyle name="20% - Accent3 6 3 3" xfId="30677" xr:uid="{03804C64-08CC-449B-B929-B6B67F5189AD}"/>
    <cellStyle name="20% - Accent3 6 3 4" xfId="13790" xr:uid="{E0CD5685-25EB-4EDA-A6C2-C8CAA276212D}"/>
    <cellStyle name="20% - Accent3 6 4" xfId="18013" xr:uid="{72E5CF0E-ECEB-4F0D-BC25-176C157C7BB0}"/>
    <cellStyle name="20% - Accent3 6 5" xfId="26458" xr:uid="{49225039-60D9-4B90-A302-C0BD9539E4DB}"/>
    <cellStyle name="20% - Accent3 6 6" xfId="9572" xr:uid="{B0C58D8B-8388-4DA3-882B-4F371D2FA02F}"/>
    <cellStyle name="20% - Accent3 7" xfId="1453" xr:uid="{00000000-0005-0000-0000-0000D6010000}"/>
    <cellStyle name="20% - Accent3 7 2" xfId="3683" xr:uid="{00000000-0005-0000-0000-0000D7010000}"/>
    <cellStyle name="20% - Accent3 7 2 2" xfId="7906" xr:uid="{00000000-0005-0000-0000-0000D8010000}"/>
    <cellStyle name="20% - Accent3 7 2 2 2" xfId="24789" xr:uid="{71501B34-7A34-49F2-B0B0-4DC39108C4E5}"/>
    <cellStyle name="20% - Accent3 7 2 2 3" xfId="33235" xr:uid="{6BBBB711-A802-437B-9CF1-0495F3A61B10}"/>
    <cellStyle name="20% - Accent3 7 2 2 4" xfId="16348" xr:uid="{E7D1095F-32FF-4C96-9EAC-4BEE0800656F}"/>
    <cellStyle name="20% - Accent3 7 2 3" xfId="20571" xr:uid="{C0FE8D98-C816-4E98-B436-43614B312841}"/>
    <cellStyle name="20% - Accent3 7 2 4" xfId="29018" xr:uid="{8D9C7DFE-EEE6-486E-8E3F-F5B4A484236C}"/>
    <cellStyle name="20% - Accent3 7 2 5" xfId="12130" xr:uid="{B5CF9653-E2AB-4AF3-96E6-CB847DBDA710}"/>
    <cellStyle name="20% - Accent3 7 3" xfId="5761" xr:uid="{00000000-0005-0000-0000-0000D9010000}"/>
    <cellStyle name="20% - Accent3 7 3 2" xfId="22644" xr:uid="{355A98B0-133F-4002-BCEE-42338B68843F}"/>
    <cellStyle name="20% - Accent3 7 3 3" xfId="31090" xr:uid="{052AF6E9-A581-48B2-A0AC-845B83FBEF0E}"/>
    <cellStyle name="20% - Accent3 7 3 4" xfId="14203" xr:uid="{EEE33002-2A17-4A38-973E-219558051523}"/>
    <cellStyle name="20% - Accent3 7 4" xfId="18426" xr:uid="{72193105-A7D3-4902-A710-2DC7CACDFFFC}"/>
    <cellStyle name="20% - Accent3 7 5" xfId="26871" xr:uid="{6BA0710A-11B8-4796-8DBA-9FAA615E08EA}"/>
    <cellStyle name="20% - Accent3 7 6" xfId="9985" xr:uid="{E57769F7-D929-4D1C-ADB1-C9F710E5C692}"/>
    <cellStyle name="20% - Accent3 8" xfId="1867" xr:uid="{00000000-0005-0000-0000-0000DA010000}"/>
    <cellStyle name="20% - Accent3 8 2" xfId="4096" xr:uid="{00000000-0005-0000-0000-0000DB010000}"/>
    <cellStyle name="20% - Accent3 8 2 2" xfId="8319" xr:uid="{00000000-0005-0000-0000-0000DC010000}"/>
    <cellStyle name="20% - Accent3 8 2 2 2" xfId="25202" xr:uid="{D9DFA3B3-F5B1-4100-8160-2C28F14CD562}"/>
    <cellStyle name="20% - Accent3 8 2 2 3" xfId="33648" xr:uid="{C5601B6D-E2F9-4879-B71F-4184BD71C6C5}"/>
    <cellStyle name="20% - Accent3 8 2 2 4" xfId="16761" xr:uid="{393848B1-7E7A-4F26-B7D0-764289B0F87F}"/>
    <cellStyle name="20% - Accent3 8 2 3" xfId="20984" xr:uid="{02677BA2-06FA-43F9-B7EE-E2E28D052D74}"/>
    <cellStyle name="20% - Accent3 8 2 4" xfId="29431" xr:uid="{BB3608B4-EAF8-4CD6-A8CD-48D1520B2641}"/>
    <cellStyle name="20% - Accent3 8 2 5" xfId="12543" xr:uid="{A511766A-9DD4-4DB5-B728-732B0EBF809B}"/>
    <cellStyle name="20% - Accent3 8 3" xfId="6174" xr:uid="{00000000-0005-0000-0000-0000DD010000}"/>
    <cellStyle name="20% - Accent3 8 3 2" xfId="23057" xr:uid="{E588A8EA-A6B1-4CF9-9ADD-9507A417F34E}"/>
    <cellStyle name="20% - Accent3 8 3 3" xfId="31503" xr:uid="{D0FC04B2-B99B-4DC1-9ED2-C60C19C40965}"/>
    <cellStyle name="20% - Accent3 8 3 4" xfId="14616" xr:uid="{DA74A198-104C-407D-9B70-7F4BABC73D70}"/>
    <cellStyle name="20% - Accent3 8 4" xfId="18839" xr:uid="{E634BC21-C567-49C0-BB56-6A92B0DA8851}"/>
    <cellStyle name="20% - Accent3 8 5" xfId="27284" xr:uid="{8B0BC498-565D-4261-B212-B2D9B98E587C}"/>
    <cellStyle name="20% - Accent3 8 6" xfId="10398" xr:uid="{882F059E-4161-4F02-A2BD-1C7E7DCC5B9C}"/>
    <cellStyle name="20% - Accent3 9" xfId="2280" xr:uid="{00000000-0005-0000-0000-0000DE010000}"/>
    <cellStyle name="20% - Accent3 9 2" xfId="6587" xr:uid="{00000000-0005-0000-0000-0000DF010000}"/>
    <cellStyle name="20% - Accent3 9 2 2" xfId="23470" xr:uid="{CAF6E32F-E262-435A-97AC-B4771A78CF9F}"/>
    <cellStyle name="20% - Accent3 9 2 3" xfId="31916" xr:uid="{F94C3F38-122E-489E-AEB0-5411580318ED}"/>
    <cellStyle name="20% - Accent3 9 2 4" xfId="15029" xr:uid="{97F05A76-A8EC-488F-8FBB-D67625DC3BE3}"/>
    <cellStyle name="20% - Accent3 9 3" xfId="19252" xr:uid="{F5081496-FD7B-4250-9DB2-C24514CB0305}"/>
    <cellStyle name="20% - Accent3 9 4" xfId="27697" xr:uid="{EE933442-CBF5-4AF0-9AE5-345E6F9CFD29}"/>
    <cellStyle name="20% - Accent3 9 5" xfId="10811" xr:uid="{802F7C35-CE10-461A-BE94-8369EB3A7AE0}"/>
    <cellStyle name="20% - Accent4" xfId="25" builtinId="42" customBuiltin="1"/>
    <cellStyle name="20% - Accent4 10" xfId="4529" xr:uid="{00000000-0005-0000-0000-0000E1010000}"/>
    <cellStyle name="20% - Accent4 10 2" xfId="21412" xr:uid="{E219E5BF-B532-4063-8E76-942220362887}"/>
    <cellStyle name="20% - Accent4 10 3" xfId="29858" xr:uid="{F439ED1B-219B-49EE-980F-DF6E0A1D4279}"/>
    <cellStyle name="20% - Accent4 10 4" xfId="12971" xr:uid="{2D6A2885-0E8F-40E2-84A7-E6CC16437B7E}"/>
    <cellStyle name="20% - Accent4 11" xfId="17194" xr:uid="{4DA71C22-E528-4D68-A443-5B9605DF7B55}"/>
    <cellStyle name="20% - Accent4 12" xfId="25636" xr:uid="{91EF7066-D30C-4C9B-A232-542D2E17CA3B}"/>
    <cellStyle name="20% - Accent4 13" xfId="8753" xr:uid="{5E8E4C83-533A-4BC1-B10A-8AB5CF242148}"/>
    <cellStyle name="20% - Accent4 2" xfId="26" xr:uid="{00000000-0005-0000-0000-0000E2010000}"/>
    <cellStyle name="20% - Accent4 2 10" xfId="17195" xr:uid="{3E605392-8516-41B2-80FE-BFF8FF0F343D}"/>
    <cellStyle name="20% - Accent4 2 11" xfId="25637" xr:uid="{4BF363D8-029A-4DE9-9C06-C3551C15A7B2}"/>
    <cellStyle name="20% - Accent4 2 12" xfId="8754" xr:uid="{CD17FDC1-FB27-4441-8967-C0E80CE4A9ED}"/>
    <cellStyle name="20% - Accent4 2 2" xfId="27" xr:uid="{00000000-0005-0000-0000-0000E3010000}"/>
    <cellStyle name="20% - Accent4 2 2 10" xfId="25638" xr:uid="{681B3AF1-F0D9-4BE3-B0DB-FCC23E56CC45}"/>
    <cellStyle name="20% - Accent4 2 2 11" xfId="8755" xr:uid="{0A4998BC-EF49-4502-B02C-7F1214DE2386}"/>
    <cellStyle name="20% - Accent4 2 2 2" xfId="28" xr:uid="{00000000-0005-0000-0000-0000E4010000}"/>
    <cellStyle name="20% - Accent4 2 2 2 10" xfId="8756" xr:uid="{163DAA89-5206-42B8-B8F7-3765954C7333}"/>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23974" xr:uid="{BCA4268B-47FD-4741-914D-9EE1B5DEE545}"/>
    <cellStyle name="20% - Accent4 2 2 2 2 2 2 3" xfId="32420" xr:uid="{2B0E0144-BF21-4E50-9D4E-BC1CED91117B}"/>
    <cellStyle name="20% - Accent4 2 2 2 2 2 2 4" xfId="15533" xr:uid="{DFE96888-4CF2-4AB8-B7BD-353774390701}"/>
    <cellStyle name="20% - Accent4 2 2 2 2 2 3" xfId="19756" xr:uid="{3B232527-9807-4C4F-943F-1E53585BC03B}"/>
    <cellStyle name="20% - Accent4 2 2 2 2 2 4" xfId="28203" xr:uid="{CB3C819E-601E-47B0-BC5F-2034ED4AD96B}"/>
    <cellStyle name="20% - Accent4 2 2 2 2 2 5" xfId="11315" xr:uid="{278EF585-51F1-4B86-A5E6-8273638B8D21}"/>
    <cellStyle name="20% - Accent4 2 2 2 2 3" xfId="4946" xr:uid="{00000000-0005-0000-0000-0000E8010000}"/>
    <cellStyle name="20% - Accent4 2 2 2 2 3 2" xfId="21829" xr:uid="{2EF60147-7745-4E3B-BB97-407496C253A9}"/>
    <cellStyle name="20% - Accent4 2 2 2 2 3 3" xfId="30275" xr:uid="{477BA440-477D-431E-8C8E-6F1D82B9D746}"/>
    <cellStyle name="20% - Accent4 2 2 2 2 3 4" xfId="13388" xr:uid="{442C9FCD-8098-40F6-BD21-5F38F2B48CB9}"/>
    <cellStyle name="20% - Accent4 2 2 2 2 4" xfId="17611" xr:uid="{6EAECB69-F7CD-440F-B30A-A7CF4474FCC6}"/>
    <cellStyle name="20% - Accent4 2 2 2 2 5" xfId="26056" xr:uid="{180D821F-4B11-409D-A969-686377271429}"/>
    <cellStyle name="20% - Accent4 2 2 2 2 6" xfId="9170" xr:uid="{49590314-D967-420A-A889-3F57785077BA}"/>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24387" xr:uid="{92977522-1761-4D17-93AA-4D8E85215FF2}"/>
    <cellStyle name="20% - Accent4 2 2 2 3 2 2 3" xfId="32833" xr:uid="{5B88D41B-FDD5-40AB-B7D6-A3918B4B5ECE}"/>
    <cellStyle name="20% - Accent4 2 2 2 3 2 2 4" xfId="15946" xr:uid="{AEF93B24-0A98-4087-A44C-69017F70B872}"/>
    <cellStyle name="20% - Accent4 2 2 2 3 2 3" xfId="20169" xr:uid="{4A9283C5-1146-4392-A83B-A5D785BD6D71}"/>
    <cellStyle name="20% - Accent4 2 2 2 3 2 4" xfId="28616" xr:uid="{6204B800-1D37-4E2F-9C93-DA9E81D88049}"/>
    <cellStyle name="20% - Accent4 2 2 2 3 2 5" xfId="11728" xr:uid="{EA28508A-F830-4DCD-BDFF-C9F5AA77B97E}"/>
    <cellStyle name="20% - Accent4 2 2 2 3 3" xfId="5359" xr:uid="{00000000-0005-0000-0000-0000EC010000}"/>
    <cellStyle name="20% - Accent4 2 2 2 3 3 2" xfId="22242" xr:uid="{5F83C05D-1735-444A-889E-CE00C3CFFC32}"/>
    <cellStyle name="20% - Accent4 2 2 2 3 3 3" xfId="30688" xr:uid="{E9906CC6-86D0-4D21-974F-3FFA9DC1EC39}"/>
    <cellStyle name="20% - Accent4 2 2 2 3 3 4" xfId="13801" xr:uid="{D8AE6855-8A41-49B7-8B61-9BC20FDFBFEC}"/>
    <cellStyle name="20% - Accent4 2 2 2 3 4" xfId="18024" xr:uid="{B0CF1E8A-1FDF-4583-B5D5-FFBAAD1C51AB}"/>
    <cellStyle name="20% - Accent4 2 2 2 3 5" xfId="26469" xr:uid="{948466EC-D0BE-49D9-87B9-D69708FBD760}"/>
    <cellStyle name="20% - Accent4 2 2 2 3 6" xfId="9583" xr:uid="{A708A5DE-B2AC-493D-8889-7351CD3615A9}"/>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24800" xr:uid="{11E9817D-9FE4-497E-9A4C-84D60E401472}"/>
    <cellStyle name="20% - Accent4 2 2 2 4 2 2 3" xfId="33246" xr:uid="{DAA525DD-DEEC-4608-A1CD-2074E76AF46C}"/>
    <cellStyle name="20% - Accent4 2 2 2 4 2 2 4" xfId="16359" xr:uid="{FFDE1CE1-41C4-4B40-AEC1-48118E26459E}"/>
    <cellStyle name="20% - Accent4 2 2 2 4 2 3" xfId="20582" xr:uid="{B6062D51-8E0A-4E01-A92B-8FBF0C8860C0}"/>
    <cellStyle name="20% - Accent4 2 2 2 4 2 4" xfId="29029" xr:uid="{BC197ADF-5C7C-4F57-A81C-4EA327917BC1}"/>
    <cellStyle name="20% - Accent4 2 2 2 4 2 5" xfId="12141" xr:uid="{29D20C43-A0FB-4E61-ACEF-6B5BAAF897E3}"/>
    <cellStyle name="20% - Accent4 2 2 2 4 3" xfId="5772" xr:uid="{00000000-0005-0000-0000-0000F0010000}"/>
    <cellStyle name="20% - Accent4 2 2 2 4 3 2" xfId="22655" xr:uid="{A26E4D46-9780-427C-B892-25076CB6CB22}"/>
    <cellStyle name="20% - Accent4 2 2 2 4 3 3" xfId="31101" xr:uid="{BB340554-FF50-4A45-89A1-55503A149848}"/>
    <cellStyle name="20% - Accent4 2 2 2 4 3 4" xfId="14214" xr:uid="{572ABB7C-6E7F-4C7C-85F3-64077FC19AB4}"/>
    <cellStyle name="20% - Accent4 2 2 2 4 4" xfId="18437" xr:uid="{4A34E55E-33B9-4088-AD67-720BFDCFC255}"/>
    <cellStyle name="20% - Accent4 2 2 2 4 5" xfId="26882" xr:uid="{10D79400-BB36-48CB-944C-7C9582B9F3EB}"/>
    <cellStyle name="20% - Accent4 2 2 2 4 6" xfId="9996" xr:uid="{35F0E1B4-2701-4433-8733-17B669A8B225}"/>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25213" xr:uid="{43733BEF-B76A-4898-A99F-0E233E5FAFF7}"/>
    <cellStyle name="20% - Accent4 2 2 2 5 2 2 3" xfId="33659" xr:uid="{EF4AD1D6-7640-49D5-8004-37AF8292C0F2}"/>
    <cellStyle name="20% - Accent4 2 2 2 5 2 2 4" xfId="16772" xr:uid="{4B0DF393-833C-41D5-981C-4BC47679945A}"/>
    <cellStyle name="20% - Accent4 2 2 2 5 2 3" xfId="20995" xr:uid="{12DAEAE7-97CA-411D-B10F-FB69D88C9D85}"/>
    <cellStyle name="20% - Accent4 2 2 2 5 2 4" xfId="29442" xr:uid="{52817567-F6DC-47E3-9804-C58CA1E69F80}"/>
    <cellStyle name="20% - Accent4 2 2 2 5 2 5" xfId="12554" xr:uid="{157DC1F0-65A0-494D-9386-EC99685F3DB4}"/>
    <cellStyle name="20% - Accent4 2 2 2 5 3" xfId="6185" xr:uid="{00000000-0005-0000-0000-0000F4010000}"/>
    <cellStyle name="20% - Accent4 2 2 2 5 3 2" xfId="23068" xr:uid="{85073C83-8243-4CC0-BE20-0487BEED16F8}"/>
    <cellStyle name="20% - Accent4 2 2 2 5 3 3" xfId="31514" xr:uid="{BC79DCF9-B16D-4A74-9642-18AF5A920DE1}"/>
    <cellStyle name="20% - Accent4 2 2 2 5 3 4" xfId="14627" xr:uid="{87CDCE5F-1AB7-4406-BAA6-09401CF42FFE}"/>
    <cellStyle name="20% - Accent4 2 2 2 5 4" xfId="18850" xr:uid="{6454DFCA-FC7E-4197-8157-4C96E0160239}"/>
    <cellStyle name="20% - Accent4 2 2 2 5 5" xfId="27295" xr:uid="{C6ACCFEB-9C02-4A70-A873-86D17D2A83F2}"/>
    <cellStyle name="20% - Accent4 2 2 2 5 6" xfId="10409" xr:uid="{F0ABDC0D-E8C3-454B-94C2-EF8C463542C5}"/>
    <cellStyle name="20% - Accent4 2 2 2 6" xfId="2291" xr:uid="{00000000-0005-0000-0000-0000F5010000}"/>
    <cellStyle name="20% - Accent4 2 2 2 6 2" xfId="6598" xr:uid="{00000000-0005-0000-0000-0000F6010000}"/>
    <cellStyle name="20% - Accent4 2 2 2 6 2 2" xfId="23481" xr:uid="{0EFE79B0-2689-47CD-A142-69EEF84F682C}"/>
    <cellStyle name="20% - Accent4 2 2 2 6 2 3" xfId="31927" xr:uid="{28AA3B10-D37E-4E24-A680-C97A04B19EB3}"/>
    <cellStyle name="20% - Accent4 2 2 2 6 2 4" xfId="15040" xr:uid="{97A0BB03-D7E2-434B-9D6E-C05C33FC3B12}"/>
    <cellStyle name="20% - Accent4 2 2 2 6 3" xfId="19263" xr:uid="{43DF9F05-5D3B-46C2-B136-55EAEB12D11C}"/>
    <cellStyle name="20% - Accent4 2 2 2 6 4" xfId="27708" xr:uid="{44D7C416-A10A-4423-AD53-98BDE9DF6201}"/>
    <cellStyle name="20% - Accent4 2 2 2 6 5" xfId="10822" xr:uid="{3EA9B1B6-0020-45DD-B2B2-4012DF1A6B64}"/>
    <cellStyle name="20% - Accent4 2 2 2 7" xfId="4532" xr:uid="{00000000-0005-0000-0000-0000F7010000}"/>
    <cellStyle name="20% - Accent4 2 2 2 7 2" xfId="21415" xr:uid="{A497EC3A-E414-406A-A7D5-C22BA72B3E02}"/>
    <cellStyle name="20% - Accent4 2 2 2 7 3" xfId="29861" xr:uid="{7331C439-33DF-487D-A5DD-CBB0470D6A1A}"/>
    <cellStyle name="20% - Accent4 2 2 2 7 4" xfId="12974" xr:uid="{1B0478A8-04DB-4C86-B3B5-503D815CC9F1}"/>
    <cellStyle name="20% - Accent4 2 2 2 8" xfId="17197" xr:uid="{EFF96389-6581-44A2-873A-B9CADB4E7A69}"/>
    <cellStyle name="20% - Accent4 2 2 2 9" xfId="25639" xr:uid="{F836094E-EACA-4BA1-B8E4-8C2DCC3ECFB6}"/>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23973" xr:uid="{9A179761-A927-47E3-BB74-A78031DF5D43}"/>
    <cellStyle name="20% - Accent4 2 2 3 2 2 3" xfId="32419" xr:uid="{F61331E8-E400-4794-8475-939A9FAAED4B}"/>
    <cellStyle name="20% - Accent4 2 2 3 2 2 4" xfId="15532" xr:uid="{EB5AC982-F3A5-4980-8A3C-81F543922171}"/>
    <cellStyle name="20% - Accent4 2 2 3 2 3" xfId="19755" xr:uid="{91F5E393-5300-4D75-951B-3AA64AC23B1F}"/>
    <cellStyle name="20% - Accent4 2 2 3 2 4" xfId="28202" xr:uid="{A8184457-A1DC-4279-BA6B-DF535C63C538}"/>
    <cellStyle name="20% - Accent4 2 2 3 2 5" xfId="11314" xr:uid="{1131F074-96C5-477A-A8D0-E4E45633BBA0}"/>
    <cellStyle name="20% - Accent4 2 2 3 3" xfId="4945" xr:uid="{00000000-0005-0000-0000-0000FB010000}"/>
    <cellStyle name="20% - Accent4 2 2 3 3 2" xfId="21828" xr:uid="{74C64239-EEE7-48FB-9137-A4328015D0A8}"/>
    <cellStyle name="20% - Accent4 2 2 3 3 3" xfId="30274" xr:uid="{3DE478C7-0041-4B46-AC67-611CBDC080B3}"/>
    <cellStyle name="20% - Accent4 2 2 3 3 4" xfId="13387" xr:uid="{613BE5C3-9594-4FB7-A50D-EFD1EDBBAB06}"/>
    <cellStyle name="20% - Accent4 2 2 3 4" xfId="17610" xr:uid="{B09890AB-7312-4A07-BEBA-3F297F124ACB}"/>
    <cellStyle name="20% - Accent4 2 2 3 5" xfId="26055" xr:uid="{F4A287A3-6528-4F3B-A39D-1D00ADD76E6B}"/>
    <cellStyle name="20% - Accent4 2 2 3 6" xfId="9169" xr:uid="{00FABC7D-E77B-4681-898D-9B66BF013AE2}"/>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24386" xr:uid="{7A3E557C-E0A8-43D6-9B37-A9380E240D07}"/>
    <cellStyle name="20% - Accent4 2 2 4 2 2 3" xfId="32832" xr:uid="{DB7A93E2-D349-4594-B0B3-8DEFC19C9318}"/>
    <cellStyle name="20% - Accent4 2 2 4 2 2 4" xfId="15945" xr:uid="{BD730600-C0BC-4BFD-94F3-285CDCAE1BB4}"/>
    <cellStyle name="20% - Accent4 2 2 4 2 3" xfId="20168" xr:uid="{8904265B-BE63-4FB6-B098-60F1856E0629}"/>
    <cellStyle name="20% - Accent4 2 2 4 2 4" xfId="28615" xr:uid="{E20C0421-F738-4607-8489-E276767BB123}"/>
    <cellStyle name="20% - Accent4 2 2 4 2 5" xfId="11727" xr:uid="{431C05B3-EE16-47D7-9350-3896C60F1AE9}"/>
    <cellStyle name="20% - Accent4 2 2 4 3" xfId="5358" xr:uid="{00000000-0005-0000-0000-0000FF010000}"/>
    <cellStyle name="20% - Accent4 2 2 4 3 2" xfId="22241" xr:uid="{18E89747-D174-428B-8104-41AABC3C649B}"/>
    <cellStyle name="20% - Accent4 2 2 4 3 3" xfId="30687" xr:uid="{8B42C599-3863-48A6-97C7-746F43004E4F}"/>
    <cellStyle name="20% - Accent4 2 2 4 3 4" xfId="13800" xr:uid="{7B5A715A-630E-4C08-B723-D78F38B8F08F}"/>
    <cellStyle name="20% - Accent4 2 2 4 4" xfId="18023" xr:uid="{25BE6E22-72F1-4CBD-A1DD-64182A4B8186}"/>
    <cellStyle name="20% - Accent4 2 2 4 5" xfId="26468" xr:uid="{6CA5D386-1D15-45C6-A6B6-F0C0728CF67A}"/>
    <cellStyle name="20% - Accent4 2 2 4 6" xfId="9582" xr:uid="{A84AE31F-360B-44FE-B05C-CBAEE1C8BA29}"/>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24799" xr:uid="{CC3DA98F-BAF3-485D-9A6C-6B03B30C41A1}"/>
    <cellStyle name="20% - Accent4 2 2 5 2 2 3" xfId="33245" xr:uid="{0A2E18F6-E5D1-4558-82C7-C13640B0CD25}"/>
    <cellStyle name="20% - Accent4 2 2 5 2 2 4" xfId="16358" xr:uid="{33C9806F-541B-4126-941E-03BAB52FFD52}"/>
    <cellStyle name="20% - Accent4 2 2 5 2 3" xfId="20581" xr:uid="{A7B1FF86-B55D-4B2B-8609-B88652696F95}"/>
    <cellStyle name="20% - Accent4 2 2 5 2 4" xfId="29028" xr:uid="{E0892B1F-75EC-47BD-AA10-710B520D129B}"/>
    <cellStyle name="20% - Accent4 2 2 5 2 5" xfId="12140" xr:uid="{6DCAC5E8-4734-4B7E-8389-F63CE8B0321B}"/>
    <cellStyle name="20% - Accent4 2 2 5 3" xfId="5771" xr:uid="{00000000-0005-0000-0000-000003020000}"/>
    <cellStyle name="20% - Accent4 2 2 5 3 2" xfId="22654" xr:uid="{3CEDC1DB-EF86-4A39-8A67-22DA63964F84}"/>
    <cellStyle name="20% - Accent4 2 2 5 3 3" xfId="31100" xr:uid="{4FE5E7DD-89B6-4FA5-94CA-DAEBB925F47A}"/>
    <cellStyle name="20% - Accent4 2 2 5 3 4" xfId="14213" xr:uid="{B5442C30-03BB-453B-93A9-C3535DBD34DE}"/>
    <cellStyle name="20% - Accent4 2 2 5 4" xfId="18436" xr:uid="{6F68B1E6-87F9-4140-B17F-98FE62A01477}"/>
    <cellStyle name="20% - Accent4 2 2 5 5" xfId="26881" xr:uid="{165094C5-1024-4CA5-A5BB-5D8F8AC73D77}"/>
    <cellStyle name="20% - Accent4 2 2 5 6" xfId="9995" xr:uid="{2C3A8D38-D32B-44F7-8AAC-5A8C469EADDB}"/>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25212" xr:uid="{DE01DE3D-2AAE-4C7C-AB02-2509D2F8A6D2}"/>
    <cellStyle name="20% - Accent4 2 2 6 2 2 3" xfId="33658" xr:uid="{EA4E5A82-8429-4D09-A674-226A3FB72452}"/>
    <cellStyle name="20% - Accent4 2 2 6 2 2 4" xfId="16771" xr:uid="{EDCFEAF5-23CD-4768-947D-4A92986C94B7}"/>
    <cellStyle name="20% - Accent4 2 2 6 2 3" xfId="20994" xr:uid="{5C304DBF-DBC2-4E45-BDE7-AA9C722C2A86}"/>
    <cellStyle name="20% - Accent4 2 2 6 2 4" xfId="29441" xr:uid="{F9809753-7D0B-4188-A6E1-C757C23A4638}"/>
    <cellStyle name="20% - Accent4 2 2 6 2 5" xfId="12553" xr:uid="{E5DD8494-C7A8-4CBD-A94F-D2888247D017}"/>
    <cellStyle name="20% - Accent4 2 2 6 3" xfId="6184" xr:uid="{00000000-0005-0000-0000-000007020000}"/>
    <cellStyle name="20% - Accent4 2 2 6 3 2" xfId="23067" xr:uid="{C6E333D0-290D-4085-AB34-0AFEB85C9EF6}"/>
    <cellStyle name="20% - Accent4 2 2 6 3 3" xfId="31513" xr:uid="{E277EDEA-000F-43CF-B471-BC2AA0AB210F}"/>
    <cellStyle name="20% - Accent4 2 2 6 3 4" xfId="14626" xr:uid="{949FB1A9-3EC3-4B76-86AC-A2DF8F9D1D41}"/>
    <cellStyle name="20% - Accent4 2 2 6 4" xfId="18849" xr:uid="{C6D5DE34-91A9-403B-8789-879691107F0F}"/>
    <cellStyle name="20% - Accent4 2 2 6 5" xfId="27294" xr:uid="{F1827F82-A38E-4811-9BBB-0077D4ED1806}"/>
    <cellStyle name="20% - Accent4 2 2 6 6" xfId="10408" xr:uid="{6AECCA39-D52E-4033-8F18-2BB03B0C50ED}"/>
    <cellStyle name="20% - Accent4 2 2 7" xfId="2290" xr:uid="{00000000-0005-0000-0000-000008020000}"/>
    <cellStyle name="20% - Accent4 2 2 7 2" xfId="6597" xr:uid="{00000000-0005-0000-0000-000009020000}"/>
    <cellStyle name="20% - Accent4 2 2 7 2 2" xfId="23480" xr:uid="{775D672D-D83D-4FE7-A3EC-C403B882B404}"/>
    <cellStyle name="20% - Accent4 2 2 7 2 3" xfId="31926" xr:uid="{4D8CBE63-0072-42DF-AED2-A839C8314417}"/>
    <cellStyle name="20% - Accent4 2 2 7 2 4" xfId="15039" xr:uid="{0EEA21C8-473C-4A25-BA16-5FD082CF5CA9}"/>
    <cellStyle name="20% - Accent4 2 2 7 3" xfId="19262" xr:uid="{FA8F20B2-41DF-4383-BD8E-AFD9DA035B11}"/>
    <cellStyle name="20% - Accent4 2 2 7 4" xfId="27707" xr:uid="{33312A92-8524-45B5-A80A-A00864A70B7F}"/>
    <cellStyle name="20% - Accent4 2 2 7 5" xfId="10821" xr:uid="{69750C16-7CB1-4A99-9CE3-C74B0712975D}"/>
    <cellStyle name="20% - Accent4 2 2 8" xfId="4531" xr:uid="{00000000-0005-0000-0000-00000A020000}"/>
    <cellStyle name="20% - Accent4 2 2 8 2" xfId="21414" xr:uid="{46A104A2-2225-4B4C-891F-47637C0359AF}"/>
    <cellStyle name="20% - Accent4 2 2 8 3" xfId="29860" xr:uid="{5F736DBB-EF94-4592-B466-4DD50B52D2B9}"/>
    <cellStyle name="20% - Accent4 2 2 8 4" xfId="12973" xr:uid="{AA31340E-2FB5-433A-BE31-A556BEAC848E}"/>
    <cellStyle name="20% - Accent4 2 2 9" xfId="17196" xr:uid="{B936D003-0BF8-4336-8B89-A6610EB9810F}"/>
    <cellStyle name="20% - Accent4 2 3" xfId="29" xr:uid="{00000000-0005-0000-0000-00000B020000}"/>
    <cellStyle name="20% - Accent4 2 3 10" xfId="8757" xr:uid="{16272166-CFFB-4647-BC9B-6DC304C88AE6}"/>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23975" xr:uid="{EBC76D3A-8A34-41CC-9B1F-CD347CAB3F89}"/>
    <cellStyle name="20% - Accent4 2 3 2 2 2 3" xfId="32421" xr:uid="{38BBA8F7-E34D-4F9B-8D5B-FE19DEB66A33}"/>
    <cellStyle name="20% - Accent4 2 3 2 2 2 4" xfId="15534" xr:uid="{59911329-448E-4B55-9F6D-65D13881D638}"/>
    <cellStyle name="20% - Accent4 2 3 2 2 3" xfId="19757" xr:uid="{DF093161-374F-46E3-A1B5-A44386DAACBE}"/>
    <cellStyle name="20% - Accent4 2 3 2 2 4" xfId="28204" xr:uid="{DF4C90BA-9383-45E4-96D2-3476CBAA15DC}"/>
    <cellStyle name="20% - Accent4 2 3 2 2 5" xfId="11316" xr:uid="{ED801894-6D87-4906-9D6B-7AE517DCB5D7}"/>
    <cellStyle name="20% - Accent4 2 3 2 3" xfId="4947" xr:uid="{00000000-0005-0000-0000-00000F020000}"/>
    <cellStyle name="20% - Accent4 2 3 2 3 2" xfId="21830" xr:uid="{900D77FC-A229-4917-9CE0-E6D3B4119163}"/>
    <cellStyle name="20% - Accent4 2 3 2 3 3" xfId="30276" xr:uid="{AC950FD6-9508-453D-9F61-CD0C2D0600A5}"/>
    <cellStyle name="20% - Accent4 2 3 2 3 4" xfId="13389" xr:uid="{F9206071-0666-47DF-AF92-5C9E92196014}"/>
    <cellStyle name="20% - Accent4 2 3 2 4" xfId="17612" xr:uid="{5B7E893A-5F32-49BD-B452-C0DD0884C8F4}"/>
    <cellStyle name="20% - Accent4 2 3 2 5" xfId="26057" xr:uid="{94FDE4F1-86E6-4E67-AAE3-543A91A592A5}"/>
    <cellStyle name="20% - Accent4 2 3 2 6" xfId="9171" xr:uid="{F8FE78F8-461A-4F69-BD04-F0E93594673F}"/>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24388" xr:uid="{4F4DFEC5-12FC-47ED-ADA6-2A2F434FE144}"/>
    <cellStyle name="20% - Accent4 2 3 3 2 2 3" xfId="32834" xr:uid="{80A09DDF-B7B7-4107-A7FD-5151D917D654}"/>
    <cellStyle name="20% - Accent4 2 3 3 2 2 4" xfId="15947" xr:uid="{62C93A8A-AEDA-49AA-B178-C33A13538B8A}"/>
    <cellStyle name="20% - Accent4 2 3 3 2 3" xfId="20170" xr:uid="{5C78CCC1-2616-4F4B-8725-39C27B50E04A}"/>
    <cellStyle name="20% - Accent4 2 3 3 2 4" xfId="28617" xr:uid="{CE017A50-5756-4D55-ABA7-2E2EDF6156C3}"/>
    <cellStyle name="20% - Accent4 2 3 3 2 5" xfId="11729" xr:uid="{BC29E434-E1D3-4040-A1DC-393930092F59}"/>
    <cellStyle name="20% - Accent4 2 3 3 3" xfId="5360" xr:uid="{00000000-0005-0000-0000-000013020000}"/>
    <cellStyle name="20% - Accent4 2 3 3 3 2" xfId="22243" xr:uid="{7EED3D88-AFB2-43CF-A78D-6EE0E90E4BB4}"/>
    <cellStyle name="20% - Accent4 2 3 3 3 3" xfId="30689" xr:uid="{358A9AC1-17DA-48FA-9507-894C93850155}"/>
    <cellStyle name="20% - Accent4 2 3 3 3 4" xfId="13802" xr:uid="{13723D0E-E315-4010-8CD8-68444987C589}"/>
    <cellStyle name="20% - Accent4 2 3 3 4" xfId="18025" xr:uid="{47720D3F-A294-4B11-8D37-8C58DB7DD5B4}"/>
    <cellStyle name="20% - Accent4 2 3 3 5" xfId="26470" xr:uid="{30B5ADF3-1304-49B6-BD90-EF0409814286}"/>
    <cellStyle name="20% - Accent4 2 3 3 6" xfId="9584" xr:uid="{63C49941-3B14-455E-BBCF-89E28634135F}"/>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24801" xr:uid="{B5C65003-B285-4461-89E1-8918D90A083F}"/>
    <cellStyle name="20% - Accent4 2 3 4 2 2 3" xfId="33247" xr:uid="{4CC1C6D7-3958-4F5B-97B7-9F2565E09730}"/>
    <cellStyle name="20% - Accent4 2 3 4 2 2 4" xfId="16360" xr:uid="{B11464E2-0887-4E18-A2D4-601EA6E56A9F}"/>
    <cellStyle name="20% - Accent4 2 3 4 2 3" xfId="20583" xr:uid="{AED802A5-6635-4FE7-8B81-C86EAC70B2CB}"/>
    <cellStyle name="20% - Accent4 2 3 4 2 4" xfId="29030" xr:uid="{58D60535-2DB9-4C3F-843D-9DB2C0520967}"/>
    <cellStyle name="20% - Accent4 2 3 4 2 5" xfId="12142" xr:uid="{69FE54E2-55AF-4085-A150-4850FD306681}"/>
    <cellStyle name="20% - Accent4 2 3 4 3" xfId="5773" xr:uid="{00000000-0005-0000-0000-000017020000}"/>
    <cellStyle name="20% - Accent4 2 3 4 3 2" xfId="22656" xr:uid="{359F40C4-28AA-48C0-ABA3-F1DEA99E0D08}"/>
    <cellStyle name="20% - Accent4 2 3 4 3 3" xfId="31102" xr:uid="{8972F69D-42C0-4DCA-9C33-C0F75AFF1484}"/>
    <cellStyle name="20% - Accent4 2 3 4 3 4" xfId="14215" xr:uid="{9225F1CF-4E86-47A4-BDBF-DBE1FA6E6F2F}"/>
    <cellStyle name="20% - Accent4 2 3 4 4" xfId="18438" xr:uid="{1E9A3862-F0A1-49AF-8F1C-D7DE8C88986F}"/>
    <cellStyle name="20% - Accent4 2 3 4 5" xfId="26883" xr:uid="{D722C1E8-1AFD-4594-AC5B-B1EA3056DC16}"/>
    <cellStyle name="20% - Accent4 2 3 4 6" xfId="9997" xr:uid="{B228D605-5284-4EF6-9E8F-E66440A9549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25214" xr:uid="{E8466922-FD74-4BF5-AC5A-7E590AE280D9}"/>
    <cellStyle name="20% - Accent4 2 3 5 2 2 3" xfId="33660" xr:uid="{124AB642-65D1-4F8D-B418-151B7AAD9F53}"/>
    <cellStyle name="20% - Accent4 2 3 5 2 2 4" xfId="16773" xr:uid="{963EF1C4-8E82-4BB2-AEE7-290840CF9E58}"/>
    <cellStyle name="20% - Accent4 2 3 5 2 3" xfId="20996" xr:uid="{9F6606BE-EC8C-4E7E-90D1-D4701BA04D47}"/>
    <cellStyle name="20% - Accent4 2 3 5 2 4" xfId="29443" xr:uid="{D0239A41-802D-44B8-938E-AFE4DEFC8761}"/>
    <cellStyle name="20% - Accent4 2 3 5 2 5" xfId="12555" xr:uid="{CBFB332B-D559-4F5A-B88B-896457309591}"/>
    <cellStyle name="20% - Accent4 2 3 5 3" xfId="6186" xr:uid="{00000000-0005-0000-0000-00001B020000}"/>
    <cellStyle name="20% - Accent4 2 3 5 3 2" xfId="23069" xr:uid="{87AA2899-3BA4-467C-A113-1A4FFB1432F9}"/>
    <cellStyle name="20% - Accent4 2 3 5 3 3" xfId="31515" xr:uid="{8BF1E8FD-EDDF-49F6-B107-1EA5B92334B2}"/>
    <cellStyle name="20% - Accent4 2 3 5 3 4" xfId="14628" xr:uid="{DD982386-D0C7-4C67-B01F-2DC6EA4E1127}"/>
    <cellStyle name="20% - Accent4 2 3 5 4" xfId="18851" xr:uid="{7A5BE3D7-6E1D-4E60-BEA4-5E5C4513DF63}"/>
    <cellStyle name="20% - Accent4 2 3 5 5" xfId="27296" xr:uid="{E1955680-33E0-49B5-92CD-4CE445941F45}"/>
    <cellStyle name="20% - Accent4 2 3 5 6" xfId="10410" xr:uid="{7B5195B3-FA48-4859-A70E-7100C9D72A15}"/>
    <cellStyle name="20% - Accent4 2 3 6" xfId="2292" xr:uid="{00000000-0005-0000-0000-00001C020000}"/>
    <cellStyle name="20% - Accent4 2 3 6 2" xfId="6599" xr:uid="{00000000-0005-0000-0000-00001D020000}"/>
    <cellStyle name="20% - Accent4 2 3 6 2 2" xfId="23482" xr:uid="{17908F1B-C7B9-4D5E-8AD2-1C9EDF3CDFC8}"/>
    <cellStyle name="20% - Accent4 2 3 6 2 3" xfId="31928" xr:uid="{648896E4-A1E6-4DA3-88DD-A3124A8B004E}"/>
    <cellStyle name="20% - Accent4 2 3 6 2 4" xfId="15041" xr:uid="{FC033120-7EAC-46B0-BBA5-4B2270307BA7}"/>
    <cellStyle name="20% - Accent4 2 3 6 3" xfId="19264" xr:uid="{16E2B376-4830-483F-99E8-E5D517F9C491}"/>
    <cellStyle name="20% - Accent4 2 3 6 4" xfId="27709" xr:uid="{17A33B95-0907-4952-85EE-14675A9F6EF2}"/>
    <cellStyle name="20% - Accent4 2 3 6 5" xfId="10823" xr:uid="{775ED2DC-68D7-4A00-A64B-51ED0BCE5B24}"/>
    <cellStyle name="20% - Accent4 2 3 7" xfId="4533" xr:uid="{00000000-0005-0000-0000-00001E020000}"/>
    <cellStyle name="20% - Accent4 2 3 7 2" xfId="21416" xr:uid="{DA470AA0-8279-4009-A9B2-7FB78B793A20}"/>
    <cellStyle name="20% - Accent4 2 3 7 3" xfId="29862" xr:uid="{477C6A49-64BB-4802-89FB-AA3C236BAD7A}"/>
    <cellStyle name="20% - Accent4 2 3 7 4" xfId="12975" xr:uid="{1A12BD94-2D20-4578-B3D4-25965A872604}"/>
    <cellStyle name="20% - Accent4 2 3 8" xfId="17198" xr:uid="{4C95ECD5-FD01-48CD-B2EB-50965E9B50D8}"/>
    <cellStyle name="20% - Accent4 2 3 9" xfId="25640" xr:uid="{C527A817-7FB7-4E84-9E41-99AECF280758}"/>
    <cellStyle name="20% - Accent4 2 4" xfId="595" xr:uid="{00000000-0005-0000-0000-00001F020000}"/>
    <cellStyle name="20% - Accent4 2 4 2" xfId="2866" xr:uid="{00000000-0005-0000-0000-000020020000}"/>
    <cellStyle name="20% - Accent4 2 4 2 2" xfId="7089" xr:uid="{00000000-0005-0000-0000-000021020000}"/>
    <cellStyle name="20% - Accent4 2 4 2 2 2" xfId="23972" xr:uid="{352F566F-CA20-4D39-A165-BF2538255286}"/>
    <cellStyle name="20% - Accent4 2 4 2 2 3" xfId="32418" xr:uid="{8FE0CFB9-7918-4302-B73E-CF9DCBADB335}"/>
    <cellStyle name="20% - Accent4 2 4 2 2 4" xfId="15531" xr:uid="{7A5D6AC3-9F1F-4ECD-9AEA-D689D52A6201}"/>
    <cellStyle name="20% - Accent4 2 4 2 3" xfId="19754" xr:uid="{7BA83B9C-3C6D-4AC5-B62F-D9A9BC7EDDC2}"/>
    <cellStyle name="20% - Accent4 2 4 2 4" xfId="28201" xr:uid="{779BECA8-5A0D-4D97-BA65-1A3E7691173C}"/>
    <cellStyle name="20% - Accent4 2 4 2 5" xfId="11313" xr:uid="{216FC182-D130-4572-B22C-ABF90B0B3370}"/>
    <cellStyle name="20% - Accent4 2 4 3" xfId="4944" xr:uid="{00000000-0005-0000-0000-000022020000}"/>
    <cellStyle name="20% - Accent4 2 4 3 2" xfId="21827" xr:uid="{4687F833-9BA5-4153-B698-BDBC40081D45}"/>
    <cellStyle name="20% - Accent4 2 4 3 3" xfId="30273" xr:uid="{A2B9B97B-6A32-4EBE-85CB-33A3846EE8E9}"/>
    <cellStyle name="20% - Accent4 2 4 3 4" xfId="13386" xr:uid="{78EA2ED7-56BA-4884-87BA-6941059DDAC0}"/>
    <cellStyle name="20% - Accent4 2 4 4" xfId="17609" xr:uid="{B263B5BF-0180-4A42-A13F-86A4165F49FB}"/>
    <cellStyle name="20% - Accent4 2 4 5" xfId="26054" xr:uid="{B169F169-C46A-4969-AAC3-904A97810899}"/>
    <cellStyle name="20% - Accent4 2 4 6" xfId="9168" xr:uid="{716F722D-37C9-4D34-8E04-C32BCA86A09F}"/>
    <cellStyle name="20% - Accent4 2 5" xfId="1048" xr:uid="{00000000-0005-0000-0000-000023020000}"/>
    <cellStyle name="20% - Accent4 2 5 2" xfId="3279" xr:uid="{00000000-0005-0000-0000-000024020000}"/>
    <cellStyle name="20% - Accent4 2 5 2 2" xfId="7502" xr:uid="{00000000-0005-0000-0000-000025020000}"/>
    <cellStyle name="20% - Accent4 2 5 2 2 2" xfId="24385" xr:uid="{29DDDF92-BBB1-42BA-8D1A-19FCA85BB486}"/>
    <cellStyle name="20% - Accent4 2 5 2 2 3" xfId="32831" xr:uid="{AC4DE033-CF6D-44CD-AE12-7DB2A5CDD446}"/>
    <cellStyle name="20% - Accent4 2 5 2 2 4" xfId="15944" xr:uid="{A800558E-3D06-466E-9DFB-0D10F4D1972D}"/>
    <cellStyle name="20% - Accent4 2 5 2 3" xfId="20167" xr:uid="{E035676F-BD76-4D5A-AE39-BDA754965DD4}"/>
    <cellStyle name="20% - Accent4 2 5 2 4" xfId="28614" xr:uid="{A2465F59-3BDA-416F-833D-67EE95A17F76}"/>
    <cellStyle name="20% - Accent4 2 5 2 5" xfId="11726" xr:uid="{AED542E3-9DA3-4852-B08F-9E4943C42515}"/>
    <cellStyle name="20% - Accent4 2 5 3" xfId="5357" xr:uid="{00000000-0005-0000-0000-000026020000}"/>
    <cellStyle name="20% - Accent4 2 5 3 2" xfId="22240" xr:uid="{85A06638-2EB9-401D-8DA3-3533F347FF73}"/>
    <cellStyle name="20% - Accent4 2 5 3 3" xfId="30686" xr:uid="{4BEAA74B-F83F-4234-AE09-E6D47172C949}"/>
    <cellStyle name="20% - Accent4 2 5 3 4" xfId="13799" xr:uid="{66BCB89D-C9FE-4919-87D4-A4DF9103AD12}"/>
    <cellStyle name="20% - Accent4 2 5 4" xfId="18022" xr:uid="{617EBB77-67CC-42F5-BEEE-8531AF8D1069}"/>
    <cellStyle name="20% - Accent4 2 5 5" xfId="26467" xr:uid="{1F7945C6-5AAD-476A-AB5A-70F774F142E6}"/>
    <cellStyle name="20% - Accent4 2 5 6" xfId="9581" xr:uid="{0F59AF54-3336-4B07-A08C-D814E8639F02}"/>
    <cellStyle name="20% - Accent4 2 6" xfId="1462" xr:uid="{00000000-0005-0000-0000-000027020000}"/>
    <cellStyle name="20% - Accent4 2 6 2" xfId="3692" xr:uid="{00000000-0005-0000-0000-000028020000}"/>
    <cellStyle name="20% - Accent4 2 6 2 2" xfId="7915" xr:uid="{00000000-0005-0000-0000-000029020000}"/>
    <cellStyle name="20% - Accent4 2 6 2 2 2" xfId="24798" xr:uid="{048AD8FC-9AA5-4185-888B-1AC4D059074F}"/>
    <cellStyle name="20% - Accent4 2 6 2 2 3" xfId="33244" xr:uid="{E0F63DAB-1EE5-45C4-BCDD-F840FADF2A57}"/>
    <cellStyle name="20% - Accent4 2 6 2 2 4" xfId="16357" xr:uid="{AE675002-5FBC-4716-A49C-6C6DE8E1F033}"/>
    <cellStyle name="20% - Accent4 2 6 2 3" xfId="20580" xr:uid="{773ECD1C-F95C-49A2-A7B2-D13A50406EE7}"/>
    <cellStyle name="20% - Accent4 2 6 2 4" xfId="29027" xr:uid="{2B63DC33-C1E3-4C02-AF68-B4B12DA117D5}"/>
    <cellStyle name="20% - Accent4 2 6 2 5" xfId="12139" xr:uid="{2C9E3BFE-FDD1-47E1-903C-FB425B0C3947}"/>
    <cellStyle name="20% - Accent4 2 6 3" xfId="5770" xr:uid="{00000000-0005-0000-0000-00002A020000}"/>
    <cellStyle name="20% - Accent4 2 6 3 2" xfId="22653" xr:uid="{5CC7915C-F2F4-4111-AAF6-6E4F99BC5C4D}"/>
    <cellStyle name="20% - Accent4 2 6 3 3" xfId="31099" xr:uid="{9B513C2F-FADF-4EB2-AA79-961EBC3A7896}"/>
    <cellStyle name="20% - Accent4 2 6 3 4" xfId="14212" xr:uid="{F71289F4-1E18-4B5F-A2DD-F6702C9E162A}"/>
    <cellStyle name="20% - Accent4 2 6 4" xfId="18435" xr:uid="{6B6366C9-C38F-40B2-A365-8480D573F7C8}"/>
    <cellStyle name="20% - Accent4 2 6 5" xfId="26880" xr:uid="{8D36722E-C81B-43AC-AA0C-F999288ED7DE}"/>
    <cellStyle name="20% - Accent4 2 6 6" xfId="9994" xr:uid="{EFC93FE0-493E-4C46-8606-643576981837}"/>
    <cellStyle name="20% - Accent4 2 7" xfId="1876" xr:uid="{00000000-0005-0000-0000-00002B020000}"/>
    <cellStyle name="20% - Accent4 2 7 2" xfId="4105" xr:uid="{00000000-0005-0000-0000-00002C020000}"/>
    <cellStyle name="20% - Accent4 2 7 2 2" xfId="8328" xr:uid="{00000000-0005-0000-0000-00002D020000}"/>
    <cellStyle name="20% - Accent4 2 7 2 2 2" xfId="25211" xr:uid="{269EF82D-C418-41B0-AC4D-E7EDA99D59E2}"/>
    <cellStyle name="20% - Accent4 2 7 2 2 3" xfId="33657" xr:uid="{E88A21A8-4DB3-4C35-8E31-CD73BD0E6143}"/>
    <cellStyle name="20% - Accent4 2 7 2 2 4" xfId="16770" xr:uid="{93FF60F2-A1BF-4EA7-9186-6499F60BB6A7}"/>
    <cellStyle name="20% - Accent4 2 7 2 3" xfId="20993" xr:uid="{95C14378-81CF-4CE0-AE39-A59468DE26B7}"/>
    <cellStyle name="20% - Accent4 2 7 2 4" xfId="29440" xr:uid="{9D8AD799-F674-48E0-9A8A-0647B00DFB76}"/>
    <cellStyle name="20% - Accent4 2 7 2 5" xfId="12552" xr:uid="{91F90E1F-1A9E-4450-8D9C-948721C1A256}"/>
    <cellStyle name="20% - Accent4 2 7 3" xfId="6183" xr:uid="{00000000-0005-0000-0000-00002E020000}"/>
    <cellStyle name="20% - Accent4 2 7 3 2" xfId="23066" xr:uid="{DBA42045-4C7C-4C18-8B0A-24E1CB5F234D}"/>
    <cellStyle name="20% - Accent4 2 7 3 3" xfId="31512" xr:uid="{5B7700E3-34AC-42C0-AE7A-BB6FBC62E6BA}"/>
    <cellStyle name="20% - Accent4 2 7 3 4" xfId="14625" xr:uid="{99C2BB7D-4CD6-4DD6-BF38-B20E75BDDCE3}"/>
    <cellStyle name="20% - Accent4 2 7 4" xfId="18848" xr:uid="{8C10CEDE-C4FA-4511-BB92-F226D4784CF0}"/>
    <cellStyle name="20% - Accent4 2 7 5" xfId="27293" xr:uid="{0DD0FA80-D1AC-42C6-B48F-212F96A7BD09}"/>
    <cellStyle name="20% - Accent4 2 7 6" xfId="10407" xr:uid="{4E7D6B2B-CE24-413F-A1DA-9B8680296CB8}"/>
    <cellStyle name="20% - Accent4 2 8" xfId="2289" xr:uid="{00000000-0005-0000-0000-00002F020000}"/>
    <cellStyle name="20% - Accent4 2 8 2" xfId="6596" xr:uid="{00000000-0005-0000-0000-000030020000}"/>
    <cellStyle name="20% - Accent4 2 8 2 2" xfId="23479" xr:uid="{E2071450-9D64-473C-B3D3-08EC351D6E61}"/>
    <cellStyle name="20% - Accent4 2 8 2 3" xfId="31925" xr:uid="{8C530A3B-18C6-442D-B362-5BDCD6E8A47B}"/>
    <cellStyle name="20% - Accent4 2 8 2 4" xfId="15038" xr:uid="{95878A11-BD2F-4415-B4FC-E09306968F72}"/>
    <cellStyle name="20% - Accent4 2 8 3" xfId="19261" xr:uid="{C0A55F75-1D25-4190-8225-442A0777BA24}"/>
    <cellStyle name="20% - Accent4 2 8 4" xfId="27706" xr:uid="{0A94CB2E-4DBE-4D22-8D8F-0DC9C218B4C0}"/>
    <cellStyle name="20% - Accent4 2 8 5" xfId="10820" xr:uid="{DF520B24-A251-4CDF-9D15-91ADAE60123D}"/>
    <cellStyle name="20% - Accent4 2 9" xfId="4530" xr:uid="{00000000-0005-0000-0000-000031020000}"/>
    <cellStyle name="20% - Accent4 2 9 2" xfId="21413" xr:uid="{551C8AC1-4589-456D-884B-D89A69BA34B9}"/>
    <cellStyle name="20% - Accent4 2 9 3" xfId="29859" xr:uid="{25BDFE0D-DE00-43CF-8717-36D2E2EA349E}"/>
    <cellStyle name="20% - Accent4 2 9 4" xfId="12972" xr:uid="{8ED462B7-6E9A-426E-AD1D-AFBF670436A3}"/>
    <cellStyle name="20% - Accent4 3" xfId="30" xr:uid="{00000000-0005-0000-0000-000032020000}"/>
    <cellStyle name="20% - Accent4 3 10" xfId="25641" xr:uid="{39EE6EDB-8D76-4356-92C5-9356F3C1F078}"/>
    <cellStyle name="20% - Accent4 3 11" xfId="8758" xr:uid="{669507BC-FB0C-4AAA-B1AD-1BC6F01A166B}"/>
    <cellStyle name="20% - Accent4 3 2" xfId="31" xr:uid="{00000000-0005-0000-0000-000033020000}"/>
    <cellStyle name="20% - Accent4 3 2 10" xfId="8759" xr:uid="{E426B048-1F12-4CAF-B115-DB7A384CC45B}"/>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23977" xr:uid="{A36AD57D-B959-4CE7-9C4C-A714357472E7}"/>
    <cellStyle name="20% - Accent4 3 2 2 2 2 3" xfId="32423" xr:uid="{BFAD10F0-5F6A-4D8F-9AE4-046FD909645C}"/>
    <cellStyle name="20% - Accent4 3 2 2 2 2 4" xfId="15536" xr:uid="{80FDF632-C671-4E7E-A792-B88BC138FE1E}"/>
    <cellStyle name="20% - Accent4 3 2 2 2 3" xfId="19759" xr:uid="{58B1847B-027B-4380-8475-909D0D749F32}"/>
    <cellStyle name="20% - Accent4 3 2 2 2 4" xfId="28206" xr:uid="{B3041DDE-249C-460D-9943-5E3EF9F35C52}"/>
    <cellStyle name="20% - Accent4 3 2 2 2 5" xfId="11318" xr:uid="{746F0297-8F8E-45A3-8E4C-74D3C541C07D}"/>
    <cellStyle name="20% - Accent4 3 2 2 3" xfId="4949" xr:uid="{00000000-0005-0000-0000-000037020000}"/>
    <cellStyle name="20% - Accent4 3 2 2 3 2" xfId="21832" xr:uid="{D1CA415D-499C-4897-9D3F-F4909D29FE6C}"/>
    <cellStyle name="20% - Accent4 3 2 2 3 3" xfId="30278" xr:uid="{75425B84-E720-4180-B45C-763F3F09656B}"/>
    <cellStyle name="20% - Accent4 3 2 2 3 4" xfId="13391" xr:uid="{5271B9AE-D839-45D7-8155-BB7A0B5BBF49}"/>
    <cellStyle name="20% - Accent4 3 2 2 4" xfId="17614" xr:uid="{0B329A13-0241-4C04-AE5F-298C0387444B}"/>
    <cellStyle name="20% - Accent4 3 2 2 5" xfId="26059" xr:uid="{B999BEE6-1A64-4187-8D08-94D47859AB9A}"/>
    <cellStyle name="20% - Accent4 3 2 2 6" xfId="9173" xr:uid="{937FED45-2C89-42AA-BC7F-C428734E0F00}"/>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24390" xr:uid="{89969954-43B7-45F7-AD2C-EEEE6CC119F7}"/>
    <cellStyle name="20% - Accent4 3 2 3 2 2 3" xfId="32836" xr:uid="{7476F1A5-0381-4DA3-AABF-F284C28E8AD6}"/>
    <cellStyle name="20% - Accent4 3 2 3 2 2 4" xfId="15949" xr:uid="{95DD5DC0-6761-497B-858D-60404A7954CF}"/>
    <cellStyle name="20% - Accent4 3 2 3 2 3" xfId="20172" xr:uid="{83B5E94A-1ABC-473E-8B6B-338A684133BA}"/>
    <cellStyle name="20% - Accent4 3 2 3 2 4" xfId="28619" xr:uid="{C1DAC124-DF2B-4D52-B903-5791D992836E}"/>
    <cellStyle name="20% - Accent4 3 2 3 2 5" xfId="11731" xr:uid="{5A8C85A7-6DFB-4AF7-A43E-B50D9F445811}"/>
    <cellStyle name="20% - Accent4 3 2 3 3" xfId="5362" xr:uid="{00000000-0005-0000-0000-00003B020000}"/>
    <cellStyle name="20% - Accent4 3 2 3 3 2" xfId="22245" xr:uid="{6552EBD3-BBEC-415A-8FD6-5AB68845398B}"/>
    <cellStyle name="20% - Accent4 3 2 3 3 3" xfId="30691" xr:uid="{6FF3C707-BF13-42D4-9CA8-3C8126A5DB3C}"/>
    <cellStyle name="20% - Accent4 3 2 3 3 4" xfId="13804" xr:uid="{FE6EA910-7122-4659-9E47-F43BF9992DA4}"/>
    <cellStyle name="20% - Accent4 3 2 3 4" xfId="18027" xr:uid="{7A558C20-F918-4683-9FB8-8ED06FA0C42E}"/>
    <cellStyle name="20% - Accent4 3 2 3 5" xfId="26472" xr:uid="{23FF74A4-306D-481B-8D02-FADB5B37EF7C}"/>
    <cellStyle name="20% - Accent4 3 2 3 6" xfId="9586" xr:uid="{08A96242-4F82-4819-BDA9-43B6A4276C42}"/>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24803" xr:uid="{C5BDB2D2-967F-4D27-9227-58897264E92C}"/>
    <cellStyle name="20% - Accent4 3 2 4 2 2 3" xfId="33249" xr:uid="{092E77EA-F1E8-43FB-A9EA-7E1F4777D5F2}"/>
    <cellStyle name="20% - Accent4 3 2 4 2 2 4" xfId="16362" xr:uid="{E111C562-17C5-4C2C-B036-8045303BDDE5}"/>
    <cellStyle name="20% - Accent4 3 2 4 2 3" xfId="20585" xr:uid="{2C37DDC1-4DED-477D-9F11-5BBF9A972469}"/>
    <cellStyle name="20% - Accent4 3 2 4 2 4" xfId="29032" xr:uid="{3CEBF9CE-C5FC-4F83-8029-76EF3862ADE5}"/>
    <cellStyle name="20% - Accent4 3 2 4 2 5" xfId="12144" xr:uid="{F245E1AA-8B49-4D06-98D5-873DBE9BB524}"/>
    <cellStyle name="20% - Accent4 3 2 4 3" xfId="5775" xr:uid="{00000000-0005-0000-0000-00003F020000}"/>
    <cellStyle name="20% - Accent4 3 2 4 3 2" xfId="22658" xr:uid="{A89BCDCC-BDCC-4E91-B935-7B2F77884567}"/>
    <cellStyle name="20% - Accent4 3 2 4 3 3" xfId="31104" xr:uid="{4C649D58-A254-441B-A4A1-A243811A90BF}"/>
    <cellStyle name="20% - Accent4 3 2 4 3 4" xfId="14217" xr:uid="{DCBDE1E0-22ED-4DD2-B34E-2E5FBBA348B8}"/>
    <cellStyle name="20% - Accent4 3 2 4 4" xfId="18440" xr:uid="{A0AD678B-9457-444C-B026-BAB5228216C3}"/>
    <cellStyle name="20% - Accent4 3 2 4 5" xfId="26885" xr:uid="{71239210-E9BA-4890-8960-36890F80FEB6}"/>
    <cellStyle name="20% - Accent4 3 2 4 6" xfId="9999" xr:uid="{FBF42DA9-BFBF-4142-99E9-24A0D15BC23C}"/>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25216" xr:uid="{6E1E8547-1512-440A-8CC3-CFFF462D970F}"/>
    <cellStyle name="20% - Accent4 3 2 5 2 2 3" xfId="33662" xr:uid="{418BC767-9C4B-4237-9F4E-736CCA857205}"/>
    <cellStyle name="20% - Accent4 3 2 5 2 2 4" xfId="16775" xr:uid="{47410721-1BFE-49ED-B04B-904BDA32A03D}"/>
    <cellStyle name="20% - Accent4 3 2 5 2 3" xfId="20998" xr:uid="{53F2C0BA-CC98-4C52-9AB5-88DB7F5D80C7}"/>
    <cellStyle name="20% - Accent4 3 2 5 2 4" xfId="29445" xr:uid="{E2D7588A-5B6D-44F6-BCFE-0AF5D3107E04}"/>
    <cellStyle name="20% - Accent4 3 2 5 2 5" xfId="12557" xr:uid="{ADDCA120-0CE3-4F69-BE31-778E3649D265}"/>
    <cellStyle name="20% - Accent4 3 2 5 3" xfId="6188" xr:uid="{00000000-0005-0000-0000-000043020000}"/>
    <cellStyle name="20% - Accent4 3 2 5 3 2" xfId="23071" xr:uid="{7B0E43B6-5F6F-4CE4-9440-BAF65439CFA8}"/>
    <cellStyle name="20% - Accent4 3 2 5 3 3" xfId="31517" xr:uid="{7E8CBC19-F730-4C51-B5C4-C7A1C1647A20}"/>
    <cellStyle name="20% - Accent4 3 2 5 3 4" xfId="14630" xr:uid="{BFDFE145-EACF-4D04-B4F7-39C1DD745F96}"/>
    <cellStyle name="20% - Accent4 3 2 5 4" xfId="18853" xr:uid="{0FA80010-0843-4B14-9ED5-4998EC2E46FC}"/>
    <cellStyle name="20% - Accent4 3 2 5 5" xfId="27298" xr:uid="{4F6EB749-BD57-4576-9607-9C04B72D9833}"/>
    <cellStyle name="20% - Accent4 3 2 5 6" xfId="10412" xr:uid="{DC6B0D0A-B749-40AD-BFBC-F683E2A2BEFB}"/>
    <cellStyle name="20% - Accent4 3 2 6" xfId="2294" xr:uid="{00000000-0005-0000-0000-000044020000}"/>
    <cellStyle name="20% - Accent4 3 2 6 2" xfId="6601" xr:uid="{00000000-0005-0000-0000-000045020000}"/>
    <cellStyle name="20% - Accent4 3 2 6 2 2" xfId="23484" xr:uid="{15170D4F-A40D-4810-BCD5-BB07B500B7D3}"/>
    <cellStyle name="20% - Accent4 3 2 6 2 3" xfId="31930" xr:uid="{6EBCBA49-F986-4850-8E9C-D3A53D63AEF1}"/>
    <cellStyle name="20% - Accent4 3 2 6 2 4" xfId="15043" xr:uid="{A71BEB75-7CF6-406D-8251-01F66FE9D4C1}"/>
    <cellStyle name="20% - Accent4 3 2 6 3" xfId="19266" xr:uid="{32DB38C4-4212-4705-BA5E-CB3CD006012A}"/>
    <cellStyle name="20% - Accent4 3 2 6 4" xfId="27711" xr:uid="{B7EA8B65-DE38-471D-AC20-0CB34F55B50B}"/>
    <cellStyle name="20% - Accent4 3 2 6 5" xfId="10825" xr:uid="{CA2635ED-86C3-4D05-B47D-038EF59B5395}"/>
    <cellStyle name="20% - Accent4 3 2 7" xfId="4535" xr:uid="{00000000-0005-0000-0000-000046020000}"/>
    <cellStyle name="20% - Accent4 3 2 7 2" xfId="21418" xr:uid="{32646A8F-175D-41BB-9362-3C340C84C90E}"/>
    <cellStyle name="20% - Accent4 3 2 7 3" xfId="29864" xr:uid="{C4DE7103-7B03-4078-A2F5-8B8C245774D1}"/>
    <cellStyle name="20% - Accent4 3 2 7 4" xfId="12977" xr:uid="{55BC2610-F6A2-4D66-8A5A-23372066BE4E}"/>
    <cellStyle name="20% - Accent4 3 2 8" xfId="17200" xr:uid="{96F61754-07F9-4E67-9083-61235B83C998}"/>
    <cellStyle name="20% - Accent4 3 2 9" xfId="25642" xr:uid="{E8920D66-0D55-4980-9DDD-C8BF58559383}"/>
    <cellStyle name="20% - Accent4 3 3" xfId="599" xr:uid="{00000000-0005-0000-0000-000047020000}"/>
    <cellStyle name="20% - Accent4 3 3 2" xfId="2870" xr:uid="{00000000-0005-0000-0000-000048020000}"/>
    <cellStyle name="20% - Accent4 3 3 2 2" xfId="7093" xr:uid="{00000000-0005-0000-0000-000049020000}"/>
    <cellStyle name="20% - Accent4 3 3 2 2 2" xfId="23976" xr:uid="{38BFCEF8-5944-4C47-8C97-5C33A85583C8}"/>
    <cellStyle name="20% - Accent4 3 3 2 2 3" xfId="32422" xr:uid="{F7605208-1B86-450C-9922-8094B26F6924}"/>
    <cellStyle name="20% - Accent4 3 3 2 2 4" xfId="15535" xr:uid="{6531F1C0-57B6-4564-AC4B-C80445EDAD0F}"/>
    <cellStyle name="20% - Accent4 3 3 2 3" xfId="19758" xr:uid="{06559FB6-822A-49C3-8B38-7CC95FB8E21E}"/>
    <cellStyle name="20% - Accent4 3 3 2 4" xfId="28205" xr:uid="{6CAE0CA1-7A48-4A41-AE21-D13166010216}"/>
    <cellStyle name="20% - Accent4 3 3 2 5" xfId="11317" xr:uid="{E95E5710-6CED-40F2-982B-15F5BC7786B4}"/>
    <cellStyle name="20% - Accent4 3 3 3" xfId="4948" xr:uid="{00000000-0005-0000-0000-00004A020000}"/>
    <cellStyle name="20% - Accent4 3 3 3 2" xfId="21831" xr:uid="{F92ED489-02D6-4164-9AED-B1E23755E909}"/>
    <cellStyle name="20% - Accent4 3 3 3 3" xfId="30277" xr:uid="{54EF59A4-0173-44E0-BC3D-3A28CAFC9757}"/>
    <cellStyle name="20% - Accent4 3 3 3 4" xfId="13390" xr:uid="{3F3CC4F8-B78A-4905-A19B-8D5CB4485E23}"/>
    <cellStyle name="20% - Accent4 3 3 4" xfId="17613" xr:uid="{E52C216C-404D-4E44-AF00-80F8D0668DF4}"/>
    <cellStyle name="20% - Accent4 3 3 5" xfId="26058" xr:uid="{13B14C34-31D2-4344-B60C-EC9EC7258D3F}"/>
    <cellStyle name="20% - Accent4 3 3 6" xfId="9172" xr:uid="{376DC640-F320-447C-ADE7-A6D75467AA54}"/>
    <cellStyle name="20% - Accent4 3 4" xfId="1052" xr:uid="{00000000-0005-0000-0000-00004B020000}"/>
    <cellStyle name="20% - Accent4 3 4 2" xfId="3283" xr:uid="{00000000-0005-0000-0000-00004C020000}"/>
    <cellStyle name="20% - Accent4 3 4 2 2" xfId="7506" xr:uid="{00000000-0005-0000-0000-00004D020000}"/>
    <cellStyle name="20% - Accent4 3 4 2 2 2" xfId="24389" xr:uid="{B6C6897C-0929-4726-A4CB-1C0F8211E58F}"/>
    <cellStyle name="20% - Accent4 3 4 2 2 3" xfId="32835" xr:uid="{E1C0F6C6-6457-4EC5-A5BF-636619B79B07}"/>
    <cellStyle name="20% - Accent4 3 4 2 2 4" xfId="15948" xr:uid="{9AB39171-62F0-47C5-901B-DFA2FA7F6B6C}"/>
    <cellStyle name="20% - Accent4 3 4 2 3" xfId="20171" xr:uid="{AC208C85-7BF1-4F4A-9FF4-C4AE9F387741}"/>
    <cellStyle name="20% - Accent4 3 4 2 4" xfId="28618" xr:uid="{DEDAB99F-24CE-4023-BDAB-FF8C8612E47E}"/>
    <cellStyle name="20% - Accent4 3 4 2 5" xfId="11730" xr:uid="{44638D19-A0A3-4B48-AB27-A8D79B35CD32}"/>
    <cellStyle name="20% - Accent4 3 4 3" xfId="5361" xr:uid="{00000000-0005-0000-0000-00004E020000}"/>
    <cellStyle name="20% - Accent4 3 4 3 2" xfId="22244" xr:uid="{FF245D55-5CA0-49DD-8B56-87BA472806E0}"/>
    <cellStyle name="20% - Accent4 3 4 3 3" xfId="30690" xr:uid="{02F8A529-9801-40E8-965C-CAA90602C021}"/>
    <cellStyle name="20% - Accent4 3 4 3 4" xfId="13803" xr:uid="{339CF1CF-E038-4582-9B96-CC4326A3BD33}"/>
    <cellStyle name="20% - Accent4 3 4 4" xfId="18026" xr:uid="{BD7F294A-4973-4C69-B357-F216A31891C7}"/>
    <cellStyle name="20% - Accent4 3 4 5" xfId="26471" xr:uid="{0882DB3A-7040-45B0-9AD4-12D16A38123A}"/>
    <cellStyle name="20% - Accent4 3 4 6" xfId="9585" xr:uid="{8F701AB5-5C91-4B8C-957E-0673BE0B1667}"/>
    <cellStyle name="20% - Accent4 3 5" xfId="1466" xr:uid="{00000000-0005-0000-0000-00004F020000}"/>
    <cellStyle name="20% - Accent4 3 5 2" xfId="3696" xr:uid="{00000000-0005-0000-0000-000050020000}"/>
    <cellStyle name="20% - Accent4 3 5 2 2" xfId="7919" xr:uid="{00000000-0005-0000-0000-000051020000}"/>
    <cellStyle name="20% - Accent4 3 5 2 2 2" xfId="24802" xr:uid="{A250EF0D-4E77-4504-A53C-75CBB810636B}"/>
    <cellStyle name="20% - Accent4 3 5 2 2 3" xfId="33248" xr:uid="{42C9164A-D01D-46B1-9C18-C382724AA6D7}"/>
    <cellStyle name="20% - Accent4 3 5 2 2 4" xfId="16361" xr:uid="{16510E82-6FD5-407A-876C-F17B75057E89}"/>
    <cellStyle name="20% - Accent4 3 5 2 3" xfId="20584" xr:uid="{F0777721-2847-4539-8578-C74C7D7AB0B2}"/>
    <cellStyle name="20% - Accent4 3 5 2 4" xfId="29031" xr:uid="{25BC09BD-BBDE-4966-A7DB-48FB9DD077DD}"/>
    <cellStyle name="20% - Accent4 3 5 2 5" xfId="12143" xr:uid="{5BDC10CA-D523-4E01-9C05-03DE45087343}"/>
    <cellStyle name="20% - Accent4 3 5 3" xfId="5774" xr:uid="{00000000-0005-0000-0000-000052020000}"/>
    <cellStyle name="20% - Accent4 3 5 3 2" xfId="22657" xr:uid="{2DB32AE2-EB21-4C6F-BD75-4B5051371AB1}"/>
    <cellStyle name="20% - Accent4 3 5 3 3" xfId="31103" xr:uid="{8F010B56-0F05-4EDF-ABDD-50C544A16BE7}"/>
    <cellStyle name="20% - Accent4 3 5 3 4" xfId="14216" xr:uid="{AD10F6A7-D207-4DE6-A783-858DC9F39EB2}"/>
    <cellStyle name="20% - Accent4 3 5 4" xfId="18439" xr:uid="{029B0DC1-B432-4A73-81B9-05DD44815574}"/>
    <cellStyle name="20% - Accent4 3 5 5" xfId="26884" xr:uid="{E15D1996-E8DA-45B4-AD37-972C9EE9781E}"/>
    <cellStyle name="20% - Accent4 3 5 6" xfId="9998" xr:uid="{71AA8A72-10B4-497F-A599-ED23C47F43DA}"/>
    <cellStyle name="20% - Accent4 3 6" xfId="1880" xr:uid="{00000000-0005-0000-0000-000053020000}"/>
    <cellStyle name="20% - Accent4 3 6 2" xfId="4109" xr:uid="{00000000-0005-0000-0000-000054020000}"/>
    <cellStyle name="20% - Accent4 3 6 2 2" xfId="8332" xr:uid="{00000000-0005-0000-0000-000055020000}"/>
    <cellStyle name="20% - Accent4 3 6 2 2 2" xfId="25215" xr:uid="{31BCA676-96DE-446B-AB87-A27EDFC597C9}"/>
    <cellStyle name="20% - Accent4 3 6 2 2 3" xfId="33661" xr:uid="{E92A8B8C-7E48-4BD4-8266-5A6F232C4A05}"/>
    <cellStyle name="20% - Accent4 3 6 2 2 4" xfId="16774" xr:uid="{A2655EF3-293A-4717-9B4E-18462F3D8857}"/>
    <cellStyle name="20% - Accent4 3 6 2 3" xfId="20997" xr:uid="{2B132182-2A73-4560-89F2-DF62496E12EC}"/>
    <cellStyle name="20% - Accent4 3 6 2 4" xfId="29444" xr:uid="{522CF0D7-2CC2-4572-A089-6E654156DD1A}"/>
    <cellStyle name="20% - Accent4 3 6 2 5" xfId="12556" xr:uid="{3D8907F7-0FFC-42EC-B421-009F73BC6429}"/>
    <cellStyle name="20% - Accent4 3 6 3" xfId="6187" xr:uid="{00000000-0005-0000-0000-000056020000}"/>
    <cellStyle name="20% - Accent4 3 6 3 2" xfId="23070" xr:uid="{AE516584-8941-4BEE-9593-C9F79DDB1C90}"/>
    <cellStyle name="20% - Accent4 3 6 3 3" xfId="31516" xr:uid="{8DDC8790-932B-4EDE-934B-0E09417FA52E}"/>
    <cellStyle name="20% - Accent4 3 6 3 4" xfId="14629" xr:uid="{7E23F410-CD22-4D49-848C-38875FADFD1B}"/>
    <cellStyle name="20% - Accent4 3 6 4" xfId="18852" xr:uid="{7AF3369D-B6EB-4151-AE8B-49D5EEB69040}"/>
    <cellStyle name="20% - Accent4 3 6 5" xfId="27297" xr:uid="{BF61CB76-B733-4375-B4A3-482571E33E13}"/>
    <cellStyle name="20% - Accent4 3 6 6" xfId="10411" xr:uid="{B481E4F7-7AF4-4832-86ED-862F60C696DC}"/>
    <cellStyle name="20% - Accent4 3 7" xfId="2293" xr:uid="{00000000-0005-0000-0000-000057020000}"/>
    <cellStyle name="20% - Accent4 3 7 2" xfId="6600" xr:uid="{00000000-0005-0000-0000-000058020000}"/>
    <cellStyle name="20% - Accent4 3 7 2 2" xfId="23483" xr:uid="{66C71BC8-78B6-4687-9876-68098A750F26}"/>
    <cellStyle name="20% - Accent4 3 7 2 3" xfId="31929" xr:uid="{D3C087F9-0994-4D34-8248-1EAD9FF308EE}"/>
    <cellStyle name="20% - Accent4 3 7 2 4" xfId="15042" xr:uid="{1CAABA76-04C7-4B4B-8E1D-4617A6C79BB5}"/>
    <cellStyle name="20% - Accent4 3 7 3" xfId="19265" xr:uid="{F9144F7F-B3F0-408F-B904-585CF9C10AB8}"/>
    <cellStyle name="20% - Accent4 3 7 4" xfId="27710" xr:uid="{855241EF-A1A2-40B5-B073-89DE2FFA837A}"/>
    <cellStyle name="20% - Accent4 3 7 5" xfId="10824" xr:uid="{1E7C1E95-272C-4884-B2E6-F99E582BE719}"/>
    <cellStyle name="20% - Accent4 3 8" xfId="4534" xr:uid="{00000000-0005-0000-0000-000059020000}"/>
    <cellStyle name="20% - Accent4 3 8 2" xfId="21417" xr:uid="{3DC535AD-6661-4C12-B934-0B37A273C6A5}"/>
    <cellStyle name="20% - Accent4 3 8 3" xfId="29863" xr:uid="{C8788765-6292-441D-B5F7-BB45054474C6}"/>
    <cellStyle name="20% - Accent4 3 8 4" xfId="12976" xr:uid="{10254A1D-FBF2-4E59-B045-42F86FDEBB4C}"/>
    <cellStyle name="20% - Accent4 3 9" xfId="17199" xr:uid="{A54E69B9-BD0C-4C50-96D6-EFDBB1EC5889}"/>
    <cellStyle name="20% - Accent4 4" xfId="32" xr:uid="{00000000-0005-0000-0000-00005A020000}"/>
    <cellStyle name="20% - Accent4 4 10" xfId="8760" xr:uid="{3FC850AF-3974-4120-A748-0C8E3EA7B5EA}"/>
    <cellStyle name="20% - Accent4 4 2" xfId="601" xr:uid="{00000000-0005-0000-0000-00005B020000}"/>
    <cellStyle name="20% - Accent4 4 2 2" xfId="2872" xr:uid="{00000000-0005-0000-0000-00005C020000}"/>
    <cellStyle name="20% - Accent4 4 2 2 2" xfId="7095" xr:uid="{00000000-0005-0000-0000-00005D020000}"/>
    <cellStyle name="20% - Accent4 4 2 2 2 2" xfId="23978" xr:uid="{E8F040A9-2DA8-4E72-AA01-78706D6FE14E}"/>
    <cellStyle name="20% - Accent4 4 2 2 2 3" xfId="32424" xr:uid="{9C6F32A3-C752-4381-95BF-5FAC41DE7E9A}"/>
    <cellStyle name="20% - Accent4 4 2 2 2 4" xfId="15537" xr:uid="{4139DF72-E713-4A59-961E-159F22EB9A69}"/>
    <cellStyle name="20% - Accent4 4 2 2 3" xfId="19760" xr:uid="{A8054B8B-D24D-49E2-BA72-46912259DA6A}"/>
    <cellStyle name="20% - Accent4 4 2 2 4" xfId="28207" xr:uid="{04A44025-01D7-4764-851D-BC04246DD6D4}"/>
    <cellStyle name="20% - Accent4 4 2 2 5" xfId="11319" xr:uid="{637E5597-463F-44EF-8A6F-104DA548DED7}"/>
    <cellStyle name="20% - Accent4 4 2 3" xfId="4950" xr:uid="{00000000-0005-0000-0000-00005E020000}"/>
    <cellStyle name="20% - Accent4 4 2 3 2" xfId="21833" xr:uid="{91FD6769-4317-4AF9-ACC1-EE006D2922D9}"/>
    <cellStyle name="20% - Accent4 4 2 3 3" xfId="30279" xr:uid="{608750F9-B33A-4D39-A182-448C98D38019}"/>
    <cellStyle name="20% - Accent4 4 2 3 4" xfId="13392" xr:uid="{3A883FDB-61F1-4C8D-9D20-EA1BC4E90FD5}"/>
    <cellStyle name="20% - Accent4 4 2 4" xfId="17615" xr:uid="{978CA7CC-8A7A-47CE-8877-454C8655224E}"/>
    <cellStyle name="20% - Accent4 4 2 5" xfId="26060" xr:uid="{FF8CF157-E644-45A6-BD2D-8FD22874F600}"/>
    <cellStyle name="20% - Accent4 4 2 6" xfId="9174" xr:uid="{B4E1E2D0-62BF-400F-9D1B-0AE98EBF017E}"/>
    <cellStyle name="20% - Accent4 4 3" xfId="1054" xr:uid="{00000000-0005-0000-0000-00005F020000}"/>
    <cellStyle name="20% - Accent4 4 3 2" xfId="3285" xr:uid="{00000000-0005-0000-0000-000060020000}"/>
    <cellStyle name="20% - Accent4 4 3 2 2" xfId="7508" xr:uid="{00000000-0005-0000-0000-000061020000}"/>
    <cellStyle name="20% - Accent4 4 3 2 2 2" xfId="24391" xr:uid="{8BAD4301-23C7-438D-B7A6-3581A4E0DF98}"/>
    <cellStyle name="20% - Accent4 4 3 2 2 3" xfId="32837" xr:uid="{A23C5F99-0125-4561-B1C3-67847991BFA5}"/>
    <cellStyle name="20% - Accent4 4 3 2 2 4" xfId="15950" xr:uid="{18841C28-BC00-47FB-8BE6-8AD0C67C41CF}"/>
    <cellStyle name="20% - Accent4 4 3 2 3" xfId="20173" xr:uid="{3B6E071B-B835-461B-83B2-BDD1C3589D63}"/>
    <cellStyle name="20% - Accent4 4 3 2 4" xfId="28620" xr:uid="{46C3287F-F1E1-4108-8957-85A13887848E}"/>
    <cellStyle name="20% - Accent4 4 3 2 5" xfId="11732" xr:uid="{FF833EAF-0DA8-435B-8E32-1BC61C0B1E84}"/>
    <cellStyle name="20% - Accent4 4 3 3" xfId="5363" xr:uid="{00000000-0005-0000-0000-000062020000}"/>
    <cellStyle name="20% - Accent4 4 3 3 2" xfId="22246" xr:uid="{402AED73-62A0-4BC5-8E24-732B67CDD50A}"/>
    <cellStyle name="20% - Accent4 4 3 3 3" xfId="30692" xr:uid="{ED2734D0-A53B-435A-8B74-F8EC758DDCAC}"/>
    <cellStyle name="20% - Accent4 4 3 3 4" xfId="13805" xr:uid="{4E960AA2-F404-439E-ADDD-6DBF8CC84476}"/>
    <cellStyle name="20% - Accent4 4 3 4" xfId="18028" xr:uid="{681DCAC8-7BFE-4BA2-BEB5-1C594942485E}"/>
    <cellStyle name="20% - Accent4 4 3 5" xfId="26473" xr:uid="{853ED21A-ABCF-4D28-AB5C-621BD93D0109}"/>
    <cellStyle name="20% - Accent4 4 3 6" xfId="9587" xr:uid="{F271D895-FA79-42C3-ABA5-5C4609B8CBBD}"/>
    <cellStyle name="20% - Accent4 4 4" xfId="1468" xr:uid="{00000000-0005-0000-0000-000063020000}"/>
    <cellStyle name="20% - Accent4 4 4 2" xfId="3698" xr:uid="{00000000-0005-0000-0000-000064020000}"/>
    <cellStyle name="20% - Accent4 4 4 2 2" xfId="7921" xr:uid="{00000000-0005-0000-0000-000065020000}"/>
    <cellStyle name="20% - Accent4 4 4 2 2 2" xfId="24804" xr:uid="{6FAB74D8-B606-4876-A49E-4A482FE15660}"/>
    <cellStyle name="20% - Accent4 4 4 2 2 3" xfId="33250" xr:uid="{CF35FB55-56C9-4D7A-A619-DB991C69A14E}"/>
    <cellStyle name="20% - Accent4 4 4 2 2 4" xfId="16363" xr:uid="{1FCC1D0A-7C9E-47EF-BEE0-2FFCA1610224}"/>
    <cellStyle name="20% - Accent4 4 4 2 3" xfId="20586" xr:uid="{F8EA8799-86F1-4A5B-ADC0-CCC5FF57F379}"/>
    <cellStyle name="20% - Accent4 4 4 2 4" xfId="29033" xr:uid="{0B03526E-B8D1-4A2A-AF0D-346BB6F46961}"/>
    <cellStyle name="20% - Accent4 4 4 2 5" xfId="12145" xr:uid="{AE383BEA-B443-4239-8248-C571CE3124E9}"/>
    <cellStyle name="20% - Accent4 4 4 3" xfId="5776" xr:uid="{00000000-0005-0000-0000-000066020000}"/>
    <cellStyle name="20% - Accent4 4 4 3 2" xfId="22659" xr:uid="{CA728433-4AD1-4B7D-96E9-46A603AE60CF}"/>
    <cellStyle name="20% - Accent4 4 4 3 3" xfId="31105" xr:uid="{8A90377D-CA58-49E9-8406-FAF60CC4D04F}"/>
    <cellStyle name="20% - Accent4 4 4 3 4" xfId="14218" xr:uid="{A1312C30-66C1-4C39-BCB3-95EA77C2A4A5}"/>
    <cellStyle name="20% - Accent4 4 4 4" xfId="18441" xr:uid="{83E3F00B-2BE2-47AC-8E0A-62E07AD4C4DB}"/>
    <cellStyle name="20% - Accent4 4 4 5" xfId="26886" xr:uid="{F4D8E3DA-518B-46C6-BAD2-9B7CE80383A6}"/>
    <cellStyle name="20% - Accent4 4 4 6" xfId="10000" xr:uid="{193D1B64-B049-442A-93D4-211EF2EF8496}"/>
    <cellStyle name="20% - Accent4 4 5" xfId="1882" xr:uid="{00000000-0005-0000-0000-000067020000}"/>
    <cellStyle name="20% - Accent4 4 5 2" xfId="4111" xr:uid="{00000000-0005-0000-0000-000068020000}"/>
    <cellStyle name="20% - Accent4 4 5 2 2" xfId="8334" xr:uid="{00000000-0005-0000-0000-000069020000}"/>
    <cellStyle name="20% - Accent4 4 5 2 2 2" xfId="25217" xr:uid="{7AC722BF-73ED-4E80-8E68-C95AEB86EED0}"/>
    <cellStyle name="20% - Accent4 4 5 2 2 3" xfId="33663" xr:uid="{DD4B3FDF-B8C3-47C3-A32D-E0B5C843D779}"/>
    <cellStyle name="20% - Accent4 4 5 2 2 4" xfId="16776" xr:uid="{E9BFFAA3-A6E5-4C7B-9B9D-AF744C48E6D8}"/>
    <cellStyle name="20% - Accent4 4 5 2 3" xfId="20999" xr:uid="{1E1304BD-EE6B-46CF-B0AA-1B1F4F04227E}"/>
    <cellStyle name="20% - Accent4 4 5 2 4" xfId="29446" xr:uid="{51E2A6E2-A5F8-46D2-AB00-AD6CF933EBBE}"/>
    <cellStyle name="20% - Accent4 4 5 2 5" xfId="12558" xr:uid="{7C3D0213-6B88-4264-A674-A41835229841}"/>
    <cellStyle name="20% - Accent4 4 5 3" xfId="6189" xr:uid="{00000000-0005-0000-0000-00006A020000}"/>
    <cellStyle name="20% - Accent4 4 5 3 2" xfId="23072" xr:uid="{81FC58AD-0D22-4799-AEEF-F9B463B766DA}"/>
    <cellStyle name="20% - Accent4 4 5 3 3" xfId="31518" xr:uid="{4D34005A-8E91-4D4E-9616-ECFE1F164A1F}"/>
    <cellStyle name="20% - Accent4 4 5 3 4" xfId="14631" xr:uid="{7DBFD973-6DA4-4AF7-9F05-901C5AE53533}"/>
    <cellStyle name="20% - Accent4 4 5 4" xfId="18854" xr:uid="{AAA6EA09-AD08-4E2D-BCA9-DEEEE00B9D52}"/>
    <cellStyle name="20% - Accent4 4 5 5" xfId="27299" xr:uid="{1876B200-233D-48B0-A7A2-B9EEDA53CDB9}"/>
    <cellStyle name="20% - Accent4 4 5 6" xfId="10413" xr:uid="{69AEFCA8-4488-428D-AE26-77A6102CE734}"/>
    <cellStyle name="20% - Accent4 4 6" xfId="2295" xr:uid="{00000000-0005-0000-0000-00006B020000}"/>
    <cellStyle name="20% - Accent4 4 6 2" xfId="6602" xr:uid="{00000000-0005-0000-0000-00006C020000}"/>
    <cellStyle name="20% - Accent4 4 6 2 2" xfId="23485" xr:uid="{C82CF34D-A3A9-424A-B395-DAC5843275D8}"/>
    <cellStyle name="20% - Accent4 4 6 2 3" xfId="31931" xr:uid="{5FDAB5DB-5827-4904-89DF-7187229F2D68}"/>
    <cellStyle name="20% - Accent4 4 6 2 4" xfId="15044" xr:uid="{D64FA5A7-9BC5-4516-A682-387552A59AD5}"/>
    <cellStyle name="20% - Accent4 4 6 3" xfId="19267" xr:uid="{FE0A698D-6362-4569-9B98-BF138DB42166}"/>
    <cellStyle name="20% - Accent4 4 6 4" xfId="27712" xr:uid="{60381E05-E8BD-4769-AAF1-36B4A737BF12}"/>
    <cellStyle name="20% - Accent4 4 6 5" xfId="10826" xr:uid="{DCED48E2-5BD0-435F-88A9-71102600992D}"/>
    <cellStyle name="20% - Accent4 4 7" xfId="4536" xr:uid="{00000000-0005-0000-0000-00006D020000}"/>
    <cellStyle name="20% - Accent4 4 7 2" xfId="21419" xr:uid="{1E81F85E-D65C-4F8B-8466-435970DCCB5C}"/>
    <cellStyle name="20% - Accent4 4 7 3" xfId="29865" xr:uid="{DEA59E9B-D2E6-4EC4-BF4D-1F370192547E}"/>
    <cellStyle name="20% - Accent4 4 7 4" xfId="12978" xr:uid="{5395F337-C425-466F-B42C-0E55B9EB3A37}"/>
    <cellStyle name="20% - Accent4 4 8" xfId="17201" xr:uid="{7E486ADF-262C-4AD3-92C4-62C53EC1BD0D}"/>
    <cellStyle name="20% - Accent4 4 9" xfId="25643" xr:uid="{D5BE8CEA-FF36-4E94-89B7-3A84F05425C3}"/>
    <cellStyle name="20% - Accent4 5" xfId="594" xr:uid="{00000000-0005-0000-0000-00006E020000}"/>
    <cellStyle name="20% - Accent4 5 2" xfId="2865" xr:uid="{00000000-0005-0000-0000-00006F020000}"/>
    <cellStyle name="20% - Accent4 5 2 2" xfId="7088" xr:uid="{00000000-0005-0000-0000-000070020000}"/>
    <cellStyle name="20% - Accent4 5 2 2 2" xfId="23971" xr:uid="{A161BFB9-D450-4066-B605-7C2DD20BE40E}"/>
    <cellStyle name="20% - Accent4 5 2 2 3" xfId="32417" xr:uid="{A3C11BC2-A863-4DB9-886E-676556356D6F}"/>
    <cellStyle name="20% - Accent4 5 2 2 4" xfId="15530" xr:uid="{CE54B092-B64C-40D2-A388-7B9ED4951032}"/>
    <cellStyle name="20% - Accent4 5 2 3" xfId="19753" xr:uid="{AB9061E7-211F-4C07-A2EA-AFFDBDB47F08}"/>
    <cellStyle name="20% - Accent4 5 2 4" xfId="28200" xr:uid="{82ED11BA-1D8C-46DE-9D35-DC9804AE0AEF}"/>
    <cellStyle name="20% - Accent4 5 2 5" xfId="11312" xr:uid="{34A3D9F3-21CB-4ACA-AD48-A8D773D28B9B}"/>
    <cellStyle name="20% - Accent4 5 3" xfId="4943" xr:uid="{00000000-0005-0000-0000-000071020000}"/>
    <cellStyle name="20% - Accent4 5 3 2" xfId="21826" xr:uid="{ABEEA84B-AF11-4E8E-BF63-D365B1A93966}"/>
    <cellStyle name="20% - Accent4 5 3 3" xfId="30272" xr:uid="{3272A13E-4A58-4728-AB48-116E578AB54D}"/>
    <cellStyle name="20% - Accent4 5 3 4" xfId="13385" xr:uid="{80B0AFDF-666D-41A6-B584-1787D4980B7F}"/>
    <cellStyle name="20% - Accent4 5 4" xfId="17608" xr:uid="{33E2BF0A-FCF1-484E-820E-9B224CB55A26}"/>
    <cellStyle name="20% - Accent4 5 5" xfId="26053" xr:uid="{DE8D4A4F-41FE-49C9-AC14-365984B86F9A}"/>
    <cellStyle name="20% - Accent4 5 6" xfId="9167" xr:uid="{96EEB5BD-AD87-4AFA-B81D-A0695B68F30C}"/>
    <cellStyle name="20% - Accent4 6" xfId="1047" xr:uid="{00000000-0005-0000-0000-000072020000}"/>
    <cellStyle name="20% - Accent4 6 2" xfId="3278" xr:uid="{00000000-0005-0000-0000-000073020000}"/>
    <cellStyle name="20% - Accent4 6 2 2" xfId="7501" xr:uid="{00000000-0005-0000-0000-000074020000}"/>
    <cellStyle name="20% - Accent4 6 2 2 2" xfId="24384" xr:uid="{A16AF09D-5F9A-4D6E-834C-CDAAEB50AC71}"/>
    <cellStyle name="20% - Accent4 6 2 2 3" xfId="32830" xr:uid="{AA58D001-D94F-4C9E-AC32-EA777165D8BB}"/>
    <cellStyle name="20% - Accent4 6 2 2 4" xfId="15943" xr:uid="{F66DF616-968C-43E6-83A3-8445210CB7B0}"/>
    <cellStyle name="20% - Accent4 6 2 3" xfId="20166" xr:uid="{ABC71402-029B-4E29-8F99-C4F52400BC4C}"/>
    <cellStyle name="20% - Accent4 6 2 4" xfId="28613" xr:uid="{89029AF3-690E-4392-98CA-FB8E3D09E99A}"/>
    <cellStyle name="20% - Accent4 6 2 5" xfId="11725" xr:uid="{313871AC-5DEE-4726-9959-FE47A7795E1C}"/>
    <cellStyle name="20% - Accent4 6 3" xfId="5356" xr:uid="{00000000-0005-0000-0000-000075020000}"/>
    <cellStyle name="20% - Accent4 6 3 2" xfId="22239" xr:uid="{C97F53D2-6ECF-4B0A-B42D-4188566AEDB8}"/>
    <cellStyle name="20% - Accent4 6 3 3" xfId="30685" xr:uid="{DDA0A73C-4038-4D29-A281-AEBFFAC4980C}"/>
    <cellStyle name="20% - Accent4 6 3 4" xfId="13798" xr:uid="{8679E63E-7D1A-4DE4-BB8B-ED937EF2E6CE}"/>
    <cellStyle name="20% - Accent4 6 4" xfId="18021" xr:uid="{64055A36-E023-4875-9390-2DF2049EB151}"/>
    <cellStyle name="20% - Accent4 6 5" xfId="26466" xr:uid="{68D1F080-FCC4-4506-B89E-8D7261B98846}"/>
    <cellStyle name="20% - Accent4 6 6" xfId="9580" xr:uid="{5FFACA14-CCC2-4567-B0F0-9D3E4C012310}"/>
    <cellStyle name="20% - Accent4 7" xfId="1461" xr:uid="{00000000-0005-0000-0000-000076020000}"/>
    <cellStyle name="20% - Accent4 7 2" xfId="3691" xr:uid="{00000000-0005-0000-0000-000077020000}"/>
    <cellStyle name="20% - Accent4 7 2 2" xfId="7914" xr:uid="{00000000-0005-0000-0000-000078020000}"/>
    <cellStyle name="20% - Accent4 7 2 2 2" xfId="24797" xr:uid="{2704436E-E6D9-4A0A-8F8A-8F6DFF2E3E42}"/>
    <cellStyle name="20% - Accent4 7 2 2 3" xfId="33243" xr:uid="{AF579C66-F3C3-426E-80F5-025E63EDC3D9}"/>
    <cellStyle name="20% - Accent4 7 2 2 4" xfId="16356" xr:uid="{E4CD58B9-B3D6-4754-818A-E492845B96DE}"/>
    <cellStyle name="20% - Accent4 7 2 3" xfId="20579" xr:uid="{448DF4E9-A73A-409B-B394-BB937DF41682}"/>
    <cellStyle name="20% - Accent4 7 2 4" xfId="29026" xr:uid="{6ABD5675-6E48-4A96-A475-6B876652C516}"/>
    <cellStyle name="20% - Accent4 7 2 5" xfId="12138" xr:uid="{9438CE98-7066-478F-839F-0941A1F21B05}"/>
    <cellStyle name="20% - Accent4 7 3" xfId="5769" xr:uid="{00000000-0005-0000-0000-000079020000}"/>
    <cellStyle name="20% - Accent4 7 3 2" xfId="22652" xr:uid="{6FAC597F-C3C7-4A36-A152-4C2557A259A7}"/>
    <cellStyle name="20% - Accent4 7 3 3" xfId="31098" xr:uid="{65F06F97-7769-4201-A077-092EF1F81C8A}"/>
    <cellStyle name="20% - Accent4 7 3 4" xfId="14211" xr:uid="{463258EE-9051-488C-806A-AE0F16D0DF39}"/>
    <cellStyle name="20% - Accent4 7 4" xfId="18434" xr:uid="{FF31DB5D-4695-42A8-B4A9-137BE5BEF4CF}"/>
    <cellStyle name="20% - Accent4 7 5" xfId="26879" xr:uid="{2B109DD1-6971-42B5-950C-968A7C1D9D30}"/>
    <cellStyle name="20% - Accent4 7 6" xfId="9993" xr:uid="{D1F3A645-B53D-4989-B836-4CB3EF41F1FF}"/>
    <cellStyle name="20% - Accent4 8" xfId="1875" xr:uid="{00000000-0005-0000-0000-00007A020000}"/>
    <cellStyle name="20% - Accent4 8 2" xfId="4104" xr:uid="{00000000-0005-0000-0000-00007B020000}"/>
    <cellStyle name="20% - Accent4 8 2 2" xfId="8327" xr:uid="{00000000-0005-0000-0000-00007C020000}"/>
    <cellStyle name="20% - Accent4 8 2 2 2" xfId="25210" xr:uid="{C1DC14EA-70B0-47C9-92CC-48BAF05F8054}"/>
    <cellStyle name="20% - Accent4 8 2 2 3" xfId="33656" xr:uid="{510184F2-73FC-46FF-AC31-9026DB86B113}"/>
    <cellStyle name="20% - Accent4 8 2 2 4" xfId="16769" xr:uid="{44E21643-E599-4DAF-A371-60B65180D294}"/>
    <cellStyle name="20% - Accent4 8 2 3" xfId="20992" xr:uid="{EA99DC8A-FA88-401C-8BC2-F2DE4C8C5367}"/>
    <cellStyle name="20% - Accent4 8 2 4" xfId="29439" xr:uid="{2C621F87-F465-44C0-A43D-21325B8655AF}"/>
    <cellStyle name="20% - Accent4 8 2 5" xfId="12551" xr:uid="{3E7B186B-D333-4E43-8677-838E42F6FD14}"/>
    <cellStyle name="20% - Accent4 8 3" xfId="6182" xr:uid="{00000000-0005-0000-0000-00007D020000}"/>
    <cellStyle name="20% - Accent4 8 3 2" xfId="23065" xr:uid="{0AB8002C-AED3-4519-82E3-D49BA2FD9E37}"/>
    <cellStyle name="20% - Accent4 8 3 3" xfId="31511" xr:uid="{8CB274A3-D63E-4409-8C09-BC9F14177B5A}"/>
    <cellStyle name="20% - Accent4 8 3 4" xfId="14624" xr:uid="{8F89C9DE-55CD-4285-86BE-6DB37CEBC9BB}"/>
    <cellStyle name="20% - Accent4 8 4" xfId="18847" xr:uid="{9F3BFC98-5B1E-4BDB-8D3E-5D1E5CC07DB6}"/>
    <cellStyle name="20% - Accent4 8 5" xfId="27292" xr:uid="{9D15539D-B9FC-4B15-B03A-26EA97338ABD}"/>
    <cellStyle name="20% - Accent4 8 6" xfId="10406" xr:uid="{D9E48868-6203-48E4-B15E-3D7E1B93FC67}"/>
    <cellStyle name="20% - Accent4 9" xfId="2288" xr:uid="{00000000-0005-0000-0000-00007E020000}"/>
    <cellStyle name="20% - Accent4 9 2" xfId="6595" xr:uid="{00000000-0005-0000-0000-00007F020000}"/>
    <cellStyle name="20% - Accent4 9 2 2" xfId="23478" xr:uid="{6463DB6E-4D77-4B48-AE37-55E8A6C38F0F}"/>
    <cellStyle name="20% - Accent4 9 2 3" xfId="31924" xr:uid="{A388B21E-ADF5-4BD0-9D4B-7CF072605C76}"/>
    <cellStyle name="20% - Accent4 9 2 4" xfId="15037" xr:uid="{9BC9D4A2-45AC-4794-986D-CB4890022BB8}"/>
    <cellStyle name="20% - Accent4 9 3" xfId="19260" xr:uid="{A6BAE6A3-E304-4CB8-89D9-799B1E092005}"/>
    <cellStyle name="20% - Accent4 9 4" xfId="27705" xr:uid="{F497233B-6CB3-465A-9667-8248FE6DC1C9}"/>
    <cellStyle name="20% - Accent4 9 5" xfId="10819" xr:uid="{03426EDB-DB28-4584-9739-83DE682392F1}"/>
    <cellStyle name="20% - Accent5" xfId="33" builtinId="46" customBuiltin="1"/>
    <cellStyle name="20% - Accent5 10" xfId="4537" xr:uid="{00000000-0005-0000-0000-000081020000}"/>
    <cellStyle name="20% - Accent5 10 2" xfId="21420" xr:uid="{12998927-1C55-4140-ACB9-5712BB8CDD78}"/>
    <cellStyle name="20% - Accent5 10 3" xfId="29866" xr:uid="{0DF9CA7E-8FD4-4173-9009-75ECD8869707}"/>
    <cellStyle name="20% - Accent5 10 4" xfId="12979" xr:uid="{490BB53E-7D3E-4215-A99E-E0A6F256D291}"/>
    <cellStyle name="20% - Accent5 11" xfId="17202" xr:uid="{440DA70B-6F41-4F06-ACA3-9D06F356E2C7}"/>
    <cellStyle name="20% - Accent5 12" xfId="25644" xr:uid="{9A4F6B8C-A25D-4E96-800F-259EF1F85568}"/>
    <cellStyle name="20% - Accent5 13" xfId="8761" xr:uid="{26B5BF6B-9DCF-46D1-BF57-7FF1B7439828}"/>
    <cellStyle name="20% - Accent5 2" xfId="34" xr:uid="{00000000-0005-0000-0000-000082020000}"/>
    <cellStyle name="20% - Accent5 2 10" xfId="17203" xr:uid="{CBA46E52-AD14-43B1-A595-771FE0794ADA}"/>
    <cellStyle name="20% - Accent5 2 11" xfId="25645" xr:uid="{1047479D-322B-4361-9A6F-5181B0A51ACB}"/>
    <cellStyle name="20% - Accent5 2 12" xfId="8762" xr:uid="{7F25448C-089F-4E24-BE5E-77D45F30C1AB}"/>
    <cellStyle name="20% - Accent5 2 2" xfId="35" xr:uid="{00000000-0005-0000-0000-000083020000}"/>
    <cellStyle name="20% - Accent5 2 2 10" xfId="25646" xr:uid="{0CD6EB76-8C8D-4F73-BA18-51EFDA7277FE}"/>
    <cellStyle name="20% - Accent5 2 2 11" xfId="8763" xr:uid="{85E1E5F0-F771-4276-94ED-A3C943E50CB9}"/>
    <cellStyle name="20% - Accent5 2 2 2" xfId="36" xr:uid="{00000000-0005-0000-0000-000084020000}"/>
    <cellStyle name="20% - Accent5 2 2 2 10" xfId="8764" xr:uid="{7AC8AB37-47EA-4D66-9429-7EDCE89BF3CF}"/>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23982" xr:uid="{AF0B5CA3-6917-4948-A7E8-FFDE890F8339}"/>
    <cellStyle name="20% - Accent5 2 2 2 2 2 2 3" xfId="32428" xr:uid="{2702F676-6092-4C73-89F2-3C058F8D304C}"/>
    <cellStyle name="20% - Accent5 2 2 2 2 2 2 4" xfId="15541" xr:uid="{B8D1D76A-FADA-4DFF-95FE-90E89CAD3733}"/>
    <cellStyle name="20% - Accent5 2 2 2 2 2 3" xfId="19764" xr:uid="{ED206079-FC9F-4740-864A-CC02C8FE941A}"/>
    <cellStyle name="20% - Accent5 2 2 2 2 2 4" xfId="28211" xr:uid="{D788CDAA-AC5E-4C2C-9FF6-2F3571992C26}"/>
    <cellStyle name="20% - Accent5 2 2 2 2 2 5" xfId="11323" xr:uid="{01A8E156-E088-4EAF-95BC-7C4DEC9102C0}"/>
    <cellStyle name="20% - Accent5 2 2 2 2 3" xfId="4954" xr:uid="{00000000-0005-0000-0000-000088020000}"/>
    <cellStyle name="20% - Accent5 2 2 2 2 3 2" xfId="21837" xr:uid="{A3B899F8-4C1B-4B1F-9AD5-8B4EF00626DA}"/>
    <cellStyle name="20% - Accent5 2 2 2 2 3 3" xfId="30283" xr:uid="{D8897F60-6C5B-44CB-83BB-B41896FFB156}"/>
    <cellStyle name="20% - Accent5 2 2 2 2 3 4" xfId="13396" xr:uid="{D724D1B6-26E5-4C3E-A330-4CFDE91A552C}"/>
    <cellStyle name="20% - Accent5 2 2 2 2 4" xfId="17619" xr:uid="{C7331690-B2BA-418A-AAD2-0AAA6858AFAB}"/>
    <cellStyle name="20% - Accent5 2 2 2 2 5" xfId="26064" xr:uid="{F6161E9F-7836-42B4-8388-48D815315DEA}"/>
    <cellStyle name="20% - Accent5 2 2 2 2 6" xfId="9178" xr:uid="{5D4FA7DA-858F-4253-93F1-4FAB4AB2D009}"/>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24395" xr:uid="{AA271E0B-802B-4332-8841-1F26FB2FF304}"/>
    <cellStyle name="20% - Accent5 2 2 2 3 2 2 3" xfId="32841" xr:uid="{3A4D3372-7C70-42EF-B4CA-1A3918434E18}"/>
    <cellStyle name="20% - Accent5 2 2 2 3 2 2 4" xfId="15954" xr:uid="{D0753084-10AD-4072-9C8E-0338DD76E5C1}"/>
    <cellStyle name="20% - Accent5 2 2 2 3 2 3" xfId="20177" xr:uid="{70BA1FF7-34B6-429D-A352-50B15DE649D4}"/>
    <cellStyle name="20% - Accent5 2 2 2 3 2 4" xfId="28624" xr:uid="{430C8391-7EDE-48BC-823C-530F27E2DE3C}"/>
    <cellStyle name="20% - Accent5 2 2 2 3 2 5" xfId="11736" xr:uid="{A85FC6AF-89F2-492A-87D4-46B61BB19297}"/>
    <cellStyle name="20% - Accent5 2 2 2 3 3" xfId="5367" xr:uid="{00000000-0005-0000-0000-00008C020000}"/>
    <cellStyle name="20% - Accent5 2 2 2 3 3 2" xfId="22250" xr:uid="{7A4E57F3-F62F-4745-B69B-A0262EF04A8D}"/>
    <cellStyle name="20% - Accent5 2 2 2 3 3 3" xfId="30696" xr:uid="{976DEAF3-343D-4166-9B8E-EC3A11AB4CE4}"/>
    <cellStyle name="20% - Accent5 2 2 2 3 3 4" xfId="13809" xr:uid="{8D304163-0AF2-4C66-826F-C7C89839DAE9}"/>
    <cellStyle name="20% - Accent5 2 2 2 3 4" xfId="18032" xr:uid="{E3FC059C-5964-43BE-88D3-B9696CBBD37E}"/>
    <cellStyle name="20% - Accent5 2 2 2 3 5" xfId="26477" xr:uid="{D189E37E-5F67-4FBA-A2A0-2EE1E68C09AC}"/>
    <cellStyle name="20% - Accent5 2 2 2 3 6" xfId="9591" xr:uid="{C146D814-B3A5-41E7-9E4D-6EA0D7980C42}"/>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24808" xr:uid="{708AF4BC-16CC-44F5-951D-CAF49799492D}"/>
    <cellStyle name="20% - Accent5 2 2 2 4 2 2 3" xfId="33254" xr:uid="{F7D387F7-C87E-493B-B768-9C34B942D896}"/>
    <cellStyle name="20% - Accent5 2 2 2 4 2 2 4" xfId="16367" xr:uid="{6B547C1C-41FD-4940-A2B4-7F771AEAAA6C}"/>
    <cellStyle name="20% - Accent5 2 2 2 4 2 3" xfId="20590" xr:uid="{B76A17D9-35B9-4EED-BBA4-07F3846F6F20}"/>
    <cellStyle name="20% - Accent5 2 2 2 4 2 4" xfId="29037" xr:uid="{923E3C7E-D097-47EC-8524-26DBF0CBE843}"/>
    <cellStyle name="20% - Accent5 2 2 2 4 2 5" xfId="12149" xr:uid="{00F97938-D768-4336-B5D4-AF4ED3CF4C8A}"/>
    <cellStyle name="20% - Accent5 2 2 2 4 3" xfId="5780" xr:uid="{00000000-0005-0000-0000-000090020000}"/>
    <cellStyle name="20% - Accent5 2 2 2 4 3 2" xfId="22663" xr:uid="{89C3B60B-1000-49E6-B007-8580E149E764}"/>
    <cellStyle name="20% - Accent5 2 2 2 4 3 3" xfId="31109" xr:uid="{42359C32-C4D6-43C4-82A7-A81DD9A76045}"/>
    <cellStyle name="20% - Accent5 2 2 2 4 3 4" xfId="14222" xr:uid="{441C8732-9C67-4AB0-96E0-5CD40B4D3C45}"/>
    <cellStyle name="20% - Accent5 2 2 2 4 4" xfId="18445" xr:uid="{00C81911-C944-4CA4-B801-AF6B26E23A6A}"/>
    <cellStyle name="20% - Accent5 2 2 2 4 5" xfId="26890" xr:uid="{0BBE8019-3BCB-4D6A-8284-CD54FAD6FBB8}"/>
    <cellStyle name="20% - Accent5 2 2 2 4 6" xfId="10004" xr:uid="{290A3630-0ECB-44A0-B2CF-C9AFF8699A92}"/>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25221" xr:uid="{5632DD57-F6F0-4F6C-BA7D-E740036AE1FF}"/>
    <cellStyle name="20% - Accent5 2 2 2 5 2 2 3" xfId="33667" xr:uid="{F12D87A7-F498-449E-93B4-079491843633}"/>
    <cellStyle name="20% - Accent5 2 2 2 5 2 2 4" xfId="16780" xr:uid="{B60480EB-2219-4028-8DEC-8F8E27B0310A}"/>
    <cellStyle name="20% - Accent5 2 2 2 5 2 3" xfId="21003" xr:uid="{5FEC80EC-E3F5-448B-8CD7-EA724A5AADC1}"/>
    <cellStyle name="20% - Accent5 2 2 2 5 2 4" xfId="29450" xr:uid="{03D8C801-DC17-4EE4-AEC0-42631BC1B603}"/>
    <cellStyle name="20% - Accent5 2 2 2 5 2 5" xfId="12562" xr:uid="{B434CB5E-5E94-4AE2-8C81-E4ABD8506534}"/>
    <cellStyle name="20% - Accent5 2 2 2 5 3" xfId="6193" xr:uid="{00000000-0005-0000-0000-000094020000}"/>
    <cellStyle name="20% - Accent5 2 2 2 5 3 2" xfId="23076" xr:uid="{20351901-3272-4A61-864B-586B56941BD5}"/>
    <cellStyle name="20% - Accent5 2 2 2 5 3 3" xfId="31522" xr:uid="{767B5C85-A3AC-45DD-8A03-1BC1F89AB5A6}"/>
    <cellStyle name="20% - Accent5 2 2 2 5 3 4" xfId="14635" xr:uid="{8C35242A-DC22-405D-99FE-F89A473DE31F}"/>
    <cellStyle name="20% - Accent5 2 2 2 5 4" xfId="18858" xr:uid="{DFA01222-E89B-48FD-B042-5D93E9733617}"/>
    <cellStyle name="20% - Accent5 2 2 2 5 5" xfId="27303" xr:uid="{A0545C61-B219-42BF-95EC-04C5FB8706C5}"/>
    <cellStyle name="20% - Accent5 2 2 2 5 6" xfId="10417" xr:uid="{D6BD7CEC-0747-497A-893B-709D49580710}"/>
    <cellStyle name="20% - Accent5 2 2 2 6" xfId="2299" xr:uid="{00000000-0005-0000-0000-000095020000}"/>
    <cellStyle name="20% - Accent5 2 2 2 6 2" xfId="6606" xr:uid="{00000000-0005-0000-0000-000096020000}"/>
    <cellStyle name="20% - Accent5 2 2 2 6 2 2" xfId="23489" xr:uid="{A43D7FB8-9652-45FC-9184-05B86FAD1A86}"/>
    <cellStyle name="20% - Accent5 2 2 2 6 2 3" xfId="31935" xr:uid="{11397665-C31E-424C-9A13-B8AE2AA5F274}"/>
    <cellStyle name="20% - Accent5 2 2 2 6 2 4" xfId="15048" xr:uid="{CC6A3F27-5EA3-4425-A36C-9C1F841E71A8}"/>
    <cellStyle name="20% - Accent5 2 2 2 6 3" xfId="19271" xr:uid="{CD21B12A-9E22-4D81-8561-ED2DB3C4C5F6}"/>
    <cellStyle name="20% - Accent5 2 2 2 6 4" xfId="27716" xr:uid="{9D078362-A833-471C-9F35-7865593A38BA}"/>
    <cellStyle name="20% - Accent5 2 2 2 6 5" xfId="10830" xr:uid="{C573D5B9-B106-4D3A-B2E3-CD9C77F711EB}"/>
    <cellStyle name="20% - Accent5 2 2 2 7" xfId="4540" xr:uid="{00000000-0005-0000-0000-000097020000}"/>
    <cellStyle name="20% - Accent5 2 2 2 7 2" xfId="21423" xr:uid="{CE4C1F36-FA97-4FFB-8CC6-1293ED4E9A63}"/>
    <cellStyle name="20% - Accent5 2 2 2 7 3" xfId="29869" xr:uid="{B1F41836-470A-4156-BE2E-DE55FCDF8753}"/>
    <cellStyle name="20% - Accent5 2 2 2 7 4" xfId="12982" xr:uid="{D580F152-8235-4129-8BCC-1C2DF886678F}"/>
    <cellStyle name="20% - Accent5 2 2 2 8" xfId="17205" xr:uid="{1FF3197E-3B88-4EE5-9FCC-185EF2665816}"/>
    <cellStyle name="20% - Accent5 2 2 2 9" xfId="25647" xr:uid="{A8807ABA-8523-4667-9ED8-84A486C23DC6}"/>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23981" xr:uid="{E99E50B5-41CE-412A-BD2F-59ED3EA349AD}"/>
    <cellStyle name="20% - Accent5 2 2 3 2 2 3" xfId="32427" xr:uid="{D3D5E762-5FBC-47A6-BCCF-9634BBB3E0C1}"/>
    <cellStyle name="20% - Accent5 2 2 3 2 2 4" xfId="15540" xr:uid="{A0C3D29C-82C9-4C87-B1A1-74F7E9F0DD36}"/>
    <cellStyle name="20% - Accent5 2 2 3 2 3" xfId="19763" xr:uid="{8EBA6396-55D4-4C9B-9D94-D2BA6D71B35C}"/>
    <cellStyle name="20% - Accent5 2 2 3 2 4" xfId="28210" xr:uid="{CDE589CF-4023-4109-A95A-739CD0CDF58D}"/>
    <cellStyle name="20% - Accent5 2 2 3 2 5" xfId="11322" xr:uid="{14831FC8-BE1E-4DB0-A567-790728531A83}"/>
    <cellStyle name="20% - Accent5 2 2 3 3" xfId="4953" xr:uid="{00000000-0005-0000-0000-00009B020000}"/>
    <cellStyle name="20% - Accent5 2 2 3 3 2" xfId="21836" xr:uid="{0EFBEB82-5D1F-42D4-8521-647E3038EC65}"/>
    <cellStyle name="20% - Accent5 2 2 3 3 3" xfId="30282" xr:uid="{371C7A3B-3A2A-4D4F-9839-4F7072FBFFBF}"/>
    <cellStyle name="20% - Accent5 2 2 3 3 4" xfId="13395" xr:uid="{A3DDEBEE-1420-47FD-BB9A-2EF0C9AD7A05}"/>
    <cellStyle name="20% - Accent5 2 2 3 4" xfId="17618" xr:uid="{E02AA0F4-09C3-44F1-93A5-2C37D3EF531A}"/>
    <cellStyle name="20% - Accent5 2 2 3 5" xfId="26063" xr:uid="{B22017D0-7E17-4D69-8A15-B97D3BC8FC1D}"/>
    <cellStyle name="20% - Accent5 2 2 3 6" xfId="9177" xr:uid="{2A382252-84CE-4357-B480-94E4D3BD22F8}"/>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24394" xr:uid="{5EB7CFF7-7037-47E9-B665-ACDB460FF0C2}"/>
    <cellStyle name="20% - Accent5 2 2 4 2 2 3" xfId="32840" xr:uid="{CD28D8E8-5DAD-4246-9B93-6C206EFE5BCB}"/>
    <cellStyle name="20% - Accent5 2 2 4 2 2 4" xfId="15953" xr:uid="{475ADEFB-CFF3-4D85-AE73-9B85D482570A}"/>
    <cellStyle name="20% - Accent5 2 2 4 2 3" xfId="20176" xr:uid="{45692CA0-DC78-4DC1-B0E1-2A3E5B85D922}"/>
    <cellStyle name="20% - Accent5 2 2 4 2 4" xfId="28623" xr:uid="{37425EF7-FE4C-46E7-8630-E74EFE3E832D}"/>
    <cellStyle name="20% - Accent5 2 2 4 2 5" xfId="11735" xr:uid="{79E97353-8CC7-4B44-8258-CBC638EAF7F8}"/>
    <cellStyle name="20% - Accent5 2 2 4 3" xfId="5366" xr:uid="{00000000-0005-0000-0000-00009F020000}"/>
    <cellStyle name="20% - Accent5 2 2 4 3 2" xfId="22249" xr:uid="{76B7C4A4-32BC-4CB6-9980-64DA4D86FF29}"/>
    <cellStyle name="20% - Accent5 2 2 4 3 3" xfId="30695" xr:uid="{624E21AE-CA2A-40AE-9A76-1A0283266196}"/>
    <cellStyle name="20% - Accent5 2 2 4 3 4" xfId="13808" xr:uid="{D9353119-C9EB-42A7-AA9A-9A24F353437F}"/>
    <cellStyle name="20% - Accent5 2 2 4 4" xfId="18031" xr:uid="{9E546DF9-FDE8-44CD-B0A9-F9715DEFDD0A}"/>
    <cellStyle name="20% - Accent5 2 2 4 5" xfId="26476" xr:uid="{EA2CD878-9B3F-46D4-B099-7CAF116B9918}"/>
    <cellStyle name="20% - Accent5 2 2 4 6" xfId="9590" xr:uid="{041EDB15-63D1-4176-A268-EA106CD78858}"/>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24807" xr:uid="{4293F818-E29E-4170-9DFE-254EF1B50E7D}"/>
    <cellStyle name="20% - Accent5 2 2 5 2 2 3" xfId="33253" xr:uid="{3BC78737-0C7F-47A5-9C34-AA5464A0F35D}"/>
    <cellStyle name="20% - Accent5 2 2 5 2 2 4" xfId="16366" xr:uid="{BD207C50-4724-4811-8719-E67ECC8E04A0}"/>
    <cellStyle name="20% - Accent5 2 2 5 2 3" xfId="20589" xr:uid="{2B1FB01E-68CF-4FC7-BCC3-826B881081BA}"/>
    <cellStyle name="20% - Accent5 2 2 5 2 4" xfId="29036" xr:uid="{DD01DF37-CC3C-4B0B-8BF0-DC63B71DCA80}"/>
    <cellStyle name="20% - Accent5 2 2 5 2 5" xfId="12148" xr:uid="{DDCFA326-508C-4CD7-AA39-73B57DE0E52A}"/>
    <cellStyle name="20% - Accent5 2 2 5 3" xfId="5779" xr:uid="{00000000-0005-0000-0000-0000A3020000}"/>
    <cellStyle name="20% - Accent5 2 2 5 3 2" xfId="22662" xr:uid="{9F63D967-0705-49C4-A608-A0AA038BCE33}"/>
    <cellStyle name="20% - Accent5 2 2 5 3 3" xfId="31108" xr:uid="{6A4D5E20-CA54-4A87-AE55-DB213E91A058}"/>
    <cellStyle name="20% - Accent5 2 2 5 3 4" xfId="14221" xr:uid="{728EFC20-32B3-45E8-A749-DDE4AA984128}"/>
    <cellStyle name="20% - Accent5 2 2 5 4" xfId="18444" xr:uid="{CC53496D-848F-4129-9F3C-F7E34078CF4F}"/>
    <cellStyle name="20% - Accent5 2 2 5 5" xfId="26889" xr:uid="{1267A621-E37F-4199-8768-58AE669EDB3A}"/>
    <cellStyle name="20% - Accent5 2 2 5 6" xfId="10003" xr:uid="{9CC6F456-5D11-4BF3-82AE-4A896933228A}"/>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25220" xr:uid="{508A779B-4461-4DA4-BD67-8C07B1598566}"/>
    <cellStyle name="20% - Accent5 2 2 6 2 2 3" xfId="33666" xr:uid="{A2D9B5A1-D42E-4725-A602-48E80410AFAF}"/>
    <cellStyle name="20% - Accent5 2 2 6 2 2 4" xfId="16779" xr:uid="{E716D31F-AF97-4E6A-B4AF-7EA03D7DE2E5}"/>
    <cellStyle name="20% - Accent5 2 2 6 2 3" xfId="21002" xr:uid="{796DD92A-41E3-4123-9C14-0050A9EA74B1}"/>
    <cellStyle name="20% - Accent5 2 2 6 2 4" xfId="29449" xr:uid="{F96E4A3E-C159-4D1E-84F0-40396A11E586}"/>
    <cellStyle name="20% - Accent5 2 2 6 2 5" xfId="12561" xr:uid="{B2A6FFA8-F538-4FE1-BC5C-1F5BA4793156}"/>
    <cellStyle name="20% - Accent5 2 2 6 3" xfId="6192" xr:uid="{00000000-0005-0000-0000-0000A7020000}"/>
    <cellStyle name="20% - Accent5 2 2 6 3 2" xfId="23075" xr:uid="{267EDCB3-1409-4337-9C20-925557F826AE}"/>
    <cellStyle name="20% - Accent5 2 2 6 3 3" xfId="31521" xr:uid="{7D507E7F-104B-4E48-957C-7B9E9821F1FD}"/>
    <cellStyle name="20% - Accent5 2 2 6 3 4" xfId="14634" xr:uid="{7A8D0DBD-A0E8-442E-8C8D-49AB8BA2F657}"/>
    <cellStyle name="20% - Accent5 2 2 6 4" xfId="18857" xr:uid="{4EC8CD08-183B-44FD-A316-9AD2DA6B776C}"/>
    <cellStyle name="20% - Accent5 2 2 6 5" xfId="27302" xr:uid="{D017855A-18C8-4F99-BE23-8DCA5691E7F9}"/>
    <cellStyle name="20% - Accent5 2 2 6 6" xfId="10416" xr:uid="{BDD410BB-049D-4FE6-9B38-13C81B4EBF90}"/>
    <cellStyle name="20% - Accent5 2 2 7" xfId="2298" xr:uid="{00000000-0005-0000-0000-0000A8020000}"/>
    <cellStyle name="20% - Accent5 2 2 7 2" xfId="6605" xr:uid="{00000000-0005-0000-0000-0000A9020000}"/>
    <cellStyle name="20% - Accent5 2 2 7 2 2" xfId="23488" xr:uid="{B44ADDAB-ABE0-4248-835D-6962D74DAB03}"/>
    <cellStyle name="20% - Accent5 2 2 7 2 3" xfId="31934" xr:uid="{1935CDA3-CD6A-4744-BDAD-01AFB186CB43}"/>
    <cellStyle name="20% - Accent5 2 2 7 2 4" xfId="15047" xr:uid="{2FFF660A-A0CA-4A57-B6CE-40191B90BDA8}"/>
    <cellStyle name="20% - Accent5 2 2 7 3" xfId="19270" xr:uid="{463607C0-BC1E-43F1-822E-672B1ECB27A6}"/>
    <cellStyle name="20% - Accent5 2 2 7 4" xfId="27715" xr:uid="{BD771C1C-FF5A-4B8F-B8F7-EDCC76AF0D57}"/>
    <cellStyle name="20% - Accent5 2 2 7 5" xfId="10829" xr:uid="{FA50F21A-80D2-4C62-8CA1-A34AF46C772E}"/>
    <cellStyle name="20% - Accent5 2 2 8" xfId="4539" xr:uid="{00000000-0005-0000-0000-0000AA020000}"/>
    <cellStyle name="20% - Accent5 2 2 8 2" xfId="21422" xr:uid="{5F39EDCC-8721-4D12-8542-B32E8833AA71}"/>
    <cellStyle name="20% - Accent5 2 2 8 3" xfId="29868" xr:uid="{24F5CC5A-68D1-46C1-A25D-C8CF66B78C79}"/>
    <cellStyle name="20% - Accent5 2 2 8 4" xfId="12981" xr:uid="{891C7E92-F2ED-480D-9145-CE67FDCAEA4F}"/>
    <cellStyle name="20% - Accent5 2 2 9" xfId="17204" xr:uid="{E7DE70F4-6039-4F22-80CD-A05C8F9216DE}"/>
    <cellStyle name="20% - Accent5 2 3" xfId="37" xr:uid="{00000000-0005-0000-0000-0000AB020000}"/>
    <cellStyle name="20% - Accent5 2 3 10" xfId="8765" xr:uid="{4612A172-6B99-46BF-A3C1-76651121FE2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23983" xr:uid="{853352A2-690F-428F-999B-C9ADA3EB0206}"/>
    <cellStyle name="20% - Accent5 2 3 2 2 2 3" xfId="32429" xr:uid="{9BE33434-F881-4A5B-8BDA-956D9DAF0F1B}"/>
    <cellStyle name="20% - Accent5 2 3 2 2 2 4" xfId="15542" xr:uid="{7B845738-28F0-46B9-9A98-15E508032936}"/>
    <cellStyle name="20% - Accent5 2 3 2 2 3" xfId="19765" xr:uid="{A1DB09FE-4A28-49B3-99D1-1AB739F4936D}"/>
    <cellStyle name="20% - Accent5 2 3 2 2 4" xfId="28212" xr:uid="{5CE8BB0F-7364-4D6D-99F5-D62F17DEC8BE}"/>
    <cellStyle name="20% - Accent5 2 3 2 2 5" xfId="11324" xr:uid="{31A157CE-6D53-4164-80AA-1D4417BD27B6}"/>
    <cellStyle name="20% - Accent5 2 3 2 3" xfId="4955" xr:uid="{00000000-0005-0000-0000-0000AF020000}"/>
    <cellStyle name="20% - Accent5 2 3 2 3 2" xfId="21838" xr:uid="{969AA1A5-5A5D-4A57-9190-F60EB7836293}"/>
    <cellStyle name="20% - Accent5 2 3 2 3 3" xfId="30284" xr:uid="{B743CD9D-FD53-407B-8B35-27C2C3F63227}"/>
    <cellStyle name="20% - Accent5 2 3 2 3 4" xfId="13397" xr:uid="{00BF6F0F-74F0-49B5-851D-B66CDABEA663}"/>
    <cellStyle name="20% - Accent5 2 3 2 4" xfId="17620" xr:uid="{930417CA-EB2E-47B9-9108-7C2D2DA69ED5}"/>
    <cellStyle name="20% - Accent5 2 3 2 5" xfId="26065" xr:uid="{112E19D2-39BB-46FA-8A3C-B2E398E5034D}"/>
    <cellStyle name="20% - Accent5 2 3 2 6" xfId="9179" xr:uid="{A5B4716F-C5F2-4195-9726-34AEB4D1B259}"/>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24396" xr:uid="{674F2459-1886-4ED3-AA74-2F07C0275C7E}"/>
    <cellStyle name="20% - Accent5 2 3 3 2 2 3" xfId="32842" xr:uid="{791BDD83-719F-4465-A90F-38A31CF6AC5E}"/>
    <cellStyle name="20% - Accent5 2 3 3 2 2 4" xfId="15955" xr:uid="{E72FB43B-7BD5-4294-AA63-7153AF1C1385}"/>
    <cellStyle name="20% - Accent5 2 3 3 2 3" xfId="20178" xr:uid="{53567C4B-5918-4468-9F79-AD4906475A5C}"/>
    <cellStyle name="20% - Accent5 2 3 3 2 4" xfId="28625" xr:uid="{F14D21DB-893E-4314-87E5-6B271134AB1E}"/>
    <cellStyle name="20% - Accent5 2 3 3 2 5" xfId="11737" xr:uid="{A863D257-9C5C-4244-A60B-6237DEF8E5C9}"/>
    <cellStyle name="20% - Accent5 2 3 3 3" xfId="5368" xr:uid="{00000000-0005-0000-0000-0000B3020000}"/>
    <cellStyle name="20% - Accent5 2 3 3 3 2" xfId="22251" xr:uid="{781D2144-C196-4ACA-B8B7-49DE23D1FEB0}"/>
    <cellStyle name="20% - Accent5 2 3 3 3 3" xfId="30697" xr:uid="{61F7E595-B5C6-4C36-8B42-154EACD447D4}"/>
    <cellStyle name="20% - Accent5 2 3 3 3 4" xfId="13810" xr:uid="{057AA2E8-61C6-46D0-835A-D688B546F33B}"/>
    <cellStyle name="20% - Accent5 2 3 3 4" xfId="18033" xr:uid="{0B450285-82C7-476D-826F-EE3E59580510}"/>
    <cellStyle name="20% - Accent5 2 3 3 5" xfId="26478" xr:uid="{82570580-7EBB-4202-8D97-E2782BF7C381}"/>
    <cellStyle name="20% - Accent5 2 3 3 6" xfId="9592" xr:uid="{6903B559-CB60-4C19-8B39-423502916D60}"/>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24809" xr:uid="{4DE9A683-51C7-4B8F-B2DB-3FB83F34E881}"/>
    <cellStyle name="20% - Accent5 2 3 4 2 2 3" xfId="33255" xr:uid="{2C76ADEC-9995-4DE3-B905-6FF31E6FE999}"/>
    <cellStyle name="20% - Accent5 2 3 4 2 2 4" xfId="16368" xr:uid="{79501F97-F6F8-4D65-AA28-AFEAAEEB258E}"/>
    <cellStyle name="20% - Accent5 2 3 4 2 3" xfId="20591" xr:uid="{CDCD76F8-77FF-4087-99F5-153AD52A693C}"/>
    <cellStyle name="20% - Accent5 2 3 4 2 4" xfId="29038" xr:uid="{BA2C6581-B5CF-446C-9FC6-1FF4EE58F1F5}"/>
    <cellStyle name="20% - Accent5 2 3 4 2 5" xfId="12150" xr:uid="{51EBCE5E-E57D-42AC-9376-96FBF4A61AF3}"/>
    <cellStyle name="20% - Accent5 2 3 4 3" xfId="5781" xr:uid="{00000000-0005-0000-0000-0000B7020000}"/>
    <cellStyle name="20% - Accent5 2 3 4 3 2" xfId="22664" xr:uid="{8E0652B5-FEA3-424F-B43C-0CC73588A330}"/>
    <cellStyle name="20% - Accent5 2 3 4 3 3" xfId="31110" xr:uid="{08FA7970-FB36-4257-BDEA-7D5B75FFE65B}"/>
    <cellStyle name="20% - Accent5 2 3 4 3 4" xfId="14223" xr:uid="{C67AA6D3-58EE-40C7-96A4-637633E289BB}"/>
    <cellStyle name="20% - Accent5 2 3 4 4" xfId="18446" xr:uid="{A73B7119-4550-4286-9260-C6F567364DB1}"/>
    <cellStyle name="20% - Accent5 2 3 4 5" xfId="26891" xr:uid="{E4D4DDFC-B51F-44C9-9E77-D0DAE8503FBF}"/>
    <cellStyle name="20% - Accent5 2 3 4 6" xfId="10005" xr:uid="{2B03561A-D392-41A7-9A01-DC678CBFD903}"/>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25222" xr:uid="{6AB5C185-DA41-40ED-97C5-0451EE51EFAA}"/>
    <cellStyle name="20% - Accent5 2 3 5 2 2 3" xfId="33668" xr:uid="{FF82AE64-7E0C-4532-AFBA-7B6AD9AF49FB}"/>
    <cellStyle name="20% - Accent5 2 3 5 2 2 4" xfId="16781" xr:uid="{BB60573B-FE17-4285-93D3-D87C8958F56E}"/>
    <cellStyle name="20% - Accent5 2 3 5 2 3" xfId="21004" xr:uid="{03ED54E2-D9C6-48C0-8E30-9C743D21FD14}"/>
    <cellStyle name="20% - Accent5 2 3 5 2 4" xfId="29451" xr:uid="{BE80A4E9-0948-4B92-970A-E671EFD2FCC0}"/>
    <cellStyle name="20% - Accent5 2 3 5 2 5" xfId="12563" xr:uid="{E5A656D5-7B87-4272-B47B-F4E98D6B1E1F}"/>
    <cellStyle name="20% - Accent5 2 3 5 3" xfId="6194" xr:uid="{00000000-0005-0000-0000-0000BB020000}"/>
    <cellStyle name="20% - Accent5 2 3 5 3 2" xfId="23077" xr:uid="{D0C04AF8-B3F7-4E01-80DF-4FFC1CD614BB}"/>
    <cellStyle name="20% - Accent5 2 3 5 3 3" xfId="31523" xr:uid="{51E31495-ADFE-4567-9E57-79D42FDE7FBA}"/>
    <cellStyle name="20% - Accent5 2 3 5 3 4" xfId="14636" xr:uid="{E98D8F24-57E4-4A94-AF10-4DD9A8FF2F63}"/>
    <cellStyle name="20% - Accent5 2 3 5 4" xfId="18859" xr:uid="{16524315-178A-477A-BA0A-35E96427BBC1}"/>
    <cellStyle name="20% - Accent5 2 3 5 5" xfId="27304" xr:uid="{0B581375-63CA-42D8-AF9F-786E07ACDE6A}"/>
    <cellStyle name="20% - Accent5 2 3 5 6" xfId="10418" xr:uid="{7E7D9508-BCB6-44FE-AC9E-6F2453D2779C}"/>
    <cellStyle name="20% - Accent5 2 3 6" xfId="2300" xr:uid="{00000000-0005-0000-0000-0000BC020000}"/>
    <cellStyle name="20% - Accent5 2 3 6 2" xfId="6607" xr:uid="{00000000-0005-0000-0000-0000BD020000}"/>
    <cellStyle name="20% - Accent5 2 3 6 2 2" xfId="23490" xr:uid="{6DBE20C2-F61D-4EE2-A6FE-217DE245E139}"/>
    <cellStyle name="20% - Accent5 2 3 6 2 3" xfId="31936" xr:uid="{CD2AF04B-570B-430F-BE27-D4EFEE1E3E83}"/>
    <cellStyle name="20% - Accent5 2 3 6 2 4" xfId="15049" xr:uid="{E1DCA61A-0A31-4F1D-A5A7-D528E12B4AA5}"/>
    <cellStyle name="20% - Accent5 2 3 6 3" xfId="19272" xr:uid="{64A95745-A991-49D7-B890-2C016529BE8B}"/>
    <cellStyle name="20% - Accent5 2 3 6 4" xfId="27717" xr:uid="{AEB247F2-AAA2-4146-9E1E-26F11A560D40}"/>
    <cellStyle name="20% - Accent5 2 3 6 5" xfId="10831" xr:uid="{32FA0D54-81F9-49B8-A5EB-CA87B14F7397}"/>
    <cellStyle name="20% - Accent5 2 3 7" xfId="4541" xr:uid="{00000000-0005-0000-0000-0000BE020000}"/>
    <cellStyle name="20% - Accent5 2 3 7 2" xfId="21424" xr:uid="{088F4F35-3181-4CA1-970F-559077C1CEA3}"/>
    <cellStyle name="20% - Accent5 2 3 7 3" xfId="29870" xr:uid="{E4F69234-A6E5-4185-A303-9ABE13D45AA0}"/>
    <cellStyle name="20% - Accent5 2 3 7 4" xfId="12983" xr:uid="{C9BADF42-9905-4DAD-B3E7-DD7F2BB57C43}"/>
    <cellStyle name="20% - Accent5 2 3 8" xfId="17206" xr:uid="{F148C7FA-B82F-4ADA-B912-5E12D257F310}"/>
    <cellStyle name="20% - Accent5 2 3 9" xfId="25648" xr:uid="{E349A01D-8018-4A69-978E-7CE675D7D85F}"/>
    <cellStyle name="20% - Accent5 2 4" xfId="603" xr:uid="{00000000-0005-0000-0000-0000BF020000}"/>
    <cellStyle name="20% - Accent5 2 4 2" xfId="2874" xr:uid="{00000000-0005-0000-0000-0000C0020000}"/>
    <cellStyle name="20% - Accent5 2 4 2 2" xfId="7097" xr:uid="{00000000-0005-0000-0000-0000C1020000}"/>
    <cellStyle name="20% - Accent5 2 4 2 2 2" xfId="23980" xr:uid="{DDF45A7B-82D1-4ED2-B9B2-81BD8624104F}"/>
    <cellStyle name="20% - Accent5 2 4 2 2 3" xfId="32426" xr:uid="{289FAE56-1DA2-428A-834B-4CB009C40CB0}"/>
    <cellStyle name="20% - Accent5 2 4 2 2 4" xfId="15539" xr:uid="{F94FAB14-23DF-4B70-A473-D64EBB76EF6C}"/>
    <cellStyle name="20% - Accent5 2 4 2 3" xfId="19762" xr:uid="{88AA8CE4-89DC-4C94-8EEE-204E1DFF0D09}"/>
    <cellStyle name="20% - Accent5 2 4 2 4" xfId="28209" xr:uid="{D8D4D56E-5106-4476-A137-DF99F6964AA7}"/>
    <cellStyle name="20% - Accent5 2 4 2 5" xfId="11321" xr:uid="{4D150FA3-45A9-426D-8E61-F02DCA815F63}"/>
    <cellStyle name="20% - Accent5 2 4 3" xfId="4952" xr:uid="{00000000-0005-0000-0000-0000C2020000}"/>
    <cellStyle name="20% - Accent5 2 4 3 2" xfId="21835" xr:uid="{FEAA959F-CDD5-4498-AE5F-54F7169A1DA8}"/>
    <cellStyle name="20% - Accent5 2 4 3 3" xfId="30281" xr:uid="{5C09065B-BA78-4A61-AE43-A2BF73238992}"/>
    <cellStyle name="20% - Accent5 2 4 3 4" xfId="13394" xr:uid="{DFBE2FE3-DA97-4CA1-8B7C-9D527223DE77}"/>
    <cellStyle name="20% - Accent5 2 4 4" xfId="17617" xr:uid="{0780D694-300C-4001-9E33-FBF6B064657F}"/>
    <cellStyle name="20% - Accent5 2 4 5" xfId="26062" xr:uid="{8255FB75-ACB6-430E-BF84-604965BB4206}"/>
    <cellStyle name="20% - Accent5 2 4 6" xfId="9176" xr:uid="{DF0CA312-0970-48E6-B0F4-BB34F18C2AFD}"/>
    <cellStyle name="20% - Accent5 2 5" xfId="1056" xr:uid="{00000000-0005-0000-0000-0000C3020000}"/>
    <cellStyle name="20% - Accent5 2 5 2" xfId="3287" xr:uid="{00000000-0005-0000-0000-0000C4020000}"/>
    <cellStyle name="20% - Accent5 2 5 2 2" xfId="7510" xr:uid="{00000000-0005-0000-0000-0000C5020000}"/>
    <cellStyle name="20% - Accent5 2 5 2 2 2" xfId="24393" xr:uid="{44D3CD8C-E238-43B3-A725-A8A74D2C4E66}"/>
    <cellStyle name="20% - Accent5 2 5 2 2 3" xfId="32839" xr:uid="{B53B20A8-D37B-4FAC-B213-B9685A20BCDD}"/>
    <cellStyle name="20% - Accent5 2 5 2 2 4" xfId="15952" xr:uid="{6B315F6D-CE23-4D03-91E3-8EB1726A1B32}"/>
    <cellStyle name="20% - Accent5 2 5 2 3" xfId="20175" xr:uid="{BFB3C297-DB34-4F43-851D-A367C7B615F9}"/>
    <cellStyle name="20% - Accent5 2 5 2 4" xfId="28622" xr:uid="{9117EAC9-8B73-4300-B242-40530ABBD7C8}"/>
    <cellStyle name="20% - Accent5 2 5 2 5" xfId="11734" xr:uid="{453400C8-070E-4C52-9254-5D6186E11907}"/>
    <cellStyle name="20% - Accent5 2 5 3" xfId="5365" xr:uid="{00000000-0005-0000-0000-0000C6020000}"/>
    <cellStyle name="20% - Accent5 2 5 3 2" xfId="22248" xr:uid="{763255A7-83AF-4835-9461-0C9483A32B20}"/>
    <cellStyle name="20% - Accent5 2 5 3 3" xfId="30694" xr:uid="{EE81944C-DD8D-44A9-8792-CD5B37CFFB80}"/>
    <cellStyle name="20% - Accent5 2 5 3 4" xfId="13807" xr:uid="{B0ACE452-6679-4468-98FD-DC238F419BCF}"/>
    <cellStyle name="20% - Accent5 2 5 4" xfId="18030" xr:uid="{AE13C033-D2BC-4A01-AF41-E2BD155E02E1}"/>
    <cellStyle name="20% - Accent5 2 5 5" xfId="26475" xr:uid="{FDFA28AD-6915-4775-B869-0CDDC4547250}"/>
    <cellStyle name="20% - Accent5 2 5 6" xfId="9589" xr:uid="{00A682BE-B227-45B2-BFB4-A5B70DB3AD94}"/>
    <cellStyle name="20% - Accent5 2 6" xfId="1470" xr:uid="{00000000-0005-0000-0000-0000C7020000}"/>
    <cellStyle name="20% - Accent5 2 6 2" xfId="3700" xr:uid="{00000000-0005-0000-0000-0000C8020000}"/>
    <cellStyle name="20% - Accent5 2 6 2 2" xfId="7923" xr:uid="{00000000-0005-0000-0000-0000C9020000}"/>
    <cellStyle name="20% - Accent5 2 6 2 2 2" xfId="24806" xr:uid="{326E828A-CB64-4C11-BE30-ECCE6D37708C}"/>
    <cellStyle name="20% - Accent5 2 6 2 2 3" xfId="33252" xr:uid="{112602F3-3040-4114-A081-04938FD03ECD}"/>
    <cellStyle name="20% - Accent5 2 6 2 2 4" xfId="16365" xr:uid="{183A2E96-ABD3-474B-A223-D995709DA745}"/>
    <cellStyle name="20% - Accent5 2 6 2 3" xfId="20588" xr:uid="{202A8CE7-1DE8-43F3-96AD-B8BDD812CCB5}"/>
    <cellStyle name="20% - Accent5 2 6 2 4" xfId="29035" xr:uid="{F70D3902-6DC4-4000-A8E1-6A37286D6186}"/>
    <cellStyle name="20% - Accent5 2 6 2 5" xfId="12147" xr:uid="{5F0916C7-1AC7-45A2-90DC-6DC916BC1FD1}"/>
    <cellStyle name="20% - Accent5 2 6 3" xfId="5778" xr:uid="{00000000-0005-0000-0000-0000CA020000}"/>
    <cellStyle name="20% - Accent5 2 6 3 2" xfId="22661" xr:uid="{CB827FAC-11F9-4235-9177-D6BFFAB3D447}"/>
    <cellStyle name="20% - Accent5 2 6 3 3" xfId="31107" xr:uid="{814BB375-2D66-441D-A6AF-7D0090C427B3}"/>
    <cellStyle name="20% - Accent5 2 6 3 4" xfId="14220" xr:uid="{D30E06B3-7A7C-47E4-BBAF-00EDADE532E2}"/>
    <cellStyle name="20% - Accent5 2 6 4" xfId="18443" xr:uid="{D05F5DBC-ED1B-419B-81F8-E08F9E3412B6}"/>
    <cellStyle name="20% - Accent5 2 6 5" xfId="26888" xr:uid="{CBE4FB6B-AAF6-4436-98F1-07A07809CB5D}"/>
    <cellStyle name="20% - Accent5 2 6 6" xfId="10002" xr:uid="{39447AEC-2FFE-4AEB-A2DF-9ABED78606EB}"/>
    <cellStyle name="20% - Accent5 2 7" xfId="1884" xr:uid="{00000000-0005-0000-0000-0000CB020000}"/>
    <cellStyle name="20% - Accent5 2 7 2" xfId="4113" xr:uid="{00000000-0005-0000-0000-0000CC020000}"/>
    <cellStyle name="20% - Accent5 2 7 2 2" xfId="8336" xr:uid="{00000000-0005-0000-0000-0000CD020000}"/>
    <cellStyle name="20% - Accent5 2 7 2 2 2" xfId="25219" xr:uid="{D34B007A-CE81-4823-A087-D732E738AC48}"/>
    <cellStyle name="20% - Accent5 2 7 2 2 3" xfId="33665" xr:uid="{3B7107DB-F5A7-469C-961D-BE58E9B731F7}"/>
    <cellStyle name="20% - Accent5 2 7 2 2 4" xfId="16778" xr:uid="{54069482-EBC7-443B-936A-7CD51140E867}"/>
    <cellStyle name="20% - Accent5 2 7 2 3" xfId="21001" xr:uid="{B3CECE7F-5107-45EC-88E2-43F2976A1A6A}"/>
    <cellStyle name="20% - Accent5 2 7 2 4" xfId="29448" xr:uid="{C65D1CE1-F4C2-4A8F-BC61-CB6CE176F5F3}"/>
    <cellStyle name="20% - Accent5 2 7 2 5" xfId="12560" xr:uid="{E4B86C32-B5EA-43D6-96B0-1EFB7C550C66}"/>
    <cellStyle name="20% - Accent5 2 7 3" xfId="6191" xr:uid="{00000000-0005-0000-0000-0000CE020000}"/>
    <cellStyle name="20% - Accent5 2 7 3 2" xfId="23074" xr:uid="{C7C2B1BC-D7CA-4179-8EBA-DFB890A7F2DD}"/>
    <cellStyle name="20% - Accent5 2 7 3 3" xfId="31520" xr:uid="{E252021E-BC4B-4373-9053-51A684D3EF3E}"/>
    <cellStyle name="20% - Accent5 2 7 3 4" xfId="14633" xr:uid="{E1864F82-1B91-4CF6-8122-DE27C668D78A}"/>
    <cellStyle name="20% - Accent5 2 7 4" xfId="18856" xr:uid="{601C672A-E032-49D3-BE93-4A99CD4F29B5}"/>
    <cellStyle name="20% - Accent5 2 7 5" xfId="27301" xr:uid="{26526A2C-F6E1-4D94-9CD2-382CB3F9815B}"/>
    <cellStyle name="20% - Accent5 2 7 6" xfId="10415" xr:uid="{0D350070-CBCF-4B11-B9F3-2C68F61ABF6E}"/>
    <cellStyle name="20% - Accent5 2 8" xfId="2297" xr:uid="{00000000-0005-0000-0000-0000CF020000}"/>
    <cellStyle name="20% - Accent5 2 8 2" xfId="6604" xr:uid="{00000000-0005-0000-0000-0000D0020000}"/>
    <cellStyle name="20% - Accent5 2 8 2 2" xfId="23487" xr:uid="{3ABEBF09-A48A-4733-A4E9-185A8FF89D7B}"/>
    <cellStyle name="20% - Accent5 2 8 2 3" xfId="31933" xr:uid="{E8D8D168-A25A-4B47-93D6-FE7E9E0D9EA7}"/>
    <cellStyle name="20% - Accent5 2 8 2 4" xfId="15046" xr:uid="{C4874C4A-F310-4F78-9F57-FFED9E5A2633}"/>
    <cellStyle name="20% - Accent5 2 8 3" xfId="19269" xr:uid="{45459990-EEE1-4670-9DBB-64E0CA316A4A}"/>
    <cellStyle name="20% - Accent5 2 8 4" xfId="27714" xr:uid="{FC8DC5A4-B8BF-4E99-8435-E7C5D1A78164}"/>
    <cellStyle name="20% - Accent5 2 8 5" xfId="10828" xr:uid="{D49F0A82-49B6-403F-9645-E357FB5A669D}"/>
    <cellStyle name="20% - Accent5 2 9" xfId="4538" xr:uid="{00000000-0005-0000-0000-0000D1020000}"/>
    <cellStyle name="20% - Accent5 2 9 2" xfId="21421" xr:uid="{66318693-AC70-453C-BD4B-20C74D613311}"/>
    <cellStyle name="20% - Accent5 2 9 3" xfId="29867" xr:uid="{55F1418B-C8D2-4BAF-A6F3-A6B85B8205CD}"/>
    <cellStyle name="20% - Accent5 2 9 4" xfId="12980" xr:uid="{C9C413C4-9C86-4E92-8998-A9F8FC9C1499}"/>
    <cellStyle name="20% - Accent5 3" xfId="38" xr:uid="{00000000-0005-0000-0000-0000D2020000}"/>
    <cellStyle name="20% - Accent5 3 10" xfId="25649" xr:uid="{7F67CE3E-2F8C-4C89-A725-4402710DC6C1}"/>
    <cellStyle name="20% - Accent5 3 11" xfId="8766" xr:uid="{064FDCCE-A6D9-496D-9E5F-F7D58D0E1EFB}"/>
    <cellStyle name="20% - Accent5 3 2" xfId="39" xr:uid="{00000000-0005-0000-0000-0000D3020000}"/>
    <cellStyle name="20% - Accent5 3 2 10" xfId="8767" xr:uid="{5639D2FC-7F67-4AAE-B7FC-B5587C749C7E}"/>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23985" xr:uid="{20ED26B1-74A8-4C90-99E4-F38C2850D060}"/>
    <cellStyle name="20% - Accent5 3 2 2 2 2 3" xfId="32431" xr:uid="{C5434919-FB05-4E6F-BA40-B3583A48AD5A}"/>
    <cellStyle name="20% - Accent5 3 2 2 2 2 4" xfId="15544" xr:uid="{0BAB346E-E3B3-4280-A1E6-4990BF6E621F}"/>
    <cellStyle name="20% - Accent5 3 2 2 2 3" xfId="19767" xr:uid="{9E839420-0198-47A1-BB22-05221365FB37}"/>
    <cellStyle name="20% - Accent5 3 2 2 2 4" xfId="28214" xr:uid="{21CAAFFD-0DA1-43FF-B082-C2FE31AA668A}"/>
    <cellStyle name="20% - Accent5 3 2 2 2 5" xfId="11326" xr:uid="{105B7A11-6614-434C-8549-92D792E31C52}"/>
    <cellStyle name="20% - Accent5 3 2 2 3" xfId="4957" xr:uid="{00000000-0005-0000-0000-0000D7020000}"/>
    <cellStyle name="20% - Accent5 3 2 2 3 2" xfId="21840" xr:uid="{7B32D298-03AA-4344-B6E8-0296EAD34DB6}"/>
    <cellStyle name="20% - Accent5 3 2 2 3 3" xfId="30286" xr:uid="{D4761478-BFAA-4FBD-AA8E-B92A0A95DA80}"/>
    <cellStyle name="20% - Accent5 3 2 2 3 4" xfId="13399" xr:uid="{444AAD1C-E529-4332-93BD-446605A01067}"/>
    <cellStyle name="20% - Accent5 3 2 2 4" xfId="17622" xr:uid="{93EE1DB0-3296-406D-B663-CD74E143D5DE}"/>
    <cellStyle name="20% - Accent5 3 2 2 5" xfId="26067" xr:uid="{7F9717E7-8C14-42D6-B2A4-C7CA321E6B4E}"/>
    <cellStyle name="20% - Accent5 3 2 2 6" xfId="9181" xr:uid="{322BF804-1465-4F0C-8B5B-AB2CDBB7E187}"/>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24398" xr:uid="{2D1E069A-F1A7-43F0-BCF8-3F80DCF897F2}"/>
    <cellStyle name="20% - Accent5 3 2 3 2 2 3" xfId="32844" xr:uid="{084E1E80-F15D-47B8-A74E-B95AA4043C5B}"/>
    <cellStyle name="20% - Accent5 3 2 3 2 2 4" xfId="15957" xr:uid="{997CA8C1-F5BD-4D89-91EB-FF99CFF5A419}"/>
    <cellStyle name="20% - Accent5 3 2 3 2 3" xfId="20180" xr:uid="{7E711371-B77E-4835-84B3-FEF152C75F2B}"/>
    <cellStyle name="20% - Accent5 3 2 3 2 4" xfId="28627" xr:uid="{FAE5CB2D-C790-4FF0-A117-54434A427949}"/>
    <cellStyle name="20% - Accent5 3 2 3 2 5" xfId="11739" xr:uid="{107EB86E-60C7-4BD1-98ED-4BEAD439EB88}"/>
    <cellStyle name="20% - Accent5 3 2 3 3" xfId="5370" xr:uid="{00000000-0005-0000-0000-0000DB020000}"/>
    <cellStyle name="20% - Accent5 3 2 3 3 2" xfId="22253" xr:uid="{02821259-1ACE-4BA6-9D84-388B0A91EE9D}"/>
    <cellStyle name="20% - Accent5 3 2 3 3 3" xfId="30699" xr:uid="{9A1AC897-B36F-44D7-BEF8-B038F63F6E5A}"/>
    <cellStyle name="20% - Accent5 3 2 3 3 4" xfId="13812" xr:uid="{6DB43B43-7316-479C-985D-F61210FBE535}"/>
    <cellStyle name="20% - Accent5 3 2 3 4" xfId="18035" xr:uid="{F16C9CCE-A5C8-4E0F-B99C-14C363386C23}"/>
    <cellStyle name="20% - Accent5 3 2 3 5" xfId="26480" xr:uid="{A37F2D9E-0B74-4755-9B47-5FD36B2C62AA}"/>
    <cellStyle name="20% - Accent5 3 2 3 6" xfId="9594" xr:uid="{9E33219E-A08F-4FBC-B70B-C30D2E6DBB1B}"/>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24811" xr:uid="{6434230B-69A3-45A4-916C-8F4C85F4A601}"/>
    <cellStyle name="20% - Accent5 3 2 4 2 2 3" xfId="33257" xr:uid="{64173D29-45D3-4CBA-9202-A0B4D4AC3F20}"/>
    <cellStyle name="20% - Accent5 3 2 4 2 2 4" xfId="16370" xr:uid="{1A2CE937-036D-4DFE-9BBF-F5E714892AA7}"/>
    <cellStyle name="20% - Accent5 3 2 4 2 3" xfId="20593" xr:uid="{46E1193A-158B-489A-8695-7BBBA90625B9}"/>
    <cellStyle name="20% - Accent5 3 2 4 2 4" xfId="29040" xr:uid="{9E0534AF-02CB-47E8-836F-F43513C4E7AF}"/>
    <cellStyle name="20% - Accent5 3 2 4 2 5" xfId="12152" xr:uid="{656BC015-7AB2-41E2-9BCD-1D4EBAF59350}"/>
    <cellStyle name="20% - Accent5 3 2 4 3" xfId="5783" xr:uid="{00000000-0005-0000-0000-0000DF020000}"/>
    <cellStyle name="20% - Accent5 3 2 4 3 2" xfId="22666" xr:uid="{E0036AF8-8410-44FC-BE4E-20CD090D1271}"/>
    <cellStyle name="20% - Accent5 3 2 4 3 3" xfId="31112" xr:uid="{B20D34EE-A475-4C13-AE73-0D0E7717D93B}"/>
    <cellStyle name="20% - Accent5 3 2 4 3 4" xfId="14225" xr:uid="{3972CD07-1346-48A1-9BB5-4BBE695A81D0}"/>
    <cellStyle name="20% - Accent5 3 2 4 4" xfId="18448" xr:uid="{F66C7DB2-4A7D-43C2-9C50-26FF2BE497A5}"/>
    <cellStyle name="20% - Accent5 3 2 4 5" xfId="26893" xr:uid="{8535DCD8-AA34-4C22-BB81-6A7C81611F07}"/>
    <cellStyle name="20% - Accent5 3 2 4 6" xfId="10007" xr:uid="{56A8ACB7-AFED-4312-8BC8-27E2839FC958}"/>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25224" xr:uid="{891FC981-55A0-46C1-A3A4-45602C2010B2}"/>
    <cellStyle name="20% - Accent5 3 2 5 2 2 3" xfId="33670" xr:uid="{B37996CA-F419-4D75-A61D-2B847E1AE106}"/>
    <cellStyle name="20% - Accent5 3 2 5 2 2 4" xfId="16783" xr:uid="{0E93E915-0D1D-450D-BF55-D963DABC89E5}"/>
    <cellStyle name="20% - Accent5 3 2 5 2 3" xfId="21006" xr:uid="{0613A8BD-31A0-477A-82DA-E618FDD1AADF}"/>
    <cellStyle name="20% - Accent5 3 2 5 2 4" xfId="29453" xr:uid="{0674463E-3229-43D7-8C31-26A02C4AB590}"/>
    <cellStyle name="20% - Accent5 3 2 5 2 5" xfId="12565" xr:uid="{17531AA4-C6EC-48C7-B010-9DC1E562F56B}"/>
    <cellStyle name="20% - Accent5 3 2 5 3" xfId="6196" xr:uid="{00000000-0005-0000-0000-0000E3020000}"/>
    <cellStyle name="20% - Accent5 3 2 5 3 2" xfId="23079" xr:uid="{CD285ECE-3379-4EFB-9E99-79B475BDC7EA}"/>
    <cellStyle name="20% - Accent5 3 2 5 3 3" xfId="31525" xr:uid="{772C49C7-89C9-43CB-AF60-D08F8D042527}"/>
    <cellStyle name="20% - Accent5 3 2 5 3 4" xfId="14638" xr:uid="{162F1109-DD32-4744-9857-92F90753E333}"/>
    <cellStyle name="20% - Accent5 3 2 5 4" xfId="18861" xr:uid="{7CB44007-A4EB-4D0F-94D8-2C37BEE49643}"/>
    <cellStyle name="20% - Accent5 3 2 5 5" xfId="27306" xr:uid="{6CFC4644-33DC-4C35-8478-CB6ED2B23798}"/>
    <cellStyle name="20% - Accent5 3 2 5 6" xfId="10420" xr:uid="{311FE03C-EC46-44E8-B736-B45BD75D8EF3}"/>
    <cellStyle name="20% - Accent5 3 2 6" xfId="2302" xr:uid="{00000000-0005-0000-0000-0000E4020000}"/>
    <cellStyle name="20% - Accent5 3 2 6 2" xfId="6609" xr:uid="{00000000-0005-0000-0000-0000E5020000}"/>
    <cellStyle name="20% - Accent5 3 2 6 2 2" xfId="23492" xr:uid="{6A76AE55-D47B-49BB-8FAF-C59EE4E8045E}"/>
    <cellStyle name="20% - Accent5 3 2 6 2 3" xfId="31938" xr:uid="{CFA4614D-705E-4D86-81E3-DFA1E2822E5F}"/>
    <cellStyle name="20% - Accent5 3 2 6 2 4" xfId="15051" xr:uid="{A0BD7C98-147E-4598-8D71-D6958F073A82}"/>
    <cellStyle name="20% - Accent5 3 2 6 3" xfId="19274" xr:uid="{491E51C4-4E41-46D7-AAF3-600F646C15F4}"/>
    <cellStyle name="20% - Accent5 3 2 6 4" xfId="27719" xr:uid="{97C95D33-7748-4B36-9A8D-A54920261CDE}"/>
    <cellStyle name="20% - Accent5 3 2 6 5" xfId="10833" xr:uid="{A84B1C7E-BBAA-4429-86E1-17602D978AFD}"/>
    <cellStyle name="20% - Accent5 3 2 7" xfId="4543" xr:uid="{00000000-0005-0000-0000-0000E6020000}"/>
    <cellStyle name="20% - Accent5 3 2 7 2" xfId="21426" xr:uid="{92217B2D-BEEE-4888-B274-50F4F21EB865}"/>
    <cellStyle name="20% - Accent5 3 2 7 3" xfId="29872" xr:uid="{E64A8087-85EA-426D-A21C-D80AC5344C9A}"/>
    <cellStyle name="20% - Accent5 3 2 7 4" xfId="12985" xr:uid="{B6195284-E526-47D2-BAA9-3783C1068499}"/>
    <cellStyle name="20% - Accent5 3 2 8" xfId="17208" xr:uid="{E14C03A3-F141-422E-9E37-2148209CDE44}"/>
    <cellStyle name="20% - Accent5 3 2 9" xfId="25650" xr:uid="{894AFE4A-8C4D-40B5-9491-0031EE8CA641}"/>
    <cellStyle name="20% - Accent5 3 3" xfId="607" xr:uid="{00000000-0005-0000-0000-0000E7020000}"/>
    <cellStyle name="20% - Accent5 3 3 2" xfId="2878" xr:uid="{00000000-0005-0000-0000-0000E8020000}"/>
    <cellStyle name="20% - Accent5 3 3 2 2" xfId="7101" xr:uid="{00000000-0005-0000-0000-0000E9020000}"/>
    <cellStyle name="20% - Accent5 3 3 2 2 2" xfId="23984" xr:uid="{F6B8CE81-F093-4422-99C3-92AB77ED339E}"/>
    <cellStyle name="20% - Accent5 3 3 2 2 3" xfId="32430" xr:uid="{6194480C-8EE8-4016-9E20-D153F10873B8}"/>
    <cellStyle name="20% - Accent5 3 3 2 2 4" xfId="15543" xr:uid="{7B732D8E-26F7-458D-A225-ADE3A39E159F}"/>
    <cellStyle name="20% - Accent5 3 3 2 3" xfId="19766" xr:uid="{49DFF744-BCD2-47AE-859D-4C2ED882DDE0}"/>
    <cellStyle name="20% - Accent5 3 3 2 4" xfId="28213" xr:uid="{131DED80-6282-4439-A5C5-3D27C4DC01B4}"/>
    <cellStyle name="20% - Accent5 3 3 2 5" xfId="11325" xr:uid="{228D5377-EED5-4D32-ADB1-2BB6461393C4}"/>
    <cellStyle name="20% - Accent5 3 3 3" xfId="4956" xr:uid="{00000000-0005-0000-0000-0000EA020000}"/>
    <cellStyle name="20% - Accent5 3 3 3 2" xfId="21839" xr:uid="{06AD27A5-032D-4B9E-95C9-F53446D048A9}"/>
    <cellStyle name="20% - Accent5 3 3 3 3" xfId="30285" xr:uid="{91B6D518-8A0C-494B-93A0-C6F14A32598F}"/>
    <cellStyle name="20% - Accent5 3 3 3 4" xfId="13398" xr:uid="{D5FE4181-FDC5-41DD-9CD3-887FE4C2E44E}"/>
    <cellStyle name="20% - Accent5 3 3 4" xfId="17621" xr:uid="{E346F2A6-FBCE-4EB1-BB64-C182FA4D2BD9}"/>
    <cellStyle name="20% - Accent5 3 3 5" xfId="26066" xr:uid="{BBF8A140-16CE-4F4D-A61C-876D34A2B2B2}"/>
    <cellStyle name="20% - Accent5 3 3 6" xfId="9180" xr:uid="{A53CE973-89B7-4D96-8B77-C98B4C8076E3}"/>
    <cellStyle name="20% - Accent5 3 4" xfId="1060" xr:uid="{00000000-0005-0000-0000-0000EB020000}"/>
    <cellStyle name="20% - Accent5 3 4 2" xfId="3291" xr:uid="{00000000-0005-0000-0000-0000EC020000}"/>
    <cellStyle name="20% - Accent5 3 4 2 2" xfId="7514" xr:uid="{00000000-0005-0000-0000-0000ED020000}"/>
    <cellStyle name="20% - Accent5 3 4 2 2 2" xfId="24397" xr:uid="{41409D5C-219F-4539-A3A5-9B61472B9D1A}"/>
    <cellStyle name="20% - Accent5 3 4 2 2 3" xfId="32843" xr:uid="{CE56FDB3-97BB-4497-A055-213B812B3906}"/>
    <cellStyle name="20% - Accent5 3 4 2 2 4" xfId="15956" xr:uid="{77FA83BB-748D-4246-A3AD-46F7B809DEDD}"/>
    <cellStyle name="20% - Accent5 3 4 2 3" xfId="20179" xr:uid="{406FCB63-14D8-42FA-8DE2-95419BB88609}"/>
    <cellStyle name="20% - Accent5 3 4 2 4" xfId="28626" xr:uid="{6827608A-FE8F-49E8-B105-ACFD0482C1FE}"/>
    <cellStyle name="20% - Accent5 3 4 2 5" xfId="11738" xr:uid="{FED7AFAA-84BE-4CAA-B59E-CEE6077F4C8A}"/>
    <cellStyle name="20% - Accent5 3 4 3" xfId="5369" xr:uid="{00000000-0005-0000-0000-0000EE020000}"/>
    <cellStyle name="20% - Accent5 3 4 3 2" xfId="22252" xr:uid="{27703091-D88D-4405-A29A-8B6D21E9F05A}"/>
    <cellStyle name="20% - Accent5 3 4 3 3" xfId="30698" xr:uid="{37ACAD8C-6273-47C0-A9E9-BFA93F899B9F}"/>
    <cellStyle name="20% - Accent5 3 4 3 4" xfId="13811" xr:uid="{E010D631-A553-438C-B666-7E92B5B38454}"/>
    <cellStyle name="20% - Accent5 3 4 4" xfId="18034" xr:uid="{CAE68F59-0D1E-4EAC-92C3-8571CCDEC829}"/>
    <cellStyle name="20% - Accent5 3 4 5" xfId="26479" xr:uid="{DC26D1AC-BCB8-4B66-B6B7-2FF6CDFEE09E}"/>
    <cellStyle name="20% - Accent5 3 4 6" xfId="9593" xr:uid="{44EE6C98-4FAF-4909-8BA7-AA4BF42127B4}"/>
    <cellStyle name="20% - Accent5 3 5" xfId="1474" xr:uid="{00000000-0005-0000-0000-0000EF020000}"/>
    <cellStyle name="20% - Accent5 3 5 2" xfId="3704" xr:uid="{00000000-0005-0000-0000-0000F0020000}"/>
    <cellStyle name="20% - Accent5 3 5 2 2" xfId="7927" xr:uid="{00000000-0005-0000-0000-0000F1020000}"/>
    <cellStyle name="20% - Accent5 3 5 2 2 2" xfId="24810" xr:uid="{33DC58B8-C7AE-4933-A5CD-E85933B53B04}"/>
    <cellStyle name="20% - Accent5 3 5 2 2 3" xfId="33256" xr:uid="{A9A99112-22C2-4244-996C-A133E255D222}"/>
    <cellStyle name="20% - Accent5 3 5 2 2 4" xfId="16369" xr:uid="{7EEB9958-01A5-4FFC-AD6F-089A2F27AA10}"/>
    <cellStyle name="20% - Accent5 3 5 2 3" xfId="20592" xr:uid="{71D1E985-6FA7-4211-801B-47171F6E91AC}"/>
    <cellStyle name="20% - Accent5 3 5 2 4" xfId="29039" xr:uid="{A73947B2-87A2-4D96-B71F-F9803EA8C912}"/>
    <cellStyle name="20% - Accent5 3 5 2 5" xfId="12151" xr:uid="{F9C1DBD3-1D0B-41C0-A5B9-3F12FA35DDBA}"/>
    <cellStyle name="20% - Accent5 3 5 3" xfId="5782" xr:uid="{00000000-0005-0000-0000-0000F2020000}"/>
    <cellStyle name="20% - Accent5 3 5 3 2" xfId="22665" xr:uid="{551F542C-3590-4462-9487-0614801A63CB}"/>
    <cellStyle name="20% - Accent5 3 5 3 3" xfId="31111" xr:uid="{9661D767-4F5B-4596-A610-10821D87E6A2}"/>
    <cellStyle name="20% - Accent5 3 5 3 4" xfId="14224" xr:uid="{F178A2F0-77BE-4B5D-B3DF-30F88F1FE6D2}"/>
    <cellStyle name="20% - Accent5 3 5 4" xfId="18447" xr:uid="{DBD30C2D-5CEA-4797-9EAB-9330F6FF2F70}"/>
    <cellStyle name="20% - Accent5 3 5 5" xfId="26892" xr:uid="{F4649933-4431-4BBD-99ED-61A7271A88F3}"/>
    <cellStyle name="20% - Accent5 3 5 6" xfId="10006" xr:uid="{9A383586-A4C3-4313-A8F5-8C3CFA508C5C}"/>
    <cellStyle name="20% - Accent5 3 6" xfId="1888" xr:uid="{00000000-0005-0000-0000-0000F3020000}"/>
    <cellStyle name="20% - Accent5 3 6 2" xfId="4117" xr:uid="{00000000-0005-0000-0000-0000F4020000}"/>
    <cellStyle name="20% - Accent5 3 6 2 2" xfId="8340" xr:uid="{00000000-0005-0000-0000-0000F5020000}"/>
    <cellStyle name="20% - Accent5 3 6 2 2 2" xfId="25223" xr:uid="{4C9E68ED-DDBF-4025-B0B8-E5218DA464D6}"/>
    <cellStyle name="20% - Accent5 3 6 2 2 3" xfId="33669" xr:uid="{187B3C05-7CF0-42B5-AAA9-F8FBAC4AB1D8}"/>
    <cellStyle name="20% - Accent5 3 6 2 2 4" xfId="16782" xr:uid="{12619469-C91B-4582-B3E4-27E7A6D00C3E}"/>
    <cellStyle name="20% - Accent5 3 6 2 3" xfId="21005" xr:uid="{F546165F-654D-4E15-BABD-10B5C3940E03}"/>
    <cellStyle name="20% - Accent5 3 6 2 4" xfId="29452" xr:uid="{04E83B74-4635-407A-8F12-5DB495FDA1F8}"/>
    <cellStyle name="20% - Accent5 3 6 2 5" xfId="12564" xr:uid="{B6CD71DA-E8A9-4218-837B-80270597C88D}"/>
    <cellStyle name="20% - Accent5 3 6 3" xfId="6195" xr:uid="{00000000-0005-0000-0000-0000F6020000}"/>
    <cellStyle name="20% - Accent5 3 6 3 2" xfId="23078" xr:uid="{1C7E699B-94C3-44C5-9BFD-452B3D8E8E77}"/>
    <cellStyle name="20% - Accent5 3 6 3 3" xfId="31524" xr:uid="{6894DA81-DC49-4FE4-913D-474BFD029788}"/>
    <cellStyle name="20% - Accent5 3 6 3 4" xfId="14637" xr:uid="{DDCB185F-F376-46A4-9359-705F649121A5}"/>
    <cellStyle name="20% - Accent5 3 6 4" xfId="18860" xr:uid="{BF637F5C-69AC-4E1D-8ADB-BD203EA4F7F9}"/>
    <cellStyle name="20% - Accent5 3 6 5" xfId="27305" xr:uid="{F9B83A10-2AF2-403E-AB56-CBB7392BCB8C}"/>
    <cellStyle name="20% - Accent5 3 6 6" xfId="10419" xr:uid="{F43DC44F-83A1-4BD1-9AA8-788DBB1B1F54}"/>
    <cellStyle name="20% - Accent5 3 7" xfId="2301" xr:uid="{00000000-0005-0000-0000-0000F7020000}"/>
    <cellStyle name="20% - Accent5 3 7 2" xfId="6608" xr:uid="{00000000-0005-0000-0000-0000F8020000}"/>
    <cellStyle name="20% - Accent5 3 7 2 2" xfId="23491" xr:uid="{82FE96BB-E839-4F8C-9BE3-1C3197FAB4BE}"/>
    <cellStyle name="20% - Accent5 3 7 2 3" xfId="31937" xr:uid="{EEAE69AE-01CF-4EA9-B56C-A96AC7169324}"/>
    <cellStyle name="20% - Accent5 3 7 2 4" xfId="15050" xr:uid="{0DA8A28C-0ADC-420D-9667-1659881D3C2A}"/>
    <cellStyle name="20% - Accent5 3 7 3" xfId="19273" xr:uid="{517FE5A4-112D-4E54-991A-B1F0A52B0253}"/>
    <cellStyle name="20% - Accent5 3 7 4" xfId="27718" xr:uid="{B868A1D2-9FC2-4F02-B395-0A8DC1443710}"/>
    <cellStyle name="20% - Accent5 3 7 5" xfId="10832" xr:uid="{D9BC4747-D5F4-4FC5-81B0-4E68FC656487}"/>
    <cellStyle name="20% - Accent5 3 8" xfId="4542" xr:uid="{00000000-0005-0000-0000-0000F9020000}"/>
    <cellStyle name="20% - Accent5 3 8 2" xfId="21425" xr:uid="{141F1905-F83C-48CE-BD16-4BD77F666AE4}"/>
    <cellStyle name="20% - Accent5 3 8 3" xfId="29871" xr:uid="{76F73C48-74DD-4E41-85FF-584E9F906D42}"/>
    <cellStyle name="20% - Accent5 3 8 4" xfId="12984" xr:uid="{9776E88E-2F7B-4112-9B75-216B259ACEFC}"/>
    <cellStyle name="20% - Accent5 3 9" xfId="17207" xr:uid="{7C31FC99-850A-47A7-AA29-3962AC198752}"/>
    <cellStyle name="20% - Accent5 4" xfId="40" xr:uid="{00000000-0005-0000-0000-0000FA020000}"/>
    <cellStyle name="20% - Accent5 4 10" xfId="8768" xr:uid="{C876000C-464D-4153-AC32-C94C917D6667}"/>
    <cellStyle name="20% - Accent5 4 2" xfId="609" xr:uid="{00000000-0005-0000-0000-0000FB020000}"/>
    <cellStyle name="20% - Accent5 4 2 2" xfId="2880" xr:uid="{00000000-0005-0000-0000-0000FC020000}"/>
    <cellStyle name="20% - Accent5 4 2 2 2" xfId="7103" xr:uid="{00000000-0005-0000-0000-0000FD020000}"/>
    <cellStyle name="20% - Accent5 4 2 2 2 2" xfId="23986" xr:uid="{7226EFAE-4474-4F12-9D6E-5F81F9F52EB2}"/>
    <cellStyle name="20% - Accent5 4 2 2 2 3" xfId="32432" xr:uid="{29A9AFA9-7556-4F75-8918-0C4382070F3B}"/>
    <cellStyle name="20% - Accent5 4 2 2 2 4" xfId="15545" xr:uid="{FA0EB1E7-474A-4120-BFC7-BC91F927EBE9}"/>
    <cellStyle name="20% - Accent5 4 2 2 3" xfId="19768" xr:uid="{C9C64AAE-A72B-4C52-B8BB-7EEDB374B670}"/>
    <cellStyle name="20% - Accent5 4 2 2 4" xfId="28215" xr:uid="{D34A3473-57B0-4C65-AA86-CBFFC8954CE9}"/>
    <cellStyle name="20% - Accent5 4 2 2 5" xfId="11327" xr:uid="{731DDCE2-F331-4B34-B11F-5313357F17D4}"/>
    <cellStyle name="20% - Accent5 4 2 3" xfId="4958" xr:uid="{00000000-0005-0000-0000-0000FE020000}"/>
    <cellStyle name="20% - Accent5 4 2 3 2" xfId="21841" xr:uid="{520F7FC1-B6AA-48A9-A22F-DA7642E2DDD3}"/>
    <cellStyle name="20% - Accent5 4 2 3 3" xfId="30287" xr:uid="{A482C460-198F-4E68-89C1-E6A886878133}"/>
    <cellStyle name="20% - Accent5 4 2 3 4" xfId="13400" xr:uid="{BE68A5D2-E168-4E02-92C1-3D319F2F6E2B}"/>
    <cellStyle name="20% - Accent5 4 2 4" xfId="17623" xr:uid="{1BC126BD-627F-42AB-92EE-2013E3542BE3}"/>
    <cellStyle name="20% - Accent5 4 2 5" xfId="26068" xr:uid="{1DC787E8-DD41-47C7-98F4-26FFCF3A6F10}"/>
    <cellStyle name="20% - Accent5 4 2 6" xfId="9182" xr:uid="{2E896697-A562-4C67-AE17-F23C4888EABB}"/>
    <cellStyle name="20% - Accent5 4 3" xfId="1062" xr:uid="{00000000-0005-0000-0000-0000FF020000}"/>
    <cellStyle name="20% - Accent5 4 3 2" xfId="3293" xr:uid="{00000000-0005-0000-0000-000000030000}"/>
    <cellStyle name="20% - Accent5 4 3 2 2" xfId="7516" xr:uid="{00000000-0005-0000-0000-000001030000}"/>
    <cellStyle name="20% - Accent5 4 3 2 2 2" xfId="24399" xr:uid="{75E97926-7DBB-41B9-B35A-151AEDFA1C11}"/>
    <cellStyle name="20% - Accent5 4 3 2 2 3" xfId="32845" xr:uid="{204A4143-D93B-4CB9-A87D-522F009B9458}"/>
    <cellStyle name="20% - Accent5 4 3 2 2 4" xfId="15958" xr:uid="{3B1B1A65-7BF4-41E0-B4B5-8EADED775791}"/>
    <cellStyle name="20% - Accent5 4 3 2 3" xfId="20181" xr:uid="{63D4EB6B-5CD2-4880-9CD2-391D46A161F6}"/>
    <cellStyle name="20% - Accent5 4 3 2 4" xfId="28628" xr:uid="{BFF61342-CAC7-41A4-8C21-477D5690DC71}"/>
    <cellStyle name="20% - Accent5 4 3 2 5" xfId="11740" xr:uid="{9C4623BE-D935-4725-BE18-05C3593877B9}"/>
    <cellStyle name="20% - Accent5 4 3 3" xfId="5371" xr:uid="{00000000-0005-0000-0000-000002030000}"/>
    <cellStyle name="20% - Accent5 4 3 3 2" xfId="22254" xr:uid="{660677D1-6C1E-4841-9660-C7B9C5B330F9}"/>
    <cellStyle name="20% - Accent5 4 3 3 3" xfId="30700" xr:uid="{2489E0F3-E3E5-433D-A21B-346D3E53D562}"/>
    <cellStyle name="20% - Accent5 4 3 3 4" xfId="13813" xr:uid="{1C6A81A5-ABDF-4079-9985-2DF062A147E4}"/>
    <cellStyle name="20% - Accent5 4 3 4" xfId="18036" xr:uid="{54109694-F7D0-49A0-ACC1-8D58682063A6}"/>
    <cellStyle name="20% - Accent5 4 3 5" xfId="26481" xr:uid="{84E95142-7B0E-4554-A9A6-4099EF995DD3}"/>
    <cellStyle name="20% - Accent5 4 3 6" xfId="9595" xr:uid="{5258F6EA-6F18-4CAD-9461-FAE39E1041BD}"/>
    <cellStyle name="20% - Accent5 4 4" xfId="1476" xr:uid="{00000000-0005-0000-0000-000003030000}"/>
    <cellStyle name="20% - Accent5 4 4 2" xfId="3706" xr:uid="{00000000-0005-0000-0000-000004030000}"/>
    <cellStyle name="20% - Accent5 4 4 2 2" xfId="7929" xr:uid="{00000000-0005-0000-0000-000005030000}"/>
    <cellStyle name="20% - Accent5 4 4 2 2 2" xfId="24812" xr:uid="{503C02A9-ED04-4517-ADC2-9E6930BDD270}"/>
    <cellStyle name="20% - Accent5 4 4 2 2 3" xfId="33258" xr:uid="{E71EB7D3-11D7-48FA-983F-E3443400B4A7}"/>
    <cellStyle name="20% - Accent5 4 4 2 2 4" xfId="16371" xr:uid="{B1BC8E52-2608-429E-BD3C-B879CFC586A2}"/>
    <cellStyle name="20% - Accent5 4 4 2 3" xfId="20594" xr:uid="{1A8810EF-3523-41E1-A603-AD1A6FEF5C89}"/>
    <cellStyle name="20% - Accent5 4 4 2 4" xfId="29041" xr:uid="{74FAC846-D0DD-41F4-97C1-B667958133E8}"/>
    <cellStyle name="20% - Accent5 4 4 2 5" xfId="12153" xr:uid="{55DF727E-2E05-4A96-8D21-F179DB532E72}"/>
    <cellStyle name="20% - Accent5 4 4 3" xfId="5784" xr:uid="{00000000-0005-0000-0000-000006030000}"/>
    <cellStyle name="20% - Accent5 4 4 3 2" xfId="22667" xr:uid="{8C9BAA9F-7159-4536-ABEE-397704A6AC40}"/>
    <cellStyle name="20% - Accent5 4 4 3 3" xfId="31113" xr:uid="{1288BACF-B4B8-4D3C-9BFE-D8C7BB23B9C7}"/>
    <cellStyle name="20% - Accent5 4 4 3 4" xfId="14226" xr:uid="{CDF705F1-672C-4FE4-88BA-377256EE9BEE}"/>
    <cellStyle name="20% - Accent5 4 4 4" xfId="18449" xr:uid="{21E40430-061C-4975-9616-9C3E0F0BC056}"/>
    <cellStyle name="20% - Accent5 4 4 5" xfId="26894" xr:uid="{622AD1F8-755E-4691-AA2D-5A09D5CD05DB}"/>
    <cellStyle name="20% - Accent5 4 4 6" xfId="10008" xr:uid="{8CBF8BB3-55AC-4F51-9FA2-C5E9966B8549}"/>
    <cellStyle name="20% - Accent5 4 5" xfId="1890" xr:uid="{00000000-0005-0000-0000-000007030000}"/>
    <cellStyle name="20% - Accent5 4 5 2" xfId="4119" xr:uid="{00000000-0005-0000-0000-000008030000}"/>
    <cellStyle name="20% - Accent5 4 5 2 2" xfId="8342" xr:uid="{00000000-0005-0000-0000-000009030000}"/>
    <cellStyle name="20% - Accent5 4 5 2 2 2" xfId="25225" xr:uid="{4FD1A208-DC1E-46C7-878C-56CEB41F4F7D}"/>
    <cellStyle name="20% - Accent5 4 5 2 2 3" xfId="33671" xr:uid="{9AB8ABCE-0217-4804-8CE8-54163D26D578}"/>
    <cellStyle name="20% - Accent5 4 5 2 2 4" xfId="16784" xr:uid="{4D9D4FA3-9591-4F43-AF32-6F53633C1256}"/>
    <cellStyle name="20% - Accent5 4 5 2 3" xfId="21007" xr:uid="{3138D4CD-BCE1-4003-8047-28AC6777D198}"/>
    <cellStyle name="20% - Accent5 4 5 2 4" xfId="29454" xr:uid="{B0DFCF35-15D7-43C1-8EED-027B2BD6196C}"/>
    <cellStyle name="20% - Accent5 4 5 2 5" xfId="12566" xr:uid="{9930B25C-658D-4DA3-8542-E03B7920B2E0}"/>
    <cellStyle name="20% - Accent5 4 5 3" xfId="6197" xr:uid="{00000000-0005-0000-0000-00000A030000}"/>
    <cellStyle name="20% - Accent5 4 5 3 2" xfId="23080" xr:uid="{A011F834-9075-4716-945F-B57E6ED3B9B0}"/>
    <cellStyle name="20% - Accent5 4 5 3 3" xfId="31526" xr:uid="{22538C95-FBA2-4821-94F5-BCBA47E714FC}"/>
    <cellStyle name="20% - Accent5 4 5 3 4" xfId="14639" xr:uid="{8339DEE9-937B-42D3-8F40-AB892BA9E89C}"/>
    <cellStyle name="20% - Accent5 4 5 4" xfId="18862" xr:uid="{6C35F463-977E-454A-B564-D6F0F905B418}"/>
    <cellStyle name="20% - Accent5 4 5 5" xfId="27307" xr:uid="{9A3253AD-313B-4DB4-94D1-D240B528F8CE}"/>
    <cellStyle name="20% - Accent5 4 5 6" xfId="10421" xr:uid="{918601CA-24ED-4B25-A588-FBC34CC7424C}"/>
    <cellStyle name="20% - Accent5 4 6" xfId="2303" xr:uid="{00000000-0005-0000-0000-00000B030000}"/>
    <cellStyle name="20% - Accent5 4 6 2" xfId="6610" xr:uid="{00000000-0005-0000-0000-00000C030000}"/>
    <cellStyle name="20% - Accent5 4 6 2 2" xfId="23493" xr:uid="{583EB832-E159-4C12-9629-0913BDE743D4}"/>
    <cellStyle name="20% - Accent5 4 6 2 3" xfId="31939" xr:uid="{1F43FA48-2D05-442B-9116-7384A5E59C6E}"/>
    <cellStyle name="20% - Accent5 4 6 2 4" xfId="15052" xr:uid="{0768BA34-D03B-4914-9C0F-DBCD9AA116AF}"/>
    <cellStyle name="20% - Accent5 4 6 3" xfId="19275" xr:uid="{7F83DD68-0DCE-4221-920C-85BC37D836E3}"/>
    <cellStyle name="20% - Accent5 4 6 4" xfId="27720" xr:uid="{4E563192-23D4-4972-8525-078A93AA172D}"/>
    <cellStyle name="20% - Accent5 4 6 5" xfId="10834" xr:uid="{587306B7-4EAC-45B6-AE66-082C1FCE0B4A}"/>
    <cellStyle name="20% - Accent5 4 7" xfId="4544" xr:uid="{00000000-0005-0000-0000-00000D030000}"/>
    <cellStyle name="20% - Accent5 4 7 2" xfId="21427" xr:uid="{873DBCF1-DD41-4CBD-9C13-BB7C341B7236}"/>
    <cellStyle name="20% - Accent5 4 7 3" xfId="29873" xr:uid="{B18ED4BA-E21E-47DF-8CDB-BE8DA873C6CC}"/>
    <cellStyle name="20% - Accent5 4 7 4" xfId="12986" xr:uid="{12C55BA3-AD2F-4BF5-B72A-2A7D3F63A087}"/>
    <cellStyle name="20% - Accent5 4 8" xfId="17209" xr:uid="{8C211D4B-6FF2-4CFC-BF4D-35224BD93ABD}"/>
    <cellStyle name="20% - Accent5 4 9" xfId="25651" xr:uid="{F8B1B5DF-AFCC-47A3-BA00-2BC5199BD856}"/>
    <cellStyle name="20% - Accent5 5" xfId="602" xr:uid="{00000000-0005-0000-0000-00000E030000}"/>
    <cellStyle name="20% - Accent5 5 2" xfId="2873" xr:uid="{00000000-0005-0000-0000-00000F030000}"/>
    <cellStyle name="20% - Accent5 5 2 2" xfId="7096" xr:uid="{00000000-0005-0000-0000-000010030000}"/>
    <cellStyle name="20% - Accent5 5 2 2 2" xfId="23979" xr:uid="{A3B7410A-C413-42DB-BA03-B7CC24C8FDA5}"/>
    <cellStyle name="20% - Accent5 5 2 2 3" xfId="32425" xr:uid="{E37DF08A-00A8-494B-8B22-E82D36EA2F00}"/>
    <cellStyle name="20% - Accent5 5 2 2 4" xfId="15538" xr:uid="{03CEBE1E-85BB-4733-A7D2-C9B073A9455F}"/>
    <cellStyle name="20% - Accent5 5 2 3" xfId="19761" xr:uid="{85AFCB3A-6EF8-4D40-B721-F69A3C381862}"/>
    <cellStyle name="20% - Accent5 5 2 4" xfId="28208" xr:uid="{2DB13EC7-A996-40D9-ABC7-C9F486E8DB5F}"/>
    <cellStyle name="20% - Accent5 5 2 5" xfId="11320" xr:uid="{9B963B33-841C-4F14-B5EF-B33D3EBDC160}"/>
    <cellStyle name="20% - Accent5 5 3" xfId="4951" xr:uid="{00000000-0005-0000-0000-000011030000}"/>
    <cellStyle name="20% - Accent5 5 3 2" xfId="21834" xr:uid="{9B89FE3A-5884-49AF-B187-154783505767}"/>
    <cellStyle name="20% - Accent5 5 3 3" xfId="30280" xr:uid="{903E9A42-744B-49F1-9A76-72CA0D9CF9D4}"/>
    <cellStyle name="20% - Accent5 5 3 4" xfId="13393" xr:uid="{208626E8-2E1C-4B4E-B99A-46697A7624B3}"/>
    <cellStyle name="20% - Accent5 5 4" xfId="17616" xr:uid="{462E7D0A-2D63-466B-A990-7002A35876C3}"/>
    <cellStyle name="20% - Accent5 5 5" xfId="26061" xr:uid="{A7F492ED-F84F-4AD8-92B2-2FC9E1BFC044}"/>
    <cellStyle name="20% - Accent5 5 6" xfId="9175" xr:uid="{A2E2C629-171D-4592-8753-745DEAA133B8}"/>
    <cellStyle name="20% - Accent5 6" xfId="1055" xr:uid="{00000000-0005-0000-0000-000012030000}"/>
    <cellStyle name="20% - Accent5 6 2" xfId="3286" xr:uid="{00000000-0005-0000-0000-000013030000}"/>
    <cellStyle name="20% - Accent5 6 2 2" xfId="7509" xr:uid="{00000000-0005-0000-0000-000014030000}"/>
    <cellStyle name="20% - Accent5 6 2 2 2" xfId="24392" xr:uid="{E512A789-8EDC-47BE-9453-8A9CE7B5622F}"/>
    <cellStyle name="20% - Accent5 6 2 2 3" xfId="32838" xr:uid="{19461392-45BF-4A1C-8AFD-8F21EAB28E12}"/>
    <cellStyle name="20% - Accent5 6 2 2 4" xfId="15951" xr:uid="{D22E18AE-4237-4C88-B3F5-C098A5C5074C}"/>
    <cellStyle name="20% - Accent5 6 2 3" xfId="20174" xr:uid="{6B24CCC5-5DCD-485C-8491-BA85075FD088}"/>
    <cellStyle name="20% - Accent5 6 2 4" xfId="28621" xr:uid="{4FC5D981-3A5D-43FE-88A2-808479F9F5C8}"/>
    <cellStyle name="20% - Accent5 6 2 5" xfId="11733" xr:uid="{3F5C6687-877D-4F99-B9C8-5F0F5E9152A4}"/>
    <cellStyle name="20% - Accent5 6 3" xfId="5364" xr:uid="{00000000-0005-0000-0000-000015030000}"/>
    <cellStyle name="20% - Accent5 6 3 2" xfId="22247" xr:uid="{F4C77829-AA7D-4A4D-8901-F4EFD3DA239A}"/>
    <cellStyle name="20% - Accent5 6 3 3" xfId="30693" xr:uid="{C743F349-531F-4469-A48A-B93AFBEB649F}"/>
    <cellStyle name="20% - Accent5 6 3 4" xfId="13806" xr:uid="{686DF913-D7B2-4631-8B49-05A630564DCB}"/>
    <cellStyle name="20% - Accent5 6 4" xfId="18029" xr:uid="{BDD4F8FA-FA02-41FC-94CD-EED07C4FA7D2}"/>
    <cellStyle name="20% - Accent5 6 5" xfId="26474" xr:uid="{FBA8FFB4-BEF4-40AE-9C80-43B0E5F46779}"/>
    <cellStyle name="20% - Accent5 6 6" xfId="9588" xr:uid="{411B5CA0-69DB-4671-A3D9-D0F01D0A2DA0}"/>
    <cellStyle name="20% - Accent5 7" xfId="1469" xr:uid="{00000000-0005-0000-0000-000016030000}"/>
    <cellStyle name="20% - Accent5 7 2" xfId="3699" xr:uid="{00000000-0005-0000-0000-000017030000}"/>
    <cellStyle name="20% - Accent5 7 2 2" xfId="7922" xr:uid="{00000000-0005-0000-0000-000018030000}"/>
    <cellStyle name="20% - Accent5 7 2 2 2" xfId="24805" xr:uid="{FA4D0C6B-3B72-4997-BB6C-499857A62DB8}"/>
    <cellStyle name="20% - Accent5 7 2 2 3" xfId="33251" xr:uid="{F4BBFB84-DF55-4127-B792-B709B6974077}"/>
    <cellStyle name="20% - Accent5 7 2 2 4" xfId="16364" xr:uid="{B3729527-4BEB-4745-8A3A-65965DA467E7}"/>
    <cellStyle name="20% - Accent5 7 2 3" xfId="20587" xr:uid="{E5D63773-91BA-4FDC-ADA8-3FD250D2E28D}"/>
    <cellStyle name="20% - Accent5 7 2 4" xfId="29034" xr:uid="{75D59146-C76F-423E-9A9C-6680E983F995}"/>
    <cellStyle name="20% - Accent5 7 2 5" xfId="12146" xr:uid="{2E0D3956-DB88-4E0A-885D-E2B369092579}"/>
    <cellStyle name="20% - Accent5 7 3" xfId="5777" xr:uid="{00000000-0005-0000-0000-000019030000}"/>
    <cellStyle name="20% - Accent5 7 3 2" xfId="22660" xr:uid="{64DFDAF1-59FE-4C22-A7B6-DFD60E1CF8C1}"/>
    <cellStyle name="20% - Accent5 7 3 3" xfId="31106" xr:uid="{4B9B88A2-1DCF-4012-A73A-06E9B4BE362B}"/>
    <cellStyle name="20% - Accent5 7 3 4" xfId="14219" xr:uid="{298E9861-1E74-4E08-B91D-6BF2877BBF8D}"/>
    <cellStyle name="20% - Accent5 7 4" xfId="18442" xr:uid="{A110B927-FBE1-4309-A5EB-C830B73F0D0A}"/>
    <cellStyle name="20% - Accent5 7 5" xfId="26887" xr:uid="{DB291577-6E28-4AD6-90F9-1235B809DAB3}"/>
    <cellStyle name="20% - Accent5 7 6" xfId="10001" xr:uid="{780EB614-CE9C-4806-AE83-6260A63C9BB8}"/>
    <cellStyle name="20% - Accent5 8" xfId="1883" xr:uid="{00000000-0005-0000-0000-00001A030000}"/>
    <cellStyle name="20% - Accent5 8 2" xfId="4112" xr:uid="{00000000-0005-0000-0000-00001B030000}"/>
    <cellStyle name="20% - Accent5 8 2 2" xfId="8335" xr:uid="{00000000-0005-0000-0000-00001C030000}"/>
    <cellStyle name="20% - Accent5 8 2 2 2" xfId="25218" xr:uid="{EA94F6DA-9370-466D-812A-1BA91CB87DD7}"/>
    <cellStyle name="20% - Accent5 8 2 2 3" xfId="33664" xr:uid="{0D5AE237-0097-46A6-A467-35353413C425}"/>
    <cellStyle name="20% - Accent5 8 2 2 4" xfId="16777" xr:uid="{CF0973A2-E8F9-433C-BD64-BFFACC96CBA9}"/>
    <cellStyle name="20% - Accent5 8 2 3" xfId="21000" xr:uid="{D0C54C5D-3EB0-4FBD-B898-CD1482AA9420}"/>
    <cellStyle name="20% - Accent5 8 2 4" xfId="29447" xr:uid="{8F9A51EF-23FB-4A4E-952C-7E46819D9433}"/>
    <cellStyle name="20% - Accent5 8 2 5" xfId="12559" xr:uid="{C14E4F56-322B-49AC-9E8C-56E06D11BB31}"/>
    <cellStyle name="20% - Accent5 8 3" xfId="6190" xr:uid="{00000000-0005-0000-0000-00001D030000}"/>
    <cellStyle name="20% - Accent5 8 3 2" xfId="23073" xr:uid="{C61A34D6-9F8F-4CFE-B06A-8B0966F2E5E4}"/>
    <cellStyle name="20% - Accent5 8 3 3" xfId="31519" xr:uid="{DEEF94FA-90BE-4E3E-AD2F-948091A3BFCD}"/>
    <cellStyle name="20% - Accent5 8 3 4" xfId="14632" xr:uid="{B4BEEA42-6A25-40BA-9731-0722EBF09841}"/>
    <cellStyle name="20% - Accent5 8 4" xfId="18855" xr:uid="{050B8E1B-A516-4C89-BF4C-9D3AD6028AF6}"/>
    <cellStyle name="20% - Accent5 8 5" xfId="27300" xr:uid="{F6C97BFC-0C07-4D82-ABC2-0D8834E26665}"/>
    <cellStyle name="20% - Accent5 8 6" xfId="10414" xr:uid="{DF221E2B-E91E-4C2B-A7F9-113EE718079D}"/>
    <cellStyle name="20% - Accent5 9" xfId="2296" xr:uid="{00000000-0005-0000-0000-00001E030000}"/>
    <cellStyle name="20% - Accent5 9 2" xfId="6603" xr:uid="{00000000-0005-0000-0000-00001F030000}"/>
    <cellStyle name="20% - Accent5 9 2 2" xfId="23486" xr:uid="{B08D184E-BCEF-48AD-A528-751AA3A2E542}"/>
    <cellStyle name="20% - Accent5 9 2 3" xfId="31932" xr:uid="{EE9CBD48-7D39-45D0-83A8-1304E144507B}"/>
    <cellStyle name="20% - Accent5 9 2 4" xfId="15045" xr:uid="{593016E0-E61A-4982-894E-F50BB0BCC1E8}"/>
    <cellStyle name="20% - Accent5 9 3" xfId="19268" xr:uid="{EAD33A82-D64C-4701-B7C5-C3547076875D}"/>
    <cellStyle name="20% - Accent5 9 4" xfId="27713" xr:uid="{37A7C32E-6DFA-42F5-A9BB-6306F2FE0223}"/>
    <cellStyle name="20% - Accent5 9 5" xfId="10827" xr:uid="{C2865AA7-C08D-41B1-BF0F-0435A046F1DB}"/>
    <cellStyle name="20% - Accent6" xfId="41" builtinId="50" customBuiltin="1"/>
    <cellStyle name="20% - Accent6 10" xfId="4545" xr:uid="{00000000-0005-0000-0000-000021030000}"/>
    <cellStyle name="20% - Accent6 10 2" xfId="21428" xr:uid="{08AED7CE-1B47-4CDE-820F-2789FCF82DA6}"/>
    <cellStyle name="20% - Accent6 10 3" xfId="29874" xr:uid="{DA6D608D-63E0-4FDB-AEB7-13FEFBDF21BC}"/>
    <cellStyle name="20% - Accent6 10 4" xfId="12987" xr:uid="{7EBEB4D7-B297-4EF2-A429-E6F4C4E69086}"/>
    <cellStyle name="20% - Accent6 11" xfId="17210" xr:uid="{D1355CDB-D324-4939-A4A7-39197EBFD55F}"/>
    <cellStyle name="20% - Accent6 12" xfId="25652" xr:uid="{8E89C732-92BD-47EF-94B3-B160E31982DF}"/>
    <cellStyle name="20% - Accent6 13" xfId="8769" xr:uid="{098D7570-5CBE-4D00-873B-2A68D1EAA260}"/>
    <cellStyle name="20% - Accent6 2" xfId="42" xr:uid="{00000000-0005-0000-0000-000022030000}"/>
    <cellStyle name="20% - Accent6 2 10" xfId="17211" xr:uid="{AD721346-55B2-4422-A59F-6BC3B17E192C}"/>
    <cellStyle name="20% - Accent6 2 11" xfId="25653" xr:uid="{E1AB0433-0A70-4E54-82FF-B57C4736BF08}"/>
    <cellStyle name="20% - Accent6 2 12" xfId="8770" xr:uid="{F2FAE0EB-0E2E-4AB1-A537-120C8C53FEBC}"/>
    <cellStyle name="20% - Accent6 2 2" xfId="43" xr:uid="{00000000-0005-0000-0000-000023030000}"/>
    <cellStyle name="20% - Accent6 2 2 10" xfId="25654" xr:uid="{207F9669-1C97-4841-B492-5ACF58A56BA3}"/>
    <cellStyle name="20% - Accent6 2 2 11" xfId="8771" xr:uid="{3FCA9D96-8C6C-4C5F-8B10-A96CC224C7DF}"/>
    <cellStyle name="20% - Accent6 2 2 2" xfId="44" xr:uid="{00000000-0005-0000-0000-000024030000}"/>
    <cellStyle name="20% - Accent6 2 2 2 10" xfId="8772" xr:uid="{008C0E7B-C585-49A7-81D8-FF748995B98C}"/>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23990" xr:uid="{25AD8CC6-64E5-402D-AFFB-C9F2740BACCA}"/>
    <cellStyle name="20% - Accent6 2 2 2 2 2 2 3" xfId="32436" xr:uid="{1D45AF0A-BCB3-4F31-89D1-A071375C34BD}"/>
    <cellStyle name="20% - Accent6 2 2 2 2 2 2 4" xfId="15549" xr:uid="{40755DD6-C232-4563-92EE-C3A75C435E77}"/>
    <cellStyle name="20% - Accent6 2 2 2 2 2 3" xfId="19772" xr:uid="{2A9BDF61-0915-4C85-921D-69491DC8D54E}"/>
    <cellStyle name="20% - Accent6 2 2 2 2 2 4" xfId="28219" xr:uid="{886E0E94-B9BA-46B4-B7D5-0971CCFE0EA5}"/>
    <cellStyle name="20% - Accent6 2 2 2 2 2 5" xfId="11331" xr:uid="{6F4CB42E-17B0-42E2-B0F6-51699FFE8CEE}"/>
    <cellStyle name="20% - Accent6 2 2 2 2 3" xfId="4962" xr:uid="{00000000-0005-0000-0000-000028030000}"/>
    <cellStyle name="20% - Accent6 2 2 2 2 3 2" xfId="21845" xr:uid="{A1B424F7-6144-4962-BABD-6FF892A0A2B0}"/>
    <cellStyle name="20% - Accent6 2 2 2 2 3 3" xfId="30291" xr:uid="{1CC48562-7D9C-4DC4-BBCE-3154E77A8A28}"/>
    <cellStyle name="20% - Accent6 2 2 2 2 3 4" xfId="13404" xr:uid="{2F1CAE2E-7D36-4624-953B-DCB6C7B3CD6E}"/>
    <cellStyle name="20% - Accent6 2 2 2 2 4" xfId="17627" xr:uid="{262F6A81-0C00-4D1E-9433-03C42947B381}"/>
    <cellStyle name="20% - Accent6 2 2 2 2 5" xfId="26072" xr:uid="{E241D0AB-7050-4461-B26C-A2DAF637E953}"/>
    <cellStyle name="20% - Accent6 2 2 2 2 6" xfId="9186" xr:uid="{8C81DCDF-51D5-48B5-8B6B-FB1D3AA9EBD7}"/>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24403" xr:uid="{48E37851-164E-4765-9513-AA4183F19670}"/>
    <cellStyle name="20% - Accent6 2 2 2 3 2 2 3" xfId="32849" xr:uid="{0C671E98-6791-41B6-B7AA-49A17AFA450B}"/>
    <cellStyle name="20% - Accent6 2 2 2 3 2 2 4" xfId="15962" xr:uid="{99413F68-7917-4444-AB51-6C8C1C998F5E}"/>
    <cellStyle name="20% - Accent6 2 2 2 3 2 3" xfId="20185" xr:uid="{81CE01AA-B048-4208-AB67-6A1A2443F0E5}"/>
    <cellStyle name="20% - Accent6 2 2 2 3 2 4" xfId="28632" xr:uid="{731DA9BD-272E-46CF-8914-2A9AF9572185}"/>
    <cellStyle name="20% - Accent6 2 2 2 3 2 5" xfId="11744" xr:uid="{6893BDA3-A4AC-4795-AA92-EA5FE0A51A52}"/>
    <cellStyle name="20% - Accent6 2 2 2 3 3" xfId="5375" xr:uid="{00000000-0005-0000-0000-00002C030000}"/>
    <cellStyle name="20% - Accent6 2 2 2 3 3 2" xfId="22258" xr:uid="{3B85B1FF-7624-4222-88D9-1E5D0312D96D}"/>
    <cellStyle name="20% - Accent6 2 2 2 3 3 3" xfId="30704" xr:uid="{CEC9E7D5-D51A-4E38-9EE7-CDB4A08FDACB}"/>
    <cellStyle name="20% - Accent6 2 2 2 3 3 4" xfId="13817" xr:uid="{62864E3D-A10C-4F1B-B773-F0D73F732605}"/>
    <cellStyle name="20% - Accent6 2 2 2 3 4" xfId="18040" xr:uid="{2E4D4360-5FD1-43C3-B98E-36089F29EA83}"/>
    <cellStyle name="20% - Accent6 2 2 2 3 5" xfId="26485" xr:uid="{4B33C9CA-F2ED-4ECB-8A92-7D02765410AD}"/>
    <cellStyle name="20% - Accent6 2 2 2 3 6" xfId="9599" xr:uid="{F4A50236-78A7-4F07-81E3-65AB601C191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24816" xr:uid="{16A58D5A-68BB-4F24-8ED7-816AC6294568}"/>
    <cellStyle name="20% - Accent6 2 2 2 4 2 2 3" xfId="33262" xr:uid="{41B8B159-CABC-41E8-A23C-FF5F9381F2CA}"/>
    <cellStyle name="20% - Accent6 2 2 2 4 2 2 4" xfId="16375" xr:uid="{708DCD3D-A1CB-4101-8C2D-1E1B257832C7}"/>
    <cellStyle name="20% - Accent6 2 2 2 4 2 3" xfId="20598" xr:uid="{857652F6-3DC7-4F5B-98B5-BB9F17382CD6}"/>
    <cellStyle name="20% - Accent6 2 2 2 4 2 4" xfId="29045" xr:uid="{5A2A9451-BA15-40E5-8532-1D2916BCA0F2}"/>
    <cellStyle name="20% - Accent6 2 2 2 4 2 5" xfId="12157" xr:uid="{20EDE700-52C2-47B5-8AA5-EFD95DCA41DD}"/>
    <cellStyle name="20% - Accent6 2 2 2 4 3" xfId="5788" xr:uid="{00000000-0005-0000-0000-000030030000}"/>
    <cellStyle name="20% - Accent6 2 2 2 4 3 2" xfId="22671" xr:uid="{6ACE0554-09B9-4282-BCE0-9B596695F8B4}"/>
    <cellStyle name="20% - Accent6 2 2 2 4 3 3" xfId="31117" xr:uid="{8067B73C-E63F-4B24-9F71-A189FDC0D757}"/>
    <cellStyle name="20% - Accent6 2 2 2 4 3 4" xfId="14230" xr:uid="{61557631-AB43-470A-88AE-BC59F38EE8F0}"/>
    <cellStyle name="20% - Accent6 2 2 2 4 4" xfId="18453" xr:uid="{51959AFB-ACBB-4B84-A7B6-0E60FC0932A7}"/>
    <cellStyle name="20% - Accent6 2 2 2 4 5" xfId="26898" xr:uid="{0FA93DF0-A8C3-4CC7-8170-C6B91C30696A}"/>
    <cellStyle name="20% - Accent6 2 2 2 4 6" xfId="10012" xr:uid="{6F235F17-8388-499D-A282-4A7910E68D64}"/>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25229" xr:uid="{B4E0793E-7600-4429-970D-102CA500CFE8}"/>
    <cellStyle name="20% - Accent6 2 2 2 5 2 2 3" xfId="33675" xr:uid="{74B4D574-E12F-4F3C-A766-1A8B4003B33F}"/>
    <cellStyle name="20% - Accent6 2 2 2 5 2 2 4" xfId="16788" xr:uid="{F55F317B-4511-486C-B024-9CEE4F781DB4}"/>
    <cellStyle name="20% - Accent6 2 2 2 5 2 3" xfId="21011" xr:uid="{FAFC96B6-CD3B-4E8C-9333-A15AB74C519E}"/>
    <cellStyle name="20% - Accent6 2 2 2 5 2 4" xfId="29458" xr:uid="{52F87AF2-F088-4B8C-AB99-FC460CAD5A1C}"/>
    <cellStyle name="20% - Accent6 2 2 2 5 2 5" xfId="12570" xr:uid="{DA5EF7AA-265B-4FDD-9755-DEB9DDC4243B}"/>
    <cellStyle name="20% - Accent6 2 2 2 5 3" xfId="6201" xr:uid="{00000000-0005-0000-0000-000034030000}"/>
    <cellStyle name="20% - Accent6 2 2 2 5 3 2" xfId="23084" xr:uid="{2AD07F2B-90AF-495F-BB61-6BEE7952F87D}"/>
    <cellStyle name="20% - Accent6 2 2 2 5 3 3" xfId="31530" xr:uid="{72A77339-88CD-4034-8DC9-3719F362D1AD}"/>
    <cellStyle name="20% - Accent6 2 2 2 5 3 4" xfId="14643" xr:uid="{9D864FF4-85E4-41B1-8D22-4B8B81A11C79}"/>
    <cellStyle name="20% - Accent6 2 2 2 5 4" xfId="18866" xr:uid="{0236FAB6-BA09-43A1-A054-BB8AD3EB1FEA}"/>
    <cellStyle name="20% - Accent6 2 2 2 5 5" xfId="27311" xr:uid="{BFAEE5D8-7C56-4F77-8A7B-C637C0F728F3}"/>
    <cellStyle name="20% - Accent6 2 2 2 5 6" xfId="10425" xr:uid="{8F82973C-9D33-4188-A109-9BBEC601AFF6}"/>
    <cellStyle name="20% - Accent6 2 2 2 6" xfId="2307" xr:uid="{00000000-0005-0000-0000-000035030000}"/>
    <cellStyle name="20% - Accent6 2 2 2 6 2" xfId="6614" xr:uid="{00000000-0005-0000-0000-000036030000}"/>
    <cellStyle name="20% - Accent6 2 2 2 6 2 2" xfId="23497" xr:uid="{C2057F4F-66EC-4FD3-98AA-F8EAF1525F16}"/>
    <cellStyle name="20% - Accent6 2 2 2 6 2 3" xfId="31943" xr:uid="{72121F65-24C9-4ECC-8B83-97EF07C9327D}"/>
    <cellStyle name="20% - Accent6 2 2 2 6 2 4" xfId="15056" xr:uid="{B16D3314-72A1-432F-B01F-F9BFE0CEE99F}"/>
    <cellStyle name="20% - Accent6 2 2 2 6 3" xfId="19279" xr:uid="{83F4B6EE-273F-412B-B6B6-C0957409CE79}"/>
    <cellStyle name="20% - Accent6 2 2 2 6 4" xfId="27724" xr:uid="{4DD35CDB-10B4-4AD9-BCD5-955567818F1E}"/>
    <cellStyle name="20% - Accent6 2 2 2 6 5" xfId="10838" xr:uid="{3366FC5E-F04A-4992-94BC-96357882C2CC}"/>
    <cellStyle name="20% - Accent6 2 2 2 7" xfId="4548" xr:uid="{00000000-0005-0000-0000-000037030000}"/>
    <cellStyle name="20% - Accent6 2 2 2 7 2" xfId="21431" xr:uid="{C9FAA789-5321-4577-B547-1B9DE87C4C8D}"/>
    <cellStyle name="20% - Accent6 2 2 2 7 3" xfId="29877" xr:uid="{5E7E08C6-FBE5-4075-A7ED-C46270412162}"/>
    <cellStyle name="20% - Accent6 2 2 2 7 4" xfId="12990" xr:uid="{25889493-C809-4ED4-BF99-CD8E1B989A21}"/>
    <cellStyle name="20% - Accent6 2 2 2 8" xfId="17213" xr:uid="{BC865518-BD08-4786-AB22-B5EABDABB0F1}"/>
    <cellStyle name="20% - Accent6 2 2 2 9" xfId="25655" xr:uid="{2888DEC7-92B9-4041-AAE6-F2B6052ECF0F}"/>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23989" xr:uid="{34ACF551-A2D2-4CBA-84B4-002F1BEE665C}"/>
    <cellStyle name="20% - Accent6 2 2 3 2 2 3" xfId="32435" xr:uid="{48E38FE0-41EF-453B-B1CD-BBFAE0432A24}"/>
    <cellStyle name="20% - Accent6 2 2 3 2 2 4" xfId="15548" xr:uid="{241E6834-5F30-4B2F-B94E-E1EF1452521D}"/>
    <cellStyle name="20% - Accent6 2 2 3 2 3" xfId="19771" xr:uid="{86E3D400-EC2F-4561-8305-00B27469DFEA}"/>
    <cellStyle name="20% - Accent6 2 2 3 2 4" xfId="28218" xr:uid="{733750D6-6B5E-4CE7-82FA-7DB413C8C50B}"/>
    <cellStyle name="20% - Accent6 2 2 3 2 5" xfId="11330" xr:uid="{4A0807AA-0DE0-4886-B110-5264E444FD54}"/>
    <cellStyle name="20% - Accent6 2 2 3 3" xfId="4961" xr:uid="{00000000-0005-0000-0000-00003B030000}"/>
    <cellStyle name="20% - Accent6 2 2 3 3 2" xfId="21844" xr:uid="{FB002CD9-9AA4-4020-B056-17FCA43EB2EE}"/>
    <cellStyle name="20% - Accent6 2 2 3 3 3" xfId="30290" xr:uid="{44B252E8-270A-4FB9-9C95-4F872026A7D0}"/>
    <cellStyle name="20% - Accent6 2 2 3 3 4" xfId="13403" xr:uid="{50480C9F-1CA9-4F9F-976F-F17906354062}"/>
    <cellStyle name="20% - Accent6 2 2 3 4" xfId="17626" xr:uid="{8D2BFC4C-940B-481C-808A-A0D26C1A3B62}"/>
    <cellStyle name="20% - Accent6 2 2 3 5" xfId="26071" xr:uid="{F5D9BFD1-E8F9-4D20-9280-7262E4F35843}"/>
    <cellStyle name="20% - Accent6 2 2 3 6" xfId="9185" xr:uid="{AFA805C4-FD0B-412E-A7BF-0DA635CAC450}"/>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24402" xr:uid="{8A87A84F-A5FE-4A34-8F79-7E8C560D2BC2}"/>
    <cellStyle name="20% - Accent6 2 2 4 2 2 3" xfId="32848" xr:uid="{B7BB9C23-F9B0-481B-9FFB-CDFF82871A97}"/>
    <cellStyle name="20% - Accent6 2 2 4 2 2 4" xfId="15961" xr:uid="{F7FC17EA-8F85-4343-AA66-17E90015AD62}"/>
    <cellStyle name="20% - Accent6 2 2 4 2 3" xfId="20184" xr:uid="{1B1594E8-FE45-4250-87FD-53928A4478CD}"/>
    <cellStyle name="20% - Accent6 2 2 4 2 4" xfId="28631" xr:uid="{13FB7AB3-4DAE-41EA-9D98-05D482099F89}"/>
    <cellStyle name="20% - Accent6 2 2 4 2 5" xfId="11743" xr:uid="{6305A50B-7FF5-4EA2-AB1F-448EA3C8344C}"/>
    <cellStyle name="20% - Accent6 2 2 4 3" xfId="5374" xr:uid="{00000000-0005-0000-0000-00003F030000}"/>
    <cellStyle name="20% - Accent6 2 2 4 3 2" xfId="22257" xr:uid="{281363B8-F666-4376-A7D0-F5EE4F118F20}"/>
    <cellStyle name="20% - Accent6 2 2 4 3 3" xfId="30703" xr:uid="{DFD4A791-2836-44AA-8CE2-046E66EC5C81}"/>
    <cellStyle name="20% - Accent6 2 2 4 3 4" xfId="13816" xr:uid="{ED585A5D-B976-4A4B-9099-67AF5F898A8E}"/>
    <cellStyle name="20% - Accent6 2 2 4 4" xfId="18039" xr:uid="{81FCEEF8-CD08-4C7D-9545-76D22886797C}"/>
    <cellStyle name="20% - Accent6 2 2 4 5" xfId="26484" xr:uid="{EC34137D-5B58-4E72-918B-B29DD2E9E19C}"/>
    <cellStyle name="20% - Accent6 2 2 4 6" xfId="9598" xr:uid="{185ACA35-BCC9-4A68-99C8-4E040A287678}"/>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24815" xr:uid="{085C22F7-6481-4E55-804A-8FE214370829}"/>
    <cellStyle name="20% - Accent6 2 2 5 2 2 3" xfId="33261" xr:uid="{634E40C0-8AF0-4327-8982-ED503DC9874A}"/>
    <cellStyle name="20% - Accent6 2 2 5 2 2 4" xfId="16374" xr:uid="{0CBEDB7A-0045-4FC6-B9C4-30B8CCDDA987}"/>
    <cellStyle name="20% - Accent6 2 2 5 2 3" xfId="20597" xr:uid="{43E6DB76-AD0B-44F8-9CEA-2FF1860D7ACC}"/>
    <cellStyle name="20% - Accent6 2 2 5 2 4" xfId="29044" xr:uid="{77573D3C-E042-449B-B5B8-B78060E4E66D}"/>
    <cellStyle name="20% - Accent6 2 2 5 2 5" xfId="12156" xr:uid="{146FF48E-7002-4373-BF19-13AD004AA933}"/>
    <cellStyle name="20% - Accent6 2 2 5 3" xfId="5787" xr:uid="{00000000-0005-0000-0000-000043030000}"/>
    <cellStyle name="20% - Accent6 2 2 5 3 2" xfId="22670" xr:uid="{8AF27088-BCE7-434E-8D7D-685C69ABC536}"/>
    <cellStyle name="20% - Accent6 2 2 5 3 3" xfId="31116" xr:uid="{87AACB5C-43B0-420A-A03D-00029C698F1F}"/>
    <cellStyle name="20% - Accent6 2 2 5 3 4" xfId="14229" xr:uid="{15EEF0AE-EF2B-4A29-B43F-95FD412439AD}"/>
    <cellStyle name="20% - Accent6 2 2 5 4" xfId="18452" xr:uid="{21B81A5D-A322-4781-A90A-9EABCB43468B}"/>
    <cellStyle name="20% - Accent6 2 2 5 5" xfId="26897" xr:uid="{12218113-3BBD-4B8F-A840-069B661BAF87}"/>
    <cellStyle name="20% - Accent6 2 2 5 6" xfId="10011" xr:uid="{19018BAB-83E7-41DB-AAA1-09F47D59F234}"/>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25228" xr:uid="{3613758F-A4C2-4206-BFAF-5D02418BFEFA}"/>
    <cellStyle name="20% - Accent6 2 2 6 2 2 3" xfId="33674" xr:uid="{0DA67B09-3C5A-4282-B753-03C4C8098577}"/>
    <cellStyle name="20% - Accent6 2 2 6 2 2 4" xfId="16787" xr:uid="{41A02D4D-7647-4BE3-95F0-2EE7DD22949A}"/>
    <cellStyle name="20% - Accent6 2 2 6 2 3" xfId="21010" xr:uid="{F9AE77B0-EE20-4F80-A472-7D97C7075F1E}"/>
    <cellStyle name="20% - Accent6 2 2 6 2 4" xfId="29457" xr:uid="{AB1995FF-0B86-44EA-8DDB-D70658A9A34D}"/>
    <cellStyle name="20% - Accent6 2 2 6 2 5" xfId="12569" xr:uid="{C94A8800-4DBF-4D34-833B-11104B802B61}"/>
    <cellStyle name="20% - Accent6 2 2 6 3" xfId="6200" xr:uid="{00000000-0005-0000-0000-000047030000}"/>
    <cellStyle name="20% - Accent6 2 2 6 3 2" xfId="23083" xr:uid="{8D8FCA15-A735-4929-B506-317875240538}"/>
    <cellStyle name="20% - Accent6 2 2 6 3 3" xfId="31529" xr:uid="{55CF8240-D3AF-4776-82D4-9CD6671B2B25}"/>
    <cellStyle name="20% - Accent6 2 2 6 3 4" xfId="14642" xr:uid="{0D4883BA-8FAD-43B8-95D1-A76B577F6922}"/>
    <cellStyle name="20% - Accent6 2 2 6 4" xfId="18865" xr:uid="{0E60F618-9B8F-491C-A39E-CCB96C1DC4E7}"/>
    <cellStyle name="20% - Accent6 2 2 6 5" xfId="27310" xr:uid="{65E09ABE-D012-453B-B71C-A9018943D291}"/>
    <cellStyle name="20% - Accent6 2 2 6 6" xfId="10424" xr:uid="{95D4188B-C829-45DD-BEC4-BEBD26092B40}"/>
    <cellStyle name="20% - Accent6 2 2 7" xfId="2306" xr:uid="{00000000-0005-0000-0000-000048030000}"/>
    <cellStyle name="20% - Accent6 2 2 7 2" xfId="6613" xr:uid="{00000000-0005-0000-0000-000049030000}"/>
    <cellStyle name="20% - Accent6 2 2 7 2 2" xfId="23496" xr:uid="{231E71BE-66B9-482C-B8F5-63806D231903}"/>
    <cellStyle name="20% - Accent6 2 2 7 2 3" xfId="31942" xr:uid="{481AF401-715B-4B9A-901F-3F51A72529C4}"/>
    <cellStyle name="20% - Accent6 2 2 7 2 4" xfId="15055" xr:uid="{25D96ECB-850B-46D4-9694-DA34BB3B6E4E}"/>
    <cellStyle name="20% - Accent6 2 2 7 3" xfId="19278" xr:uid="{4DAC832E-202E-4CC0-BBC7-4E03D11B00D2}"/>
    <cellStyle name="20% - Accent6 2 2 7 4" xfId="27723" xr:uid="{FF6BF5EC-C4C8-4A51-BF5C-FD071C32767A}"/>
    <cellStyle name="20% - Accent6 2 2 7 5" xfId="10837" xr:uid="{6DF19083-AF2F-46E1-B12B-99DD078AE412}"/>
    <cellStyle name="20% - Accent6 2 2 8" xfId="4547" xr:uid="{00000000-0005-0000-0000-00004A030000}"/>
    <cellStyle name="20% - Accent6 2 2 8 2" xfId="21430" xr:uid="{B914ED92-28C2-450E-98B6-46FD02495F8F}"/>
    <cellStyle name="20% - Accent6 2 2 8 3" xfId="29876" xr:uid="{BF0FEC32-DCE7-4E7B-8362-ED868678FC07}"/>
    <cellStyle name="20% - Accent6 2 2 8 4" xfId="12989" xr:uid="{04134DDA-B864-49DD-BA7B-CF4FDCDD640E}"/>
    <cellStyle name="20% - Accent6 2 2 9" xfId="17212" xr:uid="{0983266A-A799-404C-B63B-860E2802419C}"/>
    <cellStyle name="20% - Accent6 2 3" xfId="45" xr:uid="{00000000-0005-0000-0000-00004B030000}"/>
    <cellStyle name="20% - Accent6 2 3 10" xfId="8773" xr:uid="{C5AB20F0-88C9-41F7-B1F4-CE7F3A04470E}"/>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23991" xr:uid="{E97C74F7-3713-4D5E-9B44-709A202F0C3A}"/>
    <cellStyle name="20% - Accent6 2 3 2 2 2 3" xfId="32437" xr:uid="{7FEF814F-1A29-493C-857D-5D8FC438DEF8}"/>
    <cellStyle name="20% - Accent6 2 3 2 2 2 4" xfId="15550" xr:uid="{37878ED9-EC05-49E8-9751-AC7DE2680E70}"/>
    <cellStyle name="20% - Accent6 2 3 2 2 3" xfId="19773" xr:uid="{83948B79-E8A7-4E6B-858C-236290F092E0}"/>
    <cellStyle name="20% - Accent6 2 3 2 2 4" xfId="28220" xr:uid="{D6EDD0A0-57BE-4BB7-BCAF-076B55ECB173}"/>
    <cellStyle name="20% - Accent6 2 3 2 2 5" xfId="11332" xr:uid="{5382E1F0-6829-4328-8430-6FFFBF1CE2CD}"/>
    <cellStyle name="20% - Accent6 2 3 2 3" xfId="4963" xr:uid="{00000000-0005-0000-0000-00004F030000}"/>
    <cellStyle name="20% - Accent6 2 3 2 3 2" xfId="21846" xr:uid="{0A3EF0E3-CB17-40BC-B608-EB3C0F47F88C}"/>
    <cellStyle name="20% - Accent6 2 3 2 3 3" xfId="30292" xr:uid="{2FC1E03D-509A-44B3-82F9-F0E1427F7F97}"/>
    <cellStyle name="20% - Accent6 2 3 2 3 4" xfId="13405" xr:uid="{DFC0C36D-F07E-4984-9B6A-5B35284E8F05}"/>
    <cellStyle name="20% - Accent6 2 3 2 4" xfId="17628" xr:uid="{0D8E00C7-AFA4-48B4-8DAB-75D7854EAB17}"/>
    <cellStyle name="20% - Accent6 2 3 2 5" xfId="26073" xr:uid="{6C796FDE-FA8C-439D-981E-5A6C7495F477}"/>
    <cellStyle name="20% - Accent6 2 3 2 6" xfId="9187" xr:uid="{1C3454C0-4D29-4ED2-A978-B738CDA6538B}"/>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24404" xr:uid="{0EEB2BE4-81A3-470B-8269-6C2538BD230B}"/>
    <cellStyle name="20% - Accent6 2 3 3 2 2 3" xfId="32850" xr:uid="{22F22A76-AFBA-4508-956D-F055110A64F1}"/>
    <cellStyle name="20% - Accent6 2 3 3 2 2 4" xfId="15963" xr:uid="{CD73A146-4F28-4EE7-B134-F6E514FB118A}"/>
    <cellStyle name="20% - Accent6 2 3 3 2 3" xfId="20186" xr:uid="{9BCDDD3D-99F7-455C-B1E2-6B03A93B976F}"/>
    <cellStyle name="20% - Accent6 2 3 3 2 4" xfId="28633" xr:uid="{78C368A6-36C7-41FC-8506-CF1F4D81F4BB}"/>
    <cellStyle name="20% - Accent6 2 3 3 2 5" xfId="11745" xr:uid="{6AF601BC-7CFE-49B6-B6E4-3A6B303D8F2F}"/>
    <cellStyle name="20% - Accent6 2 3 3 3" xfId="5376" xr:uid="{00000000-0005-0000-0000-000053030000}"/>
    <cellStyle name="20% - Accent6 2 3 3 3 2" xfId="22259" xr:uid="{7F0889C8-8C00-4A54-A270-348830366C96}"/>
    <cellStyle name="20% - Accent6 2 3 3 3 3" xfId="30705" xr:uid="{73AFC0EE-8389-4460-AB20-408BBCC46864}"/>
    <cellStyle name="20% - Accent6 2 3 3 3 4" xfId="13818" xr:uid="{F262F2D0-0FD8-4E28-984C-466D26367A73}"/>
    <cellStyle name="20% - Accent6 2 3 3 4" xfId="18041" xr:uid="{8714F0FE-723F-49C8-9C38-7E3B4E34006F}"/>
    <cellStyle name="20% - Accent6 2 3 3 5" xfId="26486" xr:uid="{4E3C7271-1A8D-4536-9A2D-B15DD8BD7022}"/>
    <cellStyle name="20% - Accent6 2 3 3 6" xfId="9600" xr:uid="{977C1226-63F3-4706-A168-FA244ADC9229}"/>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24817" xr:uid="{22F1AF88-E77E-4372-A192-1458C2C94E86}"/>
    <cellStyle name="20% - Accent6 2 3 4 2 2 3" xfId="33263" xr:uid="{2A96AD43-2C2D-441E-912E-C56676673EBA}"/>
    <cellStyle name="20% - Accent6 2 3 4 2 2 4" xfId="16376" xr:uid="{DE615BD2-288A-4344-900B-3B03FC562F88}"/>
    <cellStyle name="20% - Accent6 2 3 4 2 3" xfId="20599" xr:uid="{A70C20CD-5B75-4618-963B-FBCF02555BAF}"/>
    <cellStyle name="20% - Accent6 2 3 4 2 4" xfId="29046" xr:uid="{ED5FF3CE-75F5-44EE-B914-9A78DB470D50}"/>
    <cellStyle name="20% - Accent6 2 3 4 2 5" xfId="12158" xr:uid="{2CD05A23-586A-4682-A3CC-DE5EC0E7007B}"/>
    <cellStyle name="20% - Accent6 2 3 4 3" xfId="5789" xr:uid="{00000000-0005-0000-0000-000057030000}"/>
    <cellStyle name="20% - Accent6 2 3 4 3 2" xfId="22672" xr:uid="{AE12FDB5-0740-46F3-B8F1-32347C8AEC38}"/>
    <cellStyle name="20% - Accent6 2 3 4 3 3" xfId="31118" xr:uid="{3674E448-3622-4077-8BDB-E9474E2EAF7E}"/>
    <cellStyle name="20% - Accent6 2 3 4 3 4" xfId="14231" xr:uid="{E7930915-BC4D-4F78-9EBC-4B21520DD59F}"/>
    <cellStyle name="20% - Accent6 2 3 4 4" xfId="18454" xr:uid="{B1974A57-F348-4C03-9A49-1382053DCE72}"/>
    <cellStyle name="20% - Accent6 2 3 4 5" xfId="26899" xr:uid="{D8F534F0-D36A-41C6-8315-BFAB57453D3D}"/>
    <cellStyle name="20% - Accent6 2 3 4 6" xfId="10013" xr:uid="{ACC190D0-8762-4FAB-AC92-0FF3EC25B9B8}"/>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25230" xr:uid="{7541B109-7E82-4822-B9A7-A018867168AB}"/>
    <cellStyle name="20% - Accent6 2 3 5 2 2 3" xfId="33676" xr:uid="{1F23CB15-C7BD-427D-946D-C8E96E2B2E44}"/>
    <cellStyle name="20% - Accent6 2 3 5 2 2 4" xfId="16789" xr:uid="{DE11101D-0483-408A-A020-040743EDD584}"/>
    <cellStyle name="20% - Accent6 2 3 5 2 3" xfId="21012" xr:uid="{DED0F590-5E68-4FD0-8B9B-BE407279EF1B}"/>
    <cellStyle name="20% - Accent6 2 3 5 2 4" xfId="29459" xr:uid="{B9AEBA16-D636-40A3-92E5-91DF74FB9597}"/>
    <cellStyle name="20% - Accent6 2 3 5 2 5" xfId="12571" xr:uid="{4555F299-0EFC-41C4-8D97-B6C681CFFC71}"/>
    <cellStyle name="20% - Accent6 2 3 5 3" xfId="6202" xr:uid="{00000000-0005-0000-0000-00005B030000}"/>
    <cellStyle name="20% - Accent6 2 3 5 3 2" xfId="23085" xr:uid="{6EC44A0A-7AD2-43AD-BC7F-A024C7C0AA64}"/>
    <cellStyle name="20% - Accent6 2 3 5 3 3" xfId="31531" xr:uid="{63E0F41B-B175-46D3-9801-3CE36BA4D623}"/>
    <cellStyle name="20% - Accent6 2 3 5 3 4" xfId="14644" xr:uid="{87DE27E7-886B-4FA8-8AAC-C54BA4950858}"/>
    <cellStyle name="20% - Accent6 2 3 5 4" xfId="18867" xr:uid="{8F006391-B3AB-4C3B-9997-75822841B297}"/>
    <cellStyle name="20% - Accent6 2 3 5 5" xfId="27312" xr:uid="{85E29F47-69DB-44A9-95E0-969AC4F2EA05}"/>
    <cellStyle name="20% - Accent6 2 3 5 6" xfId="10426" xr:uid="{432B5E1B-FA9A-47BE-943E-9E9F7D61A907}"/>
    <cellStyle name="20% - Accent6 2 3 6" xfId="2308" xr:uid="{00000000-0005-0000-0000-00005C030000}"/>
    <cellStyle name="20% - Accent6 2 3 6 2" xfId="6615" xr:uid="{00000000-0005-0000-0000-00005D030000}"/>
    <cellStyle name="20% - Accent6 2 3 6 2 2" xfId="23498" xr:uid="{41073231-8C04-4EC2-984B-2C0A53A67769}"/>
    <cellStyle name="20% - Accent6 2 3 6 2 3" xfId="31944" xr:uid="{F957036C-1235-4E60-84AA-A31055E95BCE}"/>
    <cellStyle name="20% - Accent6 2 3 6 2 4" xfId="15057" xr:uid="{00D354CF-0721-436A-9828-04FF5645C308}"/>
    <cellStyle name="20% - Accent6 2 3 6 3" xfId="19280" xr:uid="{B8253899-70E4-4040-A85F-0B033392DF10}"/>
    <cellStyle name="20% - Accent6 2 3 6 4" xfId="27725" xr:uid="{420CF474-C280-4F41-81A9-447D7E95AAF2}"/>
    <cellStyle name="20% - Accent6 2 3 6 5" xfId="10839" xr:uid="{A2B27F5F-5ADA-4D9E-BE7C-AB6CAFAE6E3E}"/>
    <cellStyle name="20% - Accent6 2 3 7" xfId="4549" xr:uid="{00000000-0005-0000-0000-00005E030000}"/>
    <cellStyle name="20% - Accent6 2 3 7 2" xfId="21432" xr:uid="{682A798D-06AB-4F35-87BC-4F271CF39F07}"/>
    <cellStyle name="20% - Accent6 2 3 7 3" xfId="29878" xr:uid="{F6F79804-A30B-442F-8B46-F9DC584E6F42}"/>
    <cellStyle name="20% - Accent6 2 3 7 4" xfId="12991" xr:uid="{C76F9AB6-8F32-4E60-B893-D3C7F4EB8025}"/>
    <cellStyle name="20% - Accent6 2 3 8" xfId="17214" xr:uid="{DD7DDFFC-9D38-4BDA-AB8B-C0E83BD19D75}"/>
    <cellStyle name="20% - Accent6 2 3 9" xfId="25656" xr:uid="{2915028D-6902-475E-BCE5-3CBDD0ED69BA}"/>
    <cellStyle name="20% - Accent6 2 4" xfId="611" xr:uid="{00000000-0005-0000-0000-00005F030000}"/>
    <cellStyle name="20% - Accent6 2 4 2" xfId="2882" xr:uid="{00000000-0005-0000-0000-000060030000}"/>
    <cellStyle name="20% - Accent6 2 4 2 2" xfId="7105" xr:uid="{00000000-0005-0000-0000-000061030000}"/>
    <cellStyle name="20% - Accent6 2 4 2 2 2" xfId="23988" xr:uid="{C5CB7693-3FDF-4A02-B93B-6B6C5D94BD0B}"/>
    <cellStyle name="20% - Accent6 2 4 2 2 3" xfId="32434" xr:uid="{295F1003-8D16-4688-A727-EC6A187CC472}"/>
    <cellStyle name="20% - Accent6 2 4 2 2 4" xfId="15547" xr:uid="{14B13A97-AD0D-47D9-AF5C-1BC8303DC73C}"/>
    <cellStyle name="20% - Accent6 2 4 2 3" xfId="19770" xr:uid="{003D570B-7307-4414-9C79-DB4D83179E7A}"/>
    <cellStyle name="20% - Accent6 2 4 2 4" xfId="28217" xr:uid="{8476903C-E1C5-4CE5-92E7-2B9AEF18248D}"/>
    <cellStyle name="20% - Accent6 2 4 2 5" xfId="11329" xr:uid="{6FC80DB6-8637-4359-80F2-9C388064740E}"/>
    <cellStyle name="20% - Accent6 2 4 3" xfId="4960" xr:uid="{00000000-0005-0000-0000-000062030000}"/>
    <cellStyle name="20% - Accent6 2 4 3 2" xfId="21843" xr:uid="{B4196214-EA5A-4822-9627-E37455A828CA}"/>
    <cellStyle name="20% - Accent6 2 4 3 3" xfId="30289" xr:uid="{BC23024A-6552-4EC1-91B4-2614B71FACDC}"/>
    <cellStyle name="20% - Accent6 2 4 3 4" xfId="13402" xr:uid="{AC781D63-C7FF-4197-AF4A-CA3582314E94}"/>
    <cellStyle name="20% - Accent6 2 4 4" xfId="17625" xr:uid="{3BEC216C-78E4-4ADA-A22E-102B0F9E8210}"/>
    <cellStyle name="20% - Accent6 2 4 5" xfId="26070" xr:uid="{D7FE3669-95DE-4D2B-943F-32649882EEAE}"/>
    <cellStyle name="20% - Accent6 2 4 6" xfId="9184" xr:uid="{1FD7E501-3671-4A1A-84BB-C7236FED9885}"/>
    <cellStyle name="20% - Accent6 2 5" xfId="1064" xr:uid="{00000000-0005-0000-0000-000063030000}"/>
    <cellStyle name="20% - Accent6 2 5 2" xfId="3295" xr:uid="{00000000-0005-0000-0000-000064030000}"/>
    <cellStyle name="20% - Accent6 2 5 2 2" xfId="7518" xr:uid="{00000000-0005-0000-0000-000065030000}"/>
    <cellStyle name="20% - Accent6 2 5 2 2 2" xfId="24401" xr:uid="{4BC62B8D-A15A-4827-8887-F3F481077DFF}"/>
    <cellStyle name="20% - Accent6 2 5 2 2 3" xfId="32847" xr:uid="{E5312583-56A5-4B20-84E5-5390F65FB8DC}"/>
    <cellStyle name="20% - Accent6 2 5 2 2 4" xfId="15960" xr:uid="{481E8C08-8718-4D68-9B6E-09F707381429}"/>
    <cellStyle name="20% - Accent6 2 5 2 3" xfId="20183" xr:uid="{318A6A13-61BB-428C-9630-688E33920E16}"/>
    <cellStyle name="20% - Accent6 2 5 2 4" xfId="28630" xr:uid="{AB351FE6-2B54-4B72-B49D-3237CC46598C}"/>
    <cellStyle name="20% - Accent6 2 5 2 5" xfId="11742" xr:uid="{AA9A8BD8-AFE1-4B9F-A3B5-CD7D7E780505}"/>
    <cellStyle name="20% - Accent6 2 5 3" xfId="5373" xr:uid="{00000000-0005-0000-0000-000066030000}"/>
    <cellStyle name="20% - Accent6 2 5 3 2" xfId="22256" xr:uid="{B98C5ECF-E446-4552-90CA-178340C8E3A5}"/>
    <cellStyle name="20% - Accent6 2 5 3 3" xfId="30702" xr:uid="{5F53CCF7-1F6F-44B0-98F9-E84ED92EEE2C}"/>
    <cellStyle name="20% - Accent6 2 5 3 4" xfId="13815" xr:uid="{A94ECBA1-9FDB-4F67-B4F2-1E271E67689F}"/>
    <cellStyle name="20% - Accent6 2 5 4" xfId="18038" xr:uid="{7EE97401-15BE-4B94-A75E-68C2A8C4FAAF}"/>
    <cellStyle name="20% - Accent6 2 5 5" xfId="26483" xr:uid="{2C3B7C85-F421-400A-A547-1D6B9214E8CF}"/>
    <cellStyle name="20% - Accent6 2 5 6" xfId="9597" xr:uid="{7C258239-D287-4F80-B4E6-5EB225CEAA99}"/>
    <cellStyle name="20% - Accent6 2 6" xfId="1478" xr:uid="{00000000-0005-0000-0000-000067030000}"/>
    <cellStyle name="20% - Accent6 2 6 2" xfId="3708" xr:uid="{00000000-0005-0000-0000-000068030000}"/>
    <cellStyle name="20% - Accent6 2 6 2 2" xfId="7931" xr:uid="{00000000-0005-0000-0000-000069030000}"/>
    <cellStyle name="20% - Accent6 2 6 2 2 2" xfId="24814" xr:uid="{1E99D88F-4FD2-4588-B12D-81C48F36C8DF}"/>
    <cellStyle name="20% - Accent6 2 6 2 2 3" xfId="33260" xr:uid="{CF82122D-5B38-478D-9956-5681FF9E7606}"/>
    <cellStyle name="20% - Accent6 2 6 2 2 4" xfId="16373" xr:uid="{BE995245-A438-427B-AD24-09F956BB2E95}"/>
    <cellStyle name="20% - Accent6 2 6 2 3" xfId="20596" xr:uid="{995E0FB6-3BA5-45B5-ACC3-7551C047E6D7}"/>
    <cellStyle name="20% - Accent6 2 6 2 4" xfId="29043" xr:uid="{1DD1CDEC-F332-40C9-854D-38E3BF5B8AFC}"/>
    <cellStyle name="20% - Accent6 2 6 2 5" xfId="12155" xr:uid="{AA0F5D5C-3B38-4B9D-A144-F2920DBC92A9}"/>
    <cellStyle name="20% - Accent6 2 6 3" xfId="5786" xr:uid="{00000000-0005-0000-0000-00006A030000}"/>
    <cellStyle name="20% - Accent6 2 6 3 2" xfId="22669" xr:uid="{73DB9C27-84A8-4ED8-9D01-388C022AFA3B}"/>
    <cellStyle name="20% - Accent6 2 6 3 3" xfId="31115" xr:uid="{13E2AD82-6ACC-4E6D-868A-F6E3850E1C3E}"/>
    <cellStyle name="20% - Accent6 2 6 3 4" xfId="14228" xr:uid="{8AF7B151-EA8E-4020-9215-9F1E992AA994}"/>
    <cellStyle name="20% - Accent6 2 6 4" xfId="18451" xr:uid="{53AB06AE-54BB-4D50-891B-F9DEE1A4A289}"/>
    <cellStyle name="20% - Accent6 2 6 5" xfId="26896" xr:uid="{32E6C2CB-6A22-4CBE-90BA-FB3EE3A16FF9}"/>
    <cellStyle name="20% - Accent6 2 6 6" xfId="10010" xr:uid="{371986F7-9CEF-4F2F-B431-AC318A4D3C7A}"/>
    <cellStyle name="20% - Accent6 2 7" xfId="1892" xr:uid="{00000000-0005-0000-0000-00006B030000}"/>
    <cellStyle name="20% - Accent6 2 7 2" xfId="4121" xr:uid="{00000000-0005-0000-0000-00006C030000}"/>
    <cellStyle name="20% - Accent6 2 7 2 2" xfId="8344" xr:uid="{00000000-0005-0000-0000-00006D030000}"/>
    <cellStyle name="20% - Accent6 2 7 2 2 2" xfId="25227" xr:uid="{84502890-CEB1-429F-963A-0C07A16DBEA3}"/>
    <cellStyle name="20% - Accent6 2 7 2 2 3" xfId="33673" xr:uid="{DBD79618-B0F2-4AE9-A94F-F2EABC9FC653}"/>
    <cellStyle name="20% - Accent6 2 7 2 2 4" xfId="16786" xr:uid="{DA3166FE-0F92-4A89-9C47-77FD8BE1DD86}"/>
    <cellStyle name="20% - Accent6 2 7 2 3" xfId="21009" xr:uid="{78A8E92E-CB7E-4A50-8CBD-839554014C77}"/>
    <cellStyle name="20% - Accent6 2 7 2 4" xfId="29456" xr:uid="{2449CE46-EF46-47CD-937E-EFD2E8529520}"/>
    <cellStyle name="20% - Accent6 2 7 2 5" xfId="12568" xr:uid="{FFABC0CA-2264-40D1-850F-001E99E7DDEB}"/>
    <cellStyle name="20% - Accent6 2 7 3" xfId="6199" xr:uid="{00000000-0005-0000-0000-00006E030000}"/>
    <cellStyle name="20% - Accent6 2 7 3 2" xfId="23082" xr:uid="{AD2B6573-1CBD-4138-AA1F-D3A33158B33D}"/>
    <cellStyle name="20% - Accent6 2 7 3 3" xfId="31528" xr:uid="{6E55B324-E68B-4C8C-8AA0-2CB227D4DA81}"/>
    <cellStyle name="20% - Accent6 2 7 3 4" xfId="14641" xr:uid="{CC1DF250-0190-4611-92E2-52EF2FE140B1}"/>
    <cellStyle name="20% - Accent6 2 7 4" xfId="18864" xr:uid="{F316F832-B52A-4ED2-86E4-CA49DC2A3ABB}"/>
    <cellStyle name="20% - Accent6 2 7 5" xfId="27309" xr:uid="{21B4CFAF-84D0-4012-99E6-B40F104DD03C}"/>
    <cellStyle name="20% - Accent6 2 7 6" xfId="10423" xr:uid="{656BA3B6-8A64-439C-B0B0-7B8AB4FC3590}"/>
    <cellStyle name="20% - Accent6 2 8" xfId="2305" xr:uid="{00000000-0005-0000-0000-00006F030000}"/>
    <cellStyle name="20% - Accent6 2 8 2" xfId="6612" xr:uid="{00000000-0005-0000-0000-000070030000}"/>
    <cellStyle name="20% - Accent6 2 8 2 2" xfId="23495" xr:uid="{21DA04C3-A731-47A7-A627-51C07E2536A7}"/>
    <cellStyle name="20% - Accent6 2 8 2 3" xfId="31941" xr:uid="{365D8789-72CF-4F14-BEB7-BC815ED5BDD3}"/>
    <cellStyle name="20% - Accent6 2 8 2 4" xfId="15054" xr:uid="{0F5BC4FA-EE9A-4DA3-BA94-5923B59337A6}"/>
    <cellStyle name="20% - Accent6 2 8 3" xfId="19277" xr:uid="{350EFAB2-1F1F-4A8B-ACB6-79D1FB3AFFB3}"/>
    <cellStyle name="20% - Accent6 2 8 4" xfId="27722" xr:uid="{915DAB98-3032-4BA2-9B17-43C1F018086E}"/>
    <cellStyle name="20% - Accent6 2 8 5" xfId="10836" xr:uid="{5CD2CCBB-DE95-4CEE-A531-EBF5597FD6AB}"/>
    <cellStyle name="20% - Accent6 2 9" xfId="4546" xr:uid="{00000000-0005-0000-0000-000071030000}"/>
    <cellStyle name="20% - Accent6 2 9 2" xfId="21429" xr:uid="{AD0D80D5-7807-4224-8DDC-79B09A4511DF}"/>
    <cellStyle name="20% - Accent6 2 9 3" xfId="29875" xr:uid="{FA27499C-A3E1-48A9-A7BF-AAD19FA76464}"/>
    <cellStyle name="20% - Accent6 2 9 4" xfId="12988" xr:uid="{71CA7CB7-0CA6-4DB2-BC20-612D0E04F011}"/>
    <cellStyle name="20% - Accent6 3" xfId="46" xr:uid="{00000000-0005-0000-0000-000072030000}"/>
    <cellStyle name="20% - Accent6 3 10" xfId="25657" xr:uid="{979239EA-7129-4E83-99EB-7993002A402E}"/>
    <cellStyle name="20% - Accent6 3 11" xfId="8774" xr:uid="{9131D8EE-7071-41B1-9DFB-34BF7C3C7CB9}"/>
    <cellStyle name="20% - Accent6 3 2" xfId="47" xr:uid="{00000000-0005-0000-0000-000073030000}"/>
    <cellStyle name="20% - Accent6 3 2 10" xfId="8775" xr:uid="{F13AF80E-1FBF-4089-9392-4A3C9582686B}"/>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23993" xr:uid="{FD5007F0-2C8D-417B-89DE-8A36A4909EE5}"/>
    <cellStyle name="20% - Accent6 3 2 2 2 2 3" xfId="32439" xr:uid="{F714AA2C-9427-49BD-B3D5-68B5825663F1}"/>
    <cellStyle name="20% - Accent6 3 2 2 2 2 4" xfId="15552" xr:uid="{C4DC3E34-4A46-4C70-BE78-1F2B9D678EB1}"/>
    <cellStyle name="20% - Accent6 3 2 2 2 3" xfId="19775" xr:uid="{34499F0B-2D2C-49DA-8963-7B3132DC09F6}"/>
    <cellStyle name="20% - Accent6 3 2 2 2 4" xfId="28222" xr:uid="{26276996-7A72-4C90-94DA-E1C5D8BD743C}"/>
    <cellStyle name="20% - Accent6 3 2 2 2 5" xfId="11334" xr:uid="{33B863EE-65BF-4A19-B33F-13540B236C1F}"/>
    <cellStyle name="20% - Accent6 3 2 2 3" xfId="4965" xr:uid="{00000000-0005-0000-0000-000077030000}"/>
    <cellStyle name="20% - Accent6 3 2 2 3 2" xfId="21848" xr:uid="{2C21F0D1-4241-4F97-A555-F092BCDA03E0}"/>
    <cellStyle name="20% - Accent6 3 2 2 3 3" xfId="30294" xr:uid="{B9E78738-3222-4BFF-B3C9-3084BE24F22C}"/>
    <cellStyle name="20% - Accent6 3 2 2 3 4" xfId="13407" xr:uid="{81FBD0A9-D0EB-4B78-90D0-5330E8D0738F}"/>
    <cellStyle name="20% - Accent6 3 2 2 4" xfId="17630" xr:uid="{88EE20E4-0AA2-49F0-9493-0D1EA2147953}"/>
    <cellStyle name="20% - Accent6 3 2 2 5" xfId="26075" xr:uid="{8937B702-BF90-4718-82CC-22EF950928D6}"/>
    <cellStyle name="20% - Accent6 3 2 2 6" xfId="9189" xr:uid="{623C89E3-0C62-4AEB-89A3-7236B5D8F70B}"/>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24406" xr:uid="{EE0837D0-1EA1-4B7C-93D5-B9B52A953E8B}"/>
    <cellStyle name="20% - Accent6 3 2 3 2 2 3" xfId="32852" xr:uid="{64F648AC-65F9-419A-8650-31E9C14877DF}"/>
    <cellStyle name="20% - Accent6 3 2 3 2 2 4" xfId="15965" xr:uid="{2E334D98-0D04-4C51-BCA0-5A5E33BC3FF7}"/>
    <cellStyle name="20% - Accent6 3 2 3 2 3" xfId="20188" xr:uid="{3F75B197-3807-40A7-BDFA-2F5E1827320A}"/>
    <cellStyle name="20% - Accent6 3 2 3 2 4" xfId="28635" xr:uid="{FFF65A04-8D87-40AF-8756-B6A6CCDD8A30}"/>
    <cellStyle name="20% - Accent6 3 2 3 2 5" xfId="11747" xr:uid="{691595EE-8A55-4AEE-A85A-4CBA62A39245}"/>
    <cellStyle name="20% - Accent6 3 2 3 3" xfId="5378" xr:uid="{00000000-0005-0000-0000-00007B030000}"/>
    <cellStyle name="20% - Accent6 3 2 3 3 2" xfId="22261" xr:uid="{6868084B-5B18-4E42-B38A-A6A01E459A8C}"/>
    <cellStyle name="20% - Accent6 3 2 3 3 3" xfId="30707" xr:uid="{342A3179-2B42-4489-8916-8B85EE2AB8DE}"/>
    <cellStyle name="20% - Accent6 3 2 3 3 4" xfId="13820" xr:uid="{F9E3C1DB-DDD0-4C69-B7D5-FF637D7FDDB2}"/>
    <cellStyle name="20% - Accent6 3 2 3 4" xfId="18043" xr:uid="{6F093EA2-EF5E-47E0-B224-20C7623B163F}"/>
    <cellStyle name="20% - Accent6 3 2 3 5" xfId="26488" xr:uid="{254FEA08-A739-4F9F-9A7B-BDFA019A68F6}"/>
    <cellStyle name="20% - Accent6 3 2 3 6" xfId="9602" xr:uid="{72F27B0E-7FC5-4DD7-B1ED-2F57EB8FE087}"/>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24819" xr:uid="{FF7F0284-84A0-4D42-94D9-7AD0ADF5E278}"/>
    <cellStyle name="20% - Accent6 3 2 4 2 2 3" xfId="33265" xr:uid="{C6494140-BFDD-49A6-B023-5CFD53EDEE77}"/>
    <cellStyle name="20% - Accent6 3 2 4 2 2 4" xfId="16378" xr:uid="{0A31BF95-E2E7-4F04-B90F-90B7EEE6E23B}"/>
    <cellStyle name="20% - Accent6 3 2 4 2 3" xfId="20601" xr:uid="{60DB6853-2FA5-404C-9562-679A6C92C0BB}"/>
    <cellStyle name="20% - Accent6 3 2 4 2 4" xfId="29048" xr:uid="{EC710B24-D4E6-4806-8177-E227D60F0487}"/>
    <cellStyle name="20% - Accent6 3 2 4 2 5" xfId="12160" xr:uid="{A2DC8047-C487-4FC5-A332-F9F8E05DF6F2}"/>
    <cellStyle name="20% - Accent6 3 2 4 3" xfId="5791" xr:uid="{00000000-0005-0000-0000-00007F030000}"/>
    <cellStyle name="20% - Accent6 3 2 4 3 2" xfId="22674" xr:uid="{C0B1355E-A15E-449B-97B4-87ED4944A1DF}"/>
    <cellStyle name="20% - Accent6 3 2 4 3 3" xfId="31120" xr:uid="{1ED85BC8-591A-41C3-9857-256E5B90FE0C}"/>
    <cellStyle name="20% - Accent6 3 2 4 3 4" xfId="14233" xr:uid="{3E052E38-9B28-4BF8-AD43-807782736E28}"/>
    <cellStyle name="20% - Accent6 3 2 4 4" xfId="18456" xr:uid="{33674B9C-0852-4539-91F7-AA86FDFCB24F}"/>
    <cellStyle name="20% - Accent6 3 2 4 5" xfId="26901" xr:uid="{6860D4E7-BA3B-4D78-B14F-A0DA6AA264C7}"/>
    <cellStyle name="20% - Accent6 3 2 4 6" xfId="10015" xr:uid="{A6528271-F280-40EE-AFB3-BE34A9A77FFF}"/>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25232" xr:uid="{6FE71C39-DDD5-47F2-B1F4-991B9B84A217}"/>
    <cellStyle name="20% - Accent6 3 2 5 2 2 3" xfId="33678" xr:uid="{5816A11B-83F7-4468-A904-76394C73D7A7}"/>
    <cellStyle name="20% - Accent6 3 2 5 2 2 4" xfId="16791" xr:uid="{A80632F7-8818-43DC-9EBF-B2B9E7A56492}"/>
    <cellStyle name="20% - Accent6 3 2 5 2 3" xfId="21014" xr:uid="{F7947B9D-F791-4B0E-8311-3521FA034B18}"/>
    <cellStyle name="20% - Accent6 3 2 5 2 4" xfId="29461" xr:uid="{87426071-AAD2-45E4-8CDB-A3DF2A93776E}"/>
    <cellStyle name="20% - Accent6 3 2 5 2 5" xfId="12573" xr:uid="{F0EFB8FC-94DA-4EC0-A3B2-7E4F918CE986}"/>
    <cellStyle name="20% - Accent6 3 2 5 3" xfId="6204" xr:uid="{00000000-0005-0000-0000-000083030000}"/>
    <cellStyle name="20% - Accent6 3 2 5 3 2" xfId="23087" xr:uid="{B6F958DF-FB53-49DD-9263-1D9028C8F018}"/>
    <cellStyle name="20% - Accent6 3 2 5 3 3" xfId="31533" xr:uid="{FFC34EDD-115B-4DB3-9614-25A4CC531118}"/>
    <cellStyle name="20% - Accent6 3 2 5 3 4" xfId="14646" xr:uid="{113F1F03-E55A-4857-A848-2010666E669A}"/>
    <cellStyle name="20% - Accent6 3 2 5 4" xfId="18869" xr:uid="{466EACD3-F33F-421B-B311-243C9154D0CD}"/>
    <cellStyle name="20% - Accent6 3 2 5 5" xfId="27314" xr:uid="{5E553012-7F1F-476F-B8C0-5E924065D09D}"/>
    <cellStyle name="20% - Accent6 3 2 5 6" xfId="10428" xr:uid="{EE64CB0C-C6A4-4E2F-B746-DA3BA483A2EA}"/>
    <cellStyle name="20% - Accent6 3 2 6" xfId="2310" xr:uid="{00000000-0005-0000-0000-000084030000}"/>
    <cellStyle name="20% - Accent6 3 2 6 2" xfId="6617" xr:uid="{00000000-0005-0000-0000-000085030000}"/>
    <cellStyle name="20% - Accent6 3 2 6 2 2" xfId="23500" xr:uid="{93A36D25-4B62-4DFE-AFC1-45BD5F5CDD0C}"/>
    <cellStyle name="20% - Accent6 3 2 6 2 3" xfId="31946" xr:uid="{84A01862-C5BE-4D15-A321-7ABB11F9FA10}"/>
    <cellStyle name="20% - Accent6 3 2 6 2 4" xfId="15059" xr:uid="{C5DD4268-FA4E-4811-82BC-E80043AE343D}"/>
    <cellStyle name="20% - Accent6 3 2 6 3" xfId="19282" xr:uid="{5C395B2E-E854-46A0-97B6-DCE0E46973B4}"/>
    <cellStyle name="20% - Accent6 3 2 6 4" xfId="27727" xr:uid="{B9DF1F56-9E20-4AD4-9C84-429FA53DC5E8}"/>
    <cellStyle name="20% - Accent6 3 2 6 5" xfId="10841" xr:uid="{D5094F2D-F2DE-4364-9D32-A21636735E11}"/>
    <cellStyle name="20% - Accent6 3 2 7" xfId="4551" xr:uid="{00000000-0005-0000-0000-000086030000}"/>
    <cellStyle name="20% - Accent6 3 2 7 2" xfId="21434" xr:uid="{DCEE67DF-29E2-475C-A6B7-CBD5C67E2F7A}"/>
    <cellStyle name="20% - Accent6 3 2 7 3" xfId="29880" xr:uid="{A0979FCE-B6DA-4F4B-9F00-512D25A415CB}"/>
    <cellStyle name="20% - Accent6 3 2 7 4" xfId="12993" xr:uid="{0583D62B-5370-4C2B-A1AF-4859C7ED5AA2}"/>
    <cellStyle name="20% - Accent6 3 2 8" xfId="17216" xr:uid="{4216E602-FF01-4F87-8980-F96BC76C7441}"/>
    <cellStyle name="20% - Accent6 3 2 9" xfId="25658" xr:uid="{45ABE846-793D-4C7F-832B-036C2A984B26}"/>
    <cellStyle name="20% - Accent6 3 3" xfId="615" xr:uid="{00000000-0005-0000-0000-000087030000}"/>
    <cellStyle name="20% - Accent6 3 3 2" xfId="2886" xr:uid="{00000000-0005-0000-0000-000088030000}"/>
    <cellStyle name="20% - Accent6 3 3 2 2" xfId="7109" xr:uid="{00000000-0005-0000-0000-000089030000}"/>
    <cellStyle name="20% - Accent6 3 3 2 2 2" xfId="23992" xr:uid="{CDF41F29-C38D-4F5F-B60F-873BB3B3E7CB}"/>
    <cellStyle name="20% - Accent6 3 3 2 2 3" xfId="32438" xr:uid="{14AA1081-1C66-4BA5-818B-D78D0576AF85}"/>
    <cellStyle name="20% - Accent6 3 3 2 2 4" xfId="15551" xr:uid="{D10CA224-6971-495E-8B26-177DF4851367}"/>
    <cellStyle name="20% - Accent6 3 3 2 3" xfId="19774" xr:uid="{3025A408-D8EF-468A-BD56-4F043DCA7BF1}"/>
    <cellStyle name="20% - Accent6 3 3 2 4" xfId="28221" xr:uid="{2E0F6328-04F3-44A3-B312-F0C84B5EFD3D}"/>
    <cellStyle name="20% - Accent6 3 3 2 5" xfId="11333" xr:uid="{E9219F10-EEF3-49FD-AFFF-B72FD2BC3BED}"/>
    <cellStyle name="20% - Accent6 3 3 3" xfId="4964" xr:uid="{00000000-0005-0000-0000-00008A030000}"/>
    <cellStyle name="20% - Accent6 3 3 3 2" xfId="21847" xr:uid="{95848F5B-9E6B-4ACC-A514-1617E16C90F1}"/>
    <cellStyle name="20% - Accent6 3 3 3 3" xfId="30293" xr:uid="{11E46A76-15E9-4F0C-9F7F-24B3568370E0}"/>
    <cellStyle name="20% - Accent6 3 3 3 4" xfId="13406" xr:uid="{127F3E53-D939-4B9B-A75E-A19F0FAAB916}"/>
    <cellStyle name="20% - Accent6 3 3 4" xfId="17629" xr:uid="{9981718B-BC60-457E-A268-F9EDD78B1702}"/>
    <cellStyle name="20% - Accent6 3 3 5" xfId="26074" xr:uid="{F6A02717-05A9-44A5-951A-016389AD949F}"/>
    <cellStyle name="20% - Accent6 3 3 6" xfId="9188" xr:uid="{56CABCE1-16BC-48B4-BAB6-5914C03F3C58}"/>
    <cellStyle name="20% - Accent6 3 4" xfId="1068" xr:uid="{00000000-0005-0000-0000-00008B030000}"/>
    <cellStyle name="20% - Accent6 3 4 2" xfId="3299" xr:uid="{00000000-0005-0000-0000-00008C030000}"/>
    <cellStyle name="20% - Accent6 3 4 2 2" xfId="7522" xr:uid="{00000000-0005-0000-0000-00008D030000}"/>
    <cellStyle name="20% - Accent6 3 4 2 2 2" xfId="24405" xr:uid="{EB7DDDE7-012C-435B-AE20-935E460F70E9}"/>
    <cellStyle name="20% - Accent6 3 4 2 2 3" xfId="32851" xr:uid="{06E8FD77-AB29-4DC9-A427-CDA574321A84}"/>
    <cellStyle name="20% - Accent6 3 4 2 2 4" xfId="15964" xr:uid="{EA52E977-524A-4DF5-B175-BE406E9EDC81}"/>
    <cellStyle name="20% - Accent6 3 4 2 3" xfId="20187" xr:uid="{CD91A6FF-3522-4CEF-A64D-19CF534E2D52}"/>
    <cellStyle name="20% - Accent6 3 4 2 4" xfId="28634" xr:uid="{90327BA2-36D2-4D7C-8542-FAAC59A76440}"/>
    <cellStyle name="20% - Accent6 3 4 2 5" xfId="11746" xr:uid="{180EFE33-5405-403C-8837-0AEE057CC872}"/>
    <cellStyle name="20% - Accent6 3 4 3" xfId="5377" xr:uid="{00000000-0005-0000-0000-00008E030000}"/>
    <cellStyle name="20% - Accent6 3 4 3 2" xfId="22260" xr:uid="{2CC0EC82-7634-4397-8C48-4731A8A94B65}"/>
    <cellStyle name="20% - Accent6 3 4 3 3" xfId="30706" xr:uid="{A8CC9BF3-A64A-4724-AFFA-401E32FFAF3E}"/>
    <cellStyle name="20% - Accent6 3 4 3 4" xfId="13819" xr:uid="{05768599-BE28-4716-A4E9-510752DB0DAF}"/>
    <cellStyle name="20% - Accent6 3 4 4" xfId="18042" xr:uid="{9F9674FE-A550-4B63-A29B-A89B61F60118}"/>
    <cellStyle name="20% - Accent6 3 4 5" xfId="26487" xr:uid="{580A7671-15D4-4440-BEF8-130A268D84E5}"/>
    <cellStyle name="20% - Accent6 3 4 6" xfId="9601" xr:uid="{D99E0DF0-5218-49B2-9667-376ACAE7E540}"/>
    <cellStyle name="20% - Accent6 3 5" xfId="1482" xr:uid="{00000000-0005-0000-0000-00008F030000}"/>
    <cellStyle name="20% - Accent6 3 5 2" xfId="3712" xr:uid="{00000000-0005-0000-0000-000090030000}"/>
    <cellStyle name="20% - Accent6 3 5 2 2" xfId="7935" xr:uid="{00000000-0005-0000-0000-000091030000}"/>
    <cellStyle name="20% - Accent6 3 5 2 2 2" xfId="24818" xr:uid="{A60E4835-94F7-4588-B428-F1B85762B773}"/>
    <cellStyle name="20% - Accent6 3 5 2 2 3" xfId="33264" xr:uid="{9AD880C4-6077-48DB-A8CB-4B60150E2DAE}"/>
    <cellStyle name="20% - Accent6 3 5 2 2 4" xfId="16377" xr:uid="{DB3F90CE-7F70-45C4-86BF-1D6D5760560F}"/>
    <cellStyle name="20% - Accent6 3 5 2 3" xfId="20600" xr:uid="{CEE146B1-AC1D-48A9-8351-CE6E54AD9A8F}"/>
    <cellStyle name="20% - Accent6 3 5 2 4" xfId="29047" xr:uid="{412544C5-642A-45DE-95F2-37B86D342F15}"/>
    <cellStyle name="20% - Accent6 3 5 2 5" xfId="12159" xr:uid="{3A8FC15C-FFD6-46A9-98CA-E7900DB99F39}"/>
    <cellStyle name="20% - Accent6 3 5 3" xfId="5790" xr:uid="{00000000-0005-0000-0000-000092030000}"/>
    <cellStyle name="20% - Accent6 3 5 3 2" xfId="22673" xr:uid="{653BCD75-141A-4484-8344-530D76FE3BC3}"/>
    <cellStyle name="20% - Accent6 3 5 3 3" xfId="31119" xr:uid="{B5E42B47-62D8-483F-8146-972291CC23F3}"/>
    <cellStyle name="20% - Accent6 3 5 3 4" xfId="14232" xr:uid="{0F03291E-6A65-4B1A-907F-75F0635F05FD}"/>
    <cellStyle name="20% - Accent6 3 5 4" xfId="18455" xr:uid="{EECFB744-A179-48B5-8DD8-309FDD0F3657}"/>
    <cellStyle name="20% - Accent6 3 5 5" xfId="26900" xr:uid="{3A88DAFD-20FD-4877-A9EB-DDCA21CC2A09}"/>
    <cellStyle name="20% - Accent6 3 5 6" xfId="10014" xr:uid="{428052FD-5333-4964-A774-F760508F71B3}"/>
    <cellStyle name="20% - Accent6 3 6" xfId="1896" xr:uid="{00000000-0005-0000-0000-000093030000}"/>
    <cellStyle name="20% - Accent6 3 6 2" xfId="4125" xr:uid="{00000000-0005-0000-0000-000094030000}"/>
    <cellStyle name="20% - Accent6 3 6 2 2" xfId="8348" xr:uid="{00000000-0005-0000-0000-000095030000}"/>
    <cellStyle name="20% - Accent6 3 6 2 2 2" xfId="25231" xr:uid="{76678473-2EEE-4624-A431-DE7777BF77A3}"/>
    <cellStyle name="20% - Accent6 3 6 2 2 3" xfId="33677" xr:uid="{737582F4-3F18-4B38-89CE-D5AC814F33FA}"/>
    <cellStyle name="20% - Accent6 3 6 2 2 4" xfId="16790" xr:uid="{E0C177CC-FC62-4862-A1AE-478E5D3E6561}"/>
    <cellStyle name="20% - Accent6 3 6 2 3" xfId="21013" xr:uid="{C5EEDF47-7D92-4201-8E4E-6F91A396F2D7}"/>
    <cellStyle name="20% - Accent6 3 6 2 4" xfId="29460" xr:uid="{B9D132AB-87E3-4C88-B0F6-3AB320D343BD}"/>
    <cellStyle name="20% - Accent6 3 6 2 5" xfId="12572" xr:uid="{F739DA07-020C-4638-B440-B4715D943B83}"/>
    <cellStyle name="20% - Accent6 3 6 3" xfId="6203" xr:uid="{00000000-0005-0000-0000-000096030000}"/>
    <cellStyle name="20% - Accent6 3 6 3 2" xfId="23086" xr:uid="{C8AA6F5E-8934-4071-B935-4E43AEC4C3AF}"/>
    <cellStyle name="20% - Accent6 3 6 3 3" xfId="31532" xr:uid="{B29A9DCB-2B59-41A0-99A3-FF696AD6863A}"/>
    <cellStyle name="20% - Accent6 3 6 3 4" xfId="14645" xr:uid="{411240BA-490A-45A8-9F74-F7145C711FCB}"/>
    <cellStyle name="20% - Accent6 3 6 4" xfId="18868" xr:uid="{7B5ABD5B-B1BD-49AD-96AD-777FA51BB52B}"/>
    <cellStyle name="20% - Accent6 3 6 5" xfId="27313" xr:uid="{6E5E4ECC-71D8-4D99-BD79-DBA8928ED931}"/>
    <cellStyle name="20% - Accent6 3 6 6" xfId="10427" xr:uid="{4FBEE1D4-F96A-4636-B14C-ACA9A478FFC4}"/>
    <cellStyle name="20% - Accent6 3 7" xfId="2309" xr:uid="{00000000-0005-0000-0000-000097030000}"/>
    <cellStyle name="20% - Accent6 3 7 2" xfId="6616" xr:uid="{00000000-0005-0000-0000-000098030000}"/>
    <cellStyle name="20% - Accent6 3 7 2 2" xfId="23499" xr:uid="{412CE4ED-B7FB-47E9-8548-F5227B7B3A85}"/>
    <cellStyle name="20% - Accent6 3 7 2 3" xfId="31945" xr:uid="{ACF4F9DA-3930-4895-AA28-849718044113}"/>
    <cellStyle name="20% - Accent6 3 7 2 4" xfId="15058" xr:uid="{EA71454F-F0EB-4993-89A5-D7D28709ED47}"/>
    <cellStyle name="20% - Accent6 3 7 3" xfId="19281" xr:uid="{3BA1C1D4-40F5-448C-BD09-3462388F88CE}"/>
    <cellStyle name="20% - Accent6 3 7 4" xfId="27726" xr:uid="{B2D741C2-EA14-4ECF-8F43-8F63C87AE28A}"/>
    <cellStyle name="20% - Accent6 3 7 5" xfId="10840" xr:uid="{EF87C88B-9AB4-45EA-86C5-FF4F1BDCB48F}"/>
    <cellStyle name="20% - Accent6 3 8" xfId="4550" xr:uid="{00000000-0005-0000-0000-000099030000}"/>
    <cellStyle name="20% - Accent6 3 8 2" xfId="21433" xr:uid="{193149B5-811E-4F38-8118-44198C4493C5}"/>
    <cellStyle name="20% - Accent6 3 8 3" xfId="29879" xr:uid="{84880B8E-E560-442C-B549-499FC4474ED4}"/>
    <cellStyle name="20% - Accent6 3 8 4" xfId="12992" xr:uid="{04522584-28DD-47D5-86D1-3EF3FDBB1F0F}"/>
    <cellStyle name="20% - Accent6 3 9" xfId="17215" xr:uid="{10C3F855-2076-4882-A9BA-8D1225C1AD56}"/>
    <cellStyle name="20% - Accent6 4" xfId="48" xr:uid="{00000000-0005-0000-0000-00009A030000}"/>
    <cellStyle name="20% - Accent6 4 10" xfId="8776" xr:uid="{E91AAF91-DAA9-46F4-98BE-EDEF3EB5DD82}"/>
    <cellStyle name="20% - Accent6 4 2" xfId="617" xr:uid="{00000000-0005-0000-0000-00009B030000}"/>
    <cellStyle name="20% - Accent6 4 2 2" xfId="2888" xr:uid="{00000000-0005-0000-0000-00009C030000}"/>
    <cellStyle name="20% - Accent6 4 2 2 2" xfId="7111" xr:uid="{00000000-0005-0000-0000-00009D030000}"/>
    <cellStyle name="20% - Accent6 4 2 2 2 2" xfId="23994" xr:uid="{E4B4344F-CB83-4E55-B233-3C575F278AA6}"/>
    <cellStyle name="20% - Accent6 4 2 2 2 3" xfId="32440" xr:uid="{D44B0071-1133-4B46-B552-90538011D6CF}"/>
    <cellStyle name="20% - Accent6 4 2 2 2 4" xfId="15553" xr:uid="{6FA17D23-8E3F-4A61-8791-9815D47A67A2}"/>
    <cellStyle name="20% - Accent6 4 2 2 3" xfId="19776" xr:uid="{F5348509-729F-4B8F-91F4-745100D27A42}"/>
    <cellStyle name="20% - Accent6 4 2 2 4" xfId="28223" xr:uid="{7F6B27B5-77E4-43F7-823B-06C8E42071B0}"/>
    <cellStyle name="20% - Accent6 4 2 2 5" xfId="11335" xr:uid="{5CF0F528-B844-42E9-BE9C-4E88318C7247}"/>
    <cellStyle name="20% - Accent6 4 2 3" xfId="4966" xr:uid="{00000000-0005-0000-0000-00009E030000}"/>
    <cellStyle name="20% - Accent6 4 2 3 2" xfId="21849" xr:uid="{A840186F-037F-4B07-813D-D28FF445C061}"/>
    <cellStyle name="20% - Accent6 4 2 3 3" xfId="30295" xr:uid="{3C290979-0A09-47C2-9C0C-7C5995A738E8}"/>
    <cellStyle name="20% - Accent6 4 2 3 4" xfId="13408" xr:uid="{B36CD1D9-E25A-40D0-A6B6-6F63F6E5632A}"/>
    <cellStyle name="20% - Accent6 4 2 4" xfId="17631" xr:uid="{3F2A95A2-0218-433C-B6B6-BCD058299EE0}"/>
    <cellStyle name="20% - Accent6 4 2 5" xfId="26076" xr:uid="{5536BB32-E7FC-4560-A10D-B5D8FE5F8D32}"/>
    <cellStyle name="20% - Accent6 4 2 6" xfId="9190" xr:uid="{AFB2C4D0-0B54-4C12-B0E5-77E045ABFC13}"/>
    <cellStyle name="20% - Accent6 4 3" xfId="1070" xr:uid="{00000000-0005-0000-0000-00009F030000}"/>
    <cellStyle name="20% - Accent6 4 3 2" xfId="3301" xr:uid="{00000000-0005-0000-0000-0000A0030000}"/>
    <cellStyle name="20% - Accent6 4 3 2 2" xfId="7524" xr:uid="{00000000-0005-0000-0000-0000A1030000}"/>
    <cellStyle name="20% - Accent6 4 3 2 2 2" xfId="24407" xr:uid="{4796F970-03EC-4355-A5AA-36F36D33F93F}"/>
    <cellStyle name="20% - Accent6 4 3 2 2 3" xfId="32853" xr:uid="{F73F26AB-B787-4E6A-B128-22B4C0E9F1D4}"/>
    <cellStyle name="20% - Accent6 4 3 2 2 4" xfId="15966" xr:uid="{7D9D08A0-006C-4C5C-A5BF-BB8711C768F5}"/>
    <cellStyle name="20% - Accent6 4 3 2 3" xfId="20189" xr:uid="{02F4D109-C701-497E-B032-FF252296EC04}"/>
    <cellStyle name="20% - Accent6 4 3 2 4" xfId="28636" xr:uid="{45A24155-4F9A-4701-9477-222FAC0C80D5}"/>
    <cellStyle name="20% - Accent6 4 3 2 5" xfId="11748" xr:uid="{4DD72A54-0EFA-4C4E-AEFF-96494BB4004F}"/>
    <cellStyle name="20% - Accent6 4 3 3" xfId="5379" xr:uid="{00000000-0005-0000-0000-0000A2030000}"/>
    <cellStyle name="20% - Accent6 4 3 3 2" xfId="22262" xr:uid="{ACBE4E11-864E-492C-8A41-85DC273312AF}"/>
    <cellStyle name="20% - Accent6 4 3 3 3" xfId="30708" xr:uid="{BD316B05-A0F6-485D-9012-A87C603DFED6}"/>
    <cellStyle name="20% - Accent6 4 3 3 4" xfId="13821" xr:uid="{7B2A21F8-0C5A-4641-9A4A-706FD21D99C9}"/>
    <cellStyle name="20% - Accent6 4 3 4" xfId="18044" xr:uid="{13076A46-2411-4FD0-B17A-D921FD535AED}"/>
    <cellStyle name="20% - Accent6 4 3 5" xfId="26489" xr:uid="{D00E7107-8E4C-4A52-932C-29B9516AB18C}"/>
    <cellStyle name="20% - Accent6 4 3 6" xfId="9603" xr:uid="{B1A1371F-F704-4DE0-B1EC-E8C5893CDC0B}"/>
    <cellStyle name="20% - Accent6 4 4" xfId="1484" xr:uid="{00000000-0005-0000-0000-0000A3030000}"/>
    <cellStyle name="20% - Accent6 4 4 2" xfId="3714" xr:uid="{00000000-0005-0000-0000-0000A4030000}"/>
    <cellStyle name="20% - Accent6 4 4 2 2" xfId="7937" xr:uid="{00000000-0005-0000-0000-0000A5030000}"/>
    <cellStyle name="20% - Accent6 4 4 2 2 2" xfId="24820" xr:uid="{8398F410-6218-439A-A9A3-21BC271416D6}"/>
    <cellStyle name="20% - Accent6 4 4 2 2 3" xfId="33266" xr:uid="{7BF1B3BC-5D95-4356-B584-27A19D5A75AE}"/>
    <cellStyle name="20% - Accent6 4 4 2 2 4" xfId="16379" xr:uid="{278B214F-7DAF-459C-B7AB-E8D8B4785484}"/>
    <cellStyle name="20% - Accent6 4 4 2 3" xfId="20602" xr:uid="{B07394FE-6E90-44FD-90BE-4FF1AB451C04}"/>
    <cellStyle name="20% - Accent6 4 4 2 4" xfId="29049" xr:uid="{98C16B01-1D32-447E-B1EE-09BC47422CB5}"/>
    <cellStyle name="20% - Accent6 4 4 2 5" xfId="12161" xr:uid="{5E95ECB7-132E-408B-A74A-8FC3FAF4CAD7}"/>
    <cellStyle name="20% - Accent6 4 4 3" xfId="5792" xr:uid="{00000000-0005-0000-0000-0000A6030000}"/>
    <cellStyle name="20% - Accent6 4 4 3 2" xfId="22675" xr:uid="{773A1FB1-6249-441A-98E3-ED9C3A6BA6B6}"/>
    <cellStyle name="20% - Accent6 4 4 3 3" xfId="31121" xr:uid="{BEF388F2-C3DD-4EFB-9DE2-33B35C2EB13E}"/>
    <cellStyle name="20% - Accent6 4 4 3 4" xfId="14234" xr:uid="{5E752100-3A14-468E-9785-681E0D87CE8F}"/>
    <cellStyle name="20% - Accent6 4 4 4" xfId="18457" xr:uid="{40420945-BA22-4D95-A466-FA85BAC00313}"/>
    <cellStyle name="20% - Accent6 4 4 5" xfId="26902" xr:uid="{8C01CA5C-3D99-4724-8400-750B50DDF41C}"/>
    <cellStyle name="20% - Accent6 4 4 6" xfId="10016" xr:uid="{7D959092-69F5-4457-947E-25DC20A5AB21}"/>
    <cellStyle name="20% - Accent6 4 5" xfId="1898" xr:uid="{00000000-0005-0000-0000-0000A7030000}"/>
    <cellStyle name="20% - Accent6 4 5 2" xfId="4127" xr:uid="{00000000-0005-0000-0000-0000A8030000}"/>
    <cellStyle name="20% - Accent6 4 5 2 2" xfId="8350" xr:uid="{00000000-0005-0000-0000-0000A9030000}"/>
    <cellStyle name="20% - Accent6 4 5 2 2 2" xfId="25233" xr:uid="{7E1A78A9-C2F9-4126-B7AF-94714E7CE8F4}"/>
    <cellStyle name="20% - Accent6 4 5 2 2 3" xfId="33679" xr:uid="{4CDCB1E1-226A-4C8B-8157-763BB18CF657}"/>
    <cellStyle name="20% - Accent6 4 5 2 2 4" xfId="16792" xr:uid="{E2A2EF74-30D7-4146-B3B8-4CF85BC4CB39}"/>
    <cellStyle name="20% - Accent6 4 5 2 3" xfId="21015" xr:uid="{8015CA8C-7B10-40CE-8BB0-17385316867A}"/>
    <cellStyle name="20% - Accent6 4 5 2 4" xfId="29462" xr:uid="{C635B9A7-0549-4304-95B4-638FA358C664}"/>
    <cellStyle name="20% - Accent6 4 5 2 5" xfId="12574" xr:uid="{D6A659D5-9DB5-4759-9830-DE1ECAC25524}"/>
    <cellStyle name="20% - Accent6 4 5 3" xfId="6205" xr:uid="{00000000-0005-0000-0000-0000AA030000}"/>
    <cellStyle name="20% - Accent6 4 5 3 2" xfId="23088" xr:uid="{3048B7CD-5F19-47D3-A9FF-67C0FF38F38E}"/>
    <cellStyle name="20% - Accent6 4 5 3 3" xfId="31534" xr:uid="{5E664462-5010-4F01-8769-B3191B269926}"/>
    <cellStyle name="20% - Accent6 4 5 3 4" xfId="14647" xr:uid="{BF802707-3000-4FF0-9EF7-C808FC440879}"/>
    <cellStyle name="20% - Accent6 4 5 4" xfId="18870" xr:uid="{68413A38-C22A-4D76-8F39-A78945CC9E1E}"/>
    <cellStyle name="20% - Accent6 4 5 5" xfId="27315" xr:uid="{3B1BDE91-D75B-4E92-B1BF-DD2D91642E23}"/>
    <cellStyle name="20% - Accent6 4 5 6" xfId="10429" xr:uid="{06968EAE-604A-4DA2-87BE-889A2CB48F18}"/>
    <cellStyle name="20% - Accent6 4 6" xfId="2311" xr:uid="{00000000-0005-0000-0000-0000AB030000}"/>
    <cellStyle name="20% - Accent6 4 6 2" xfId="6618" xr:uid="{00000000-0005-0000-0000-0000AC030000}"/>
    <cellStyle name="20% - Accent6 4 6 2 2" xfId="23501" xr:uid="{6D83A04F-A16F-44B2-8892-E9E7714DB295}"/>
    <cellStyle name="20% - Accent6 4 6 2 3" xfId="31947" xr:uid="{8D792401-DFCE-4411-8021-1A2A61E28158}"/>
    <cellStyle name="20% - Accent6 4 6 2 4" xfId="15060" xr:uid="{834ED4A3-0122-46D6-85EF-3FC9CE0BF4FB}"/>
    <cellStyle name="20% - Accent6 4 6 3" xfId="19283" xr:uid="{64FEE705-A656-4FE8-AFC5-11AD8A1156CA}"/>
    <cellStyle name="20% - Accent6 4 6 4" xfId="27728" xr:uid="{57508765-9706-42D8-A7DD-915B5D8F44D0}"/>
    <cellStyle name="20% - Accent6 4 6 5" xfId="10842" xr:uid="{ECDE9B9F-2947-4644-9F0E-A4AE57B93810}"/>
    <cellStyle name="20% - Accent6 4 7" xfId="4552" xr:uid="{00000000-0005-0000-0000-0000AD030000}"/>
    <cellStyle name="20% - Accent6 4 7 2" xfId="21435" xr:uid="{00CB4B8C-668C-4685-BC0B-344758385BE3}"/>
    <cellStyle name="20% - Accent6 4 7 3" xfId="29881" xr:uid="{72891997-B149-4A63-A05E-16B22A4AA087}"/>
    <cellStyle name="20% - Accent6 4 7 4" xfId="12994" xr:uid="{33179D72-878F-4A35-A55E-083F23AB783E}"/>
    <cellStyle name="20% - Accent6 4 8" xfId="17217" xr:uid="{4346279B-157D-4953-8C12-C418FDF79DC4}"/>
    <cellStyle name="20% - Accent6 4 9" xfId="25659" xr:uid="{A18CFDD6-8F87-4E83-8023-EED04F503E93}"/>
    <cellStyle name="20% - Accent6 5" xfId="610" xr:uid="{00000000-0005-0000-0000-0000AE030000}"/>
    <cellStyle name="20% - Accent6 5 2" xfId="2881" xr:uid="{00000000-0005-0000-0000-0000AF030000}"/>
    <cellStyle name="20% - Accent6 5 2 2" xfId="7104" xr:uid="{00000000-0005-0000-0000-0000B0030000}"/>
    <cellStyle name="20% - Accent6 5 2 2 2" xfId="23987" xr:uid="{7BE0D21B-0189-4ED1-8B72-972C98E3CEA2}"/>
    <cellStyle name="20% - Accent6 5 2 2 3" xfId="32433" xr:uid="{C05811B3-E824-471D-B3F5-8FE808B7FE50}"/>
    <cellStyle name="20% - Accent6 5 2 2 4" xfId="15546" xr:uid="{D5851572-3817-4D1C-B138-B4AA103709A5}"/>
    <cellStyle name="20% - Accent6 5 2 3" xfId="19769" xr:uid="{C65DB00A-492D-4A5E-9D6D-8A19DE0190B2}"/>
    <cellStyle name="20% - Accent6 5 2 4" xfId="28216" xr:uid="{694FAB9D-788B-4CF7-B1D5-1055D13A1826}"/>
    <cellStyle name="20% - Accent6 5 2 5" xfId="11328" xr:uid="{0A3DFE5B-C15C-46B6-AEAA-51249BA055E8}"/>
    <cellStyle name="20% - Accent6 5 3" xfId="4959" xr:uid="{00000000-0005-0000-0000-0000B1030000}"/>
    <cellStyle name="20% - Accent6 5 3 2" xfId="21842" xr:uid="{1388EC1E-C84F-47F6-BE34-B69B4D90F111}"/>
    <cellStyle name="20% - Accent6 5 3 3" xfId="30288" xr:uid="{53224A57-567D-4BEF-8DE5-C505D60A865B}"/>
    <cellStyle name="20% - Accent6 5 3 4" xfId="13401" xr:uid="{F31EE6F5-6AFD-46F1-964C-C89E2C9A5AE8}"/>
    <cellStyle name="20% - Accent6 5 4" xfId="17624" xr:uid="{265D3481-F97D-4CAC-85CA-F1DC1B91072C}"/>
    <cellStyle name="20% - Accent6 5 5" xfId="26069" xr:uid="{6C60D299-A2D0-4AD0-A288-6F00F9E85C41}"/>
    <cellStyle name="20% - Accent6 5 6" xfId="9183" xr:uid="{78A47538-2E39-45F4-8175-F8D5BC776DF1}"/>
    <cellStyle name="20% - Accent6 6" xfId="1063" xr:uid="{00000000-0005-0000-0000-0000B2030000}"/>
    <cellStyle name="20% - Accent6 6 2" xfId="3294" xr:uid="{00000000-0005-0000-0000-0000B3030000}"/>
    <cellStyle name="20% - Accent6 6 2 2" xfId="7517" xr:uid="{00000000-0005-0000-0000-0000B4030000}"/>
    <cellStyle name="20% - Accent6 6 2 2 2" xfId="24400" xr:uid="{84AFA11E-58F0-4164-834C-B11BA7BA6F54}"/>
    <cellStyle name="20% - Accent6 6 2 2 3" xfId="32846" xr:uid="{FA6B792A-2A22-4BA5-9EB4-1F4BD3C590D9}"/>
    <cellStyle name="20% - Accent6 6 2 2 4" xfId="15959" xr:uid="{1AFECE32-7A26-40BE-8744-6EFA6B87D588}"/>
    <cellStyle name="20% - Accent6 6 2 3" xfId="20182" xr:uid="{240CBE71-1650-455D-9BC4-0A90E351B488}"/>
    <cellStyle name="20% - Accent6 6 2 4" xfId="28629" xr:uid="{B56D74C3-E828-4664-871B-6CA250171E2B}"/>
    <cellStyle name="20% - Accent6 6 2 5" xfId="11741" xr:uid="{D9D95276-DD6B-445F-A32A-DB3FDE60354C}"/>
    <cellStyle name="20% - Accent6 6 3" xfId="5372" xr:uid="{00000000-0005-0000-0000-0000B5030000}"/>
    <cellStyle name="20% - Accent6 6 3 2" xfId="22255" xr:uid="{CE9D7762-055B-4C81-B6F5-9BC19AAAD5F4}"/>
    <cellStyle name="20% - Accent6 6 3 3" xfId="30701" xr:uid="{DEF8D2A3-B48D-45EC-82D7-7FB9EA0B6881}"/>
    <cellStyle name="20% - Accent6 6 3 4" xfId="13814" xr:uid="{06551E3A-BF61-4D8B-93AA-4FF21365E9FD}"/>
    <cellStyle name="20% - Accent6 6 4" xfId="18037" xr:uid="{EF839291-6A1A-482F-A901-F5257E04FC65}"/>
    <cellStyle name="20% - Accent6 6 5" xfId="26482" xr:uid="{32B818DD-6089-4423-B30E-30B433B6B6F9}"/>
    <cellStyle name="20% - Accent6 6 6" xfId="9596" xr:uid="{1E52BDB4-D359-4663-A0CF-0CE4B4ECCD36}"/>
    <cellStyle name="20% - Accent6 7" xfId="1477" xr:uid="{00000000-0005-0000-0000-0000B6030000}"/>
    <cellStyle name="20% - Accent6 7 2" xfId="3707" xr:uid="{00000000-0005-0000-0000-0000B7030000}"/>
    <cellStyle name="20% - Accent6 7 2 2" xfId="7930" xr:uid="{00000000-0005-0000-0000-0000B8030000}"/>
    <cellStyle name="20% - Accent6 7 2 2 2" xfId="24813" xr:uid="{5163F7E7-B54E-4FEF-AFD8-C928E2CA0D96}"/>
    <cellStyle name="20% - Accent6 7 2 2 3" xfId="33259" xr:uid="{3181E699-3D1E-4D48-BDB2-3BE931D7E42B}"/>
    <cellStyle name="20% - Accent6 7 2 2 4" xfId="16372" xr:uid="{A9C0BD53-F4F3-40A2-9C18-636A293BC1B4}"/>
    <cellStyle name="20% - Accent6 7 2 3" xfId="20595" xr:uid="{0A7428E8-EFD1-438F-A426-D390A36B57E8}"/>
    <cellStyle name="20% - Accent6 7 2 4" xfId="29042" xr:uid="{C0FC1E72-E701-4F21-A639-898DCE169AFF}"/>
    <cellStyle name="20% - Accent6 7 2 5" xfId="12154" xr:uid="{474CA67E-A4DD-4DF1-9E59-2A54E281661A}"/>
    <cellStyle name="20% - Accent6 7 3" xfId="5785" xr:uid="{00000000-0005-0000-0000-0000B9030000}"/>
    <cellStyle name="20% - Accent6 7 3 2" xfId="22668" xr:uid="{A52C5215-256F-4836-81C7-E543428C67D7}"/>
    <cellStyle name="20% - Accent6 7 3 3" xfId="31114" xr:uid="{4A87B2D3-29AF-493C-BE9B-0AD35D649B04}"/>
    <cellStyle name="20% - Accent6 7 3 4" xfId="14227" xr:uid="{7ACF5EBB-151A-4081-A121-368CF36BB271}"/>
    <cellStyle name="20% - Accent6 7 4" xfId="18450" xr:uid="{9CA6FD6C-E974-4383-82B3-219FD6AEF276}"/>
    <cellStyle name="20% - Accent6 7 5" xfId="26895" xr:uid="{E313865F-8ADF-4774-B883-50CA0FC141FF}"/>
    <cellStyle name="20% - Accent6 7 6" xfId="10009" xr:uid="{33273ACA-D4E8-4ABA-A30B-7EA5C8EF3717}"/>
    <cellStyle name="20% - Accent6 8" xfId="1891" xr:uid="{00000000-0005-0000-0000-0000BA030000}"/>
    <cellStyle name="20% - Accent6 8 2" xfId="4120" xr:uid="{00000000-0005-0000-0000-0000BB030000}"/>
    <cellStyle name="20% - Accent6 8 2 2" xfId="8343" xr:uid="{00000000-0005-0000-0000-0000BC030000}"/>
    <cellStyle name="20% - Accent6 8 2 2 2" xfId="25226" xr:uid="{A8BFCB46-7EC7-441A-BE05-1CDC00D264D7}"/>
    <cellStyle name="20% - Accent6 8 2 2 3" xfId="33672" xr:uid="{EB689390-FA03-440F-B764-BE9179A60945}"/>
    <cellStyle name="20% - Accent6 8 2 2 4" xfId="16785" xr:uid="{0CC47254-38B2-4A14-A6FC-89B9CB415F63}"/>
    <cellStyle name="20% - Accent6 8 2 3" xfId="21008" xr:uid="{A4D71B81-71E1-4C53-AF64-6168E52BC335}"/>
    <cellStyle name="20% - Accent6 8 2 4" xfId="29455" xr:uid="{992C7D85-79AB-4D53-BC30-44C78ACF51E3}"/>
    <cellStyle name="20% - Accent6 8 2 5" xfId="12567" xr:uid="{8DA8DF51-0AB7-46E0-92F0-4C7D9272E9F1}"/>
    <cellStyle name="20% - Accent6 8 3" xfId="6198" xr:uid="{00000000-0005-0000-0000-0000BD030000}"/>
    <cellStyle name="20% - Accent6 8 3 2" xfId="23081" xr:uid="{8B03DD6C-5B30-4B58-AEF0-9A889B26828E}"/>
    <cellStyle name="20% - Accent6 8 3 3" xfId="31527" xr:uid="{707300BD-9D5A-4978-B6CD-C9D5B55F705A}"/>
    <cellStyle name="20% - Accent6 8 3 4" xfId="14640" xr:uid="{5B110931-1E2B-43B3-BF36-C9FBBC10A6BF}"/>
    <cellStyle name="20% - Accent6 8 4" xfId="18863" xr:uid="{9DEBA493-5233-4A1B-AF32-BA3AC10E68CA}"/>
    <cellStyle name="20% - Accent6 8 5" xfId="27308" xr:uid="{2029CB0C-4260-4058-9DEF-7C04D17B9E4C}"/>
    <cellStyle name="20% - Accent6 8 6" xfId="10422" xr:uid="{7590EEAD-9759-4327-BD1B-E91C287F6A6A}"/>
    <cellStyle name="20% - Accent6 9" xfId="2304" xr:uid="{00000000-0005-0000-0000-0000BE030000}"/>
    <cellStyle name="20% - Accent6 9 2" xfId="6611" xr:uid="{00000000-0005-0000-0000-0000BF030000}"/>
    <cellStyle name="20% - Accent6 9 2 2" xfId="23494" xr:uid="{D3AC5350-B53D-4C7D-BEA7-C6DDE5497673}"/>
    <cellStyle name="20% - Accent6 9 2 3" xfId="31940" xr:uid="{7FC5DFB9-9099-4DEA-AE4D-2EE84464935A}"/>
    <cellStyle name="20% - Accent6 9 2 4" xfId="15053" xr:uid="{07BA4E23-A721-4114-80C6-1DA460F6E98C}"/>
    <cellStyle name="20% - Accent6 9 3" xfId="19276" xr:uid="{9C1DE933-2844-4AB0-AE9F-35C54FBE9E13}"/>
    <cellStyle name="20% - Accent6 9 4" xfId="27721" xr:uid="{D16E16F7-E370-48A4-9B30-DCC1F2744DAB}"/>
    <cellStyle name="20% - Accent6 9 5" xfId="10835" xr:uid="{3F7D6156-3A6A-4FFC-B511-81450E1EC022}"/>
    <cellStyle name="40% - Accent1" xfId="49" builtinId="31" customBuiltin="1"/>
    <cellStyle name="40% - Accent1 10" xfId="4553" xr:uid="{00000000-0005-0000-0000-0000C1030000}"/>
    <cellStyle name="40% - Accent1 10 2" xfId="21436" xr:uid="{40F4BE1B-730A-491C-8884-D7E309E7C2DA}"/>
    <cellStyle name="40% - Accent1 10 3" xfId="29882" xr:uid="{4B3F7E42-461F-49A8-A805-4BFB87E9BB09}"/>
    <cellStyle name="40% - Accent1 10 4" xfId="12995" xr:uid="{CA8AB4A1-BC13-4ED3-97D4-0C5CA1F4FF83}"/>
    <cellStyle name="40% - Accent1 11" xfId="17218" xr:uid="{7E16CF59-159A-487B-8B66-58298037F75F}"/>
    <cellStyle name="40% - Accent1 12" xfId="25660" xr:uid="{F3F1460E-6585-47AA-AC35-93736715A59F}"/>
    <cellStyle name="40% - Accent1 13" xfId="8777" xr:uid="{BDAFE5BE-EB9B-4B40-9B45-7D7FF5757FB7}"/>
    <cellStyle name="40% - Accent1 2" xfId="50" xr:uid="{00000000-0005-0000-0000-0000C2030000}"/>
    <cellStyle name="40% - Accent1 2 10" xfId="17219" xr:uid="{FF94E39B-5FC8-4579-B72F-3DB99D2E998D}"/>
    <cellStyle name="40% - Accent1 2 11" xfId="25661" xr:uid="{601D4BEF-F017-4DE8-8E1E-03D719D26A14}"/>
    <cellStyle name="40% - Accent1 2 12" xfId="8778" xr:uid="{B2D4A281-F8B7-4F26-A89A-DD80D7BC1D72}"/>
    <cellStyle name="40% - Accent1 2 2" xfId="51" xr:uid="{00000000-0005-0000-0000-0000C3030000}"/>
    <cellStyle name="40% - Accent1 2 2 10" xfId="25662" xr:uid="{5A9A7AA4-65C2-4690-8517-805A36526770}"/>
    <cellStyle name="40% - Accent1 2 2 11" xfId="8779" xr:uid="{177D44AB-8770-4CE6-913F-5B987E40D767}"/>
    <cellStyle name="40% - Accent1 2 2 2" xfId="52" xr:uid="{00000000-0005-0000-0000-0000C4030000}"/>
    <cellStyle name="40% - Accent1 2 2 2 10" xfId="8780" xr:uid="{08309BDB-8E18-4929-8BD7-3FA599898178}"/>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23998" xr:uid="{9DDFC250-9CE2-467B-AA2F-2958A5E99678}"/>
    <cellStyle name="40% - Accent1 2 2 2 2 2 2 3" xfId="32444" xr:uid="{88AB1F71-F4F5-49D0-BA5B-542FF638A5E4}"/>
    <cellStyle name="40% - Accent1 2 2 2 2 2 2 4" xfId="15557" xr:uid="{A77933A7-152E-458E-B02A-3369E164CBD9}"/>
    <cellStyle name="40% - Accent1 2 2 2 2 2 3" xfId="19780" xr:uid="{8821A7B7-6089-4E96-8799-8C5E2871E980}"/>
    <cellStyle name="40% - Accent1 2 2 2 2 2 4" xfId="28227" xr:uid="{214A1356-84D3-47FC-8CEC-7B9443FFF85D}"/>
    <cellStyle name="40% - Accent1 2 2 2 2 2 5" xfId="11339" xr:uid="{1B0821F6-59FC-4FD0-991E-34C6F2C28056}"/>
    <cellStyle name="40% - Accent1 2 2 2 2 3" xfId="4970" xr:uid="{00000000-0005-0000-0000-0000C8030000}"/>
    <cellStyle name="40% - Accent1 2 2 2 2 3 2" xfId="21853" xr:uid="{D72A69F1-16F8-498C-B79D-DEF1B7DB9246}"/>
    <cellStyle name="40% - Accent1 2 2 2 2 3 3" xfId="30299" xr:uid="{46CE803B-7817-479B-AE87-32B208384684}"/>
    <cellStyle name="40% - Accent1 2 2 2 2 3 4" xfId="13412" xr:uid="{0B5B635B-B459-452E-80E7-53C7C4A6CF5E}"/>
    <cellStyle name="40% - Accent1 2 2 2 2 4" xfId="17635" xr:uid="{C72D8989-773C-4001-B295-CDE6997BF1D6}"/>
    <cellStyle name="40% - Accent1 2 2 2 2 5" xfId="26080" xr:uid="{2BF44B8C-92E3-4F28-B910-2200DB6F8556}"/>
    <cellStyle name="40% - Accent1 2 2 2 2 6" xfId="9194" xr:uid="{B155C21B-F5A9-452C-ABC7-45B6404B6439}"/>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24411" xr:uid="{232F4A73-F783-45C3-8E6E-70B9460FFE42}"/>
    <cellStyle name="40% - Accent1 2 2 2 3 2 2 3" xfId="32857" xr:uid="{423E49B4-3D6A-41D4-97F4-FD6F0E2E1C33}"/>
    <cellStyle name="40% - Accent1 2 2 2 3 2 2 4" xfId="15970" xr:uid="{E39848AB-6665-4ACC-BAB3-612FA8796DC2}"/>
    <cellStyle name="40% - Accent1 2 2 2 3 2 3" xfId="20193" xr:uid="{043FB69F-2C6A-4143-A7FC-6042EAEDBD86}"/>
    <cellStyle name="40% - Accent1 2 2 2 3 2 4" xfId="28640" xr:uid="{98AF9ADD-FFE6-4D68-8E79-57C28E00C465}"/>
    <cellStyle name="40% - Accent1 2 2 2 3 2 5" xfId="11752" xr:uid="{8D4974CC-565C-4526-A3BD-E653F6FA3B29}"/>
    <cellStyle name="40% - Accent1 2 2 2 3 3" xfId="5383" xr:uid="{00000000-0005-0000-0000-0000CC030000}"/>
    <cellStyle name="40% - Accent1 2 2 2 3 3 2" xfId="22266" xr:uid="{5BE57CB8-0C9E-41A2-B36D-779C637ED015}"/>
    <cellStyle name="40% - Accent1 2 2 2 3 3 3" xfId="30712" xr:uid="{AF39EE19-2EFA-4F56-B031-4BD3A71FB858}"/>
    <cellStyle name="40% - Accent1 2 2 2 3 3 4" xfId="13825" xr:uid="{E17F58CF-FB0F-4EC9-B01C-EBF8E5AF19EE}"/>
    <cellStyle name="40% - Accent1 2 2 2 3 4" xfId="18048" xr:uid="{BCD84252-677C-4551-825E-FB263570158F}"/>
    <cellStyle name="40% - Accent1 2 2 2 3 5" xfId="26493" xr:uid="{07036AD7-B7A2-4B80-9297-CA730041F3B1}"/>
    <cellStyle name="40% - Accent1 2 2 2 3 6" xfId="9607" xr:uid="{380FFD10-6B7B-494E-A208-E699996208D6}"/>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24824" xr:uid="{A0A9A467-5EBF-4403-A9F1-A0701586823B}"/>
    <cellStyle name="40% - Accent1 2 2 2 4 2 2 3" xfId="33270" xr:uid="{68015D42-5381-4C09-AEF5-7E7DA34487C9}"/>
    <cellStyle name="40% - Accent1 2 2 2 4 2 2 4" xfId="16383" xr:uid="{E1CD5EDC-4634-4A5A-B562-F71AECBBD578}"/>
    <cellStyle name="40% - Accent1 2 2 2 4 2 3" xfId="20606" xr:uid="{1DADE605-490B-4D00-83D1-5D9CEC6A6A71}"/>
    <cellStyle name="40% - Accent1 2 2 2 4 2 4" xfId="29053" xr:uid="{27E897D4-79B8-4598-9F0B-0904A7AF24D0}"/>
    <cellStyle name="40% - Accent1 2 2 2 4 2 5" xfId="12165" xr:uid="{809F0BF0-CF73-4458-AE83-3EC57E7BCE57}"/>
    <cellStyle name="40% - Accent1 2 2 2 4 3" xfId="5796" xr:uid="{00000000-0005-0000-0000-0000D0030000}"/>
    <cellStyle name="40% - Accent1 2 2 2 4 3 2" xfId="22679" xr:uid="{6C42ADB1-8B40-49B4-97BD-B231F255083F}"/>
    <cellStyle name="40% - Accent1 2 2 2 4 3 3" xfId="31125" xr:uid="{404EA65D-6BE9-44DD-B634-E1102F218C7F}"/>
    <cellStyle name="40% - Accent1 2 2 2 4 3 4" xfId="14238" xr:uid="{E3E084BD-210B-47A2-B9A4-666BA0B64789}"/>
    <cellStyle name="40% - Accent1 2 2 2 4 4" xfId="18461" xr:uid="{6DF7B964-B4CA-4B67-94BC-1F108B5EFE01}"/>
    <cellStyle name="40% - Accent1 2 2 2 4 5" xfId="26906" xr:uid="{6E0BED80-5856-4443-88F1-4D13CA9C9B28}"/>
    <cellStyle name="40% - Accent1 2 2 2 4 6" xfId="10020" xr:uid="{F34ECF20-5883-476B-853B-2337509FC51D}"/>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25237" xr:uid="{E25061B5-9927-4847-99D8-EDC471B9EE72}"/>
    <cellStyle name="40% - Accent1 2 2 2 5 2 2 3" xfId="33683" xr:uid="{6DDB10CF-3A85-4DF0-8559-6FF0819755AB}"/>
    <cellStyle name="40% - Accent1 2 2 2 5 2 2 4" xfId="16796" xr:uid="{B25984F4-4203-48A3-B41C-A24F94B5A649}"/>
    <cellStyle name="40% - Accent1 2 2 2 5 2 3" xfId="21019" xr:uid="{5BA7FB24-1E59-4CBF-B9AD-077C512082FF}"/>
    <cellStyle name="40% - Accent1 2 2 2 5 2 4" xfId="29466" xr:uid="{B0AFE153-1A7A-4473-A80C-ECAB9D95A0E5}"/>
    <cellStyle name="40% - Accent1 2 2 2 5 2 5" xfId="12578" xr:uid="{BE4F576C-731E-4EEA-B81B-E1B121C88FF0}"/>
    <cellStyle name="40% - Accent1 2 2 2 5 3" xfId="6209" xr:uid="{00000000-0005-0000-0000-0000D4030000}"/>
    <cellStyle name="40% - Accent1 2 2 2 5 3 2" xfId="23092" xr:uid="{BD8F9E58-64CE-4A19-AA80-677EE4FE8E10}"/>
    <cellStyle name="40% - Accent1 2 2 2 5 3 3" xfId="31538" xr:uid="{75A9D7E4-72E6-4089-B874-706545736261}"/>
    <cellStyle name="40% - Accent1 2 2 2 5 3 4" xfId="14651" xr:uid="{C1165DE2-140C-42B1-9978-9028B0B73797}"/>
    <cellStyle name="40% - Accent1 2 2 2 5 4" xfId="18874" xr:uid="{035D96EA-0E68-434E-B2B7-4D34BA52ABF8}"/>
    <cellStyle name="40% - Accent1 2 2 2 5 5" xfId="27319" xr:uid="{5BF9DB4A-2397-4AE2-9B72-5E059DFCA261}"/>
    <cellStyle name="40% - Accent1 2 2 2 5 6" xfId="10433" xr:uid="{72D6364D-5871-4EB8-BBBF-8828B51826F9}"/>
    <cellStyle name="40% - Accent1 2 2 2 6" xfId="2315" xr:uid="{00000000-0005-0000-0000-0000D5030000}"/>
    <cellStyle name="40% - Accent1 2 2 2 6 2" xfId="6622" xr:uid="{00000000-0005-0000-0000-0000D6030000}"/>
    <cellStyle name="40% - Accent1 2 2 2 6 2 2" xfId="23505" xr:uid="{7E63BF6F-B3DA-4242-A30D-8263E26C5A94}"/>
    <cellStyle name="40% - Accent1 2 2 2 6 2 3" xfId="31951" xr:uid="{1BAD34DA-F514-4EF8-9B80-4B732DD40FDC}"/>
    <cellStyle name="40% - Accent1 2 2 2 6 2 4" xfId="15064" xr:uid="{F7A66D6A-376A-4DA7-8C14-4CF6505EF11D}"/>
    <cellStyle name="40% - Accent1 2 2 2 6 3" xfId="19287" xr:uid="{35644DA3-131E-46DC-BFC1-90D7CCE42C28}"/>
    <cellStyle name="40% - Accent1 2 2 2 6 4" xfId="27732" xr:uid="{ADEB6B47-8BBC-46A5-8D06-AFC9F4C80F6F}"/>
    <cellStyle name="40% - Accent1 2 2 2 6 5" xfId="10846" xr:uid="{A172C0DE-C90D-4366-8A07-4256152D9B49}"/>
    <cellStyle name="40% - Accent1 2 2 2 7" xfId="4556" xr:uid="{00000000-0005-0000-0000-0000D7030000}"/>
    <cellStyle name="40% - Accent1 2 2 2 7 2" xfId="21439" xr:uid="{B4433643-3D45-4FC4-A496-3F610B4DAEBD}"/>
    <cellStyle name="40% - Accent1 2 2 2 7 3" xfId="29885" xr:uid="{79F6DDE1-214D-41EA-ACB2-E98D315B5EEA}"/>
    <cellStyle name="40% - Accent1 2 2 2 7 4" xfId="12998" xr:uid="{13EFE7EF-894A-4241-AC8C-070477B81B99}"/>
    <cellStyle name="40% - Accent1 2 2 2 8" xfId="17221" xr:uid="{24748045-14F2-41C7-BA63-FEC51F19742E}"/>
    <cellStyle name="40% - Accent1 2 2 2 9" xfId="25663" xr:uid="{BDCFD389-1D7C-45B6-A32A-4259B02CD3FF}"/>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23997" xr:uid="{E6C560BA-BCE5-45C1-BBFE-F12731E18D3D}"/>
    <cellStyle name="40% - Accent1 2 2 3 2 2 3" xfId="32443" xr:uid="{BD8C42F1-00F6-4412-967F-DDA57DA6769A}"/>
    <cellStyle name="40% - Accent1 2 2 3 2 2 4" xfId="15556" xr:uid="{6456F56C-4E17-40B7-8958-6C74D0E0F876}"/>
    <cellStyle name="40% - Accent1 2 2 3 2 3" xfId="19779" xr:uid="{2A3FD565-54B2-44B3-8FD3-A452981B59B5}"/>
    <cellStyle name="40% - Accent1 2 2 3 2 4" xfId="28226" xr:uid="{9194187B-20B1-410A-9EB6-1ED9C0B15261}"/>
    <cellStyle name="40% - Accent1 2 2 3 2 5" xfId="11338" xr:uid="{19A7FF04-02CB-46B1-A261-3114EDD12210}"/>
    <cellStyle name="40% - Accent1 2 2 3 3" xfId="4969" xr:uid="{00000000-0005-0000-0000-0000DB030000}"/>
    <cellStyle name="40% - Accent1 2 2 3 3 2" xfId="21852" xr:uid="{CAD0DC58-FBCE-41F0-A9A8-FBC5FC4FD6FA}"/>
    <cellStyle name="40% - Accent1 2 2 3 3 3" xfId="30298" xr:uid="{ACAA7FDA-886B-45C2-B914-CD105BC7E1CD}"/>
    <cellStyle name="40% - Accent1 2 2 3 3 4" xfId="13411" xr:uid="{FA1D4059-86A1-4134-B28A-F1AD036D79D3}"/>
    <cellStyle name="40% - Accent1 2 2 3 4" xfId="17634" xr:uid="{3A16F333-49AB-4AF5-85A2-CEC60DF85DD3}"/>
    <cellStyle name="40% - Accent1 2 2 3 5" xfId="26079" xr:uid="{6FAA15D3-67FC-48C6-A223-6DBB0E244E2F}"/>
    <cellStyle name="40% - Accent1 2 2 3 6" xfId="9193" xr:uid="{E06EBA31-9E15-493C-B19F-FE06465686EF}"/>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24410" xr:uid="{B966B5EB-383D-4C6E-B548-F7D321BBE5AC}"/>
    <cellStyle name="40% - Accent1 2 2 4 2 2 3" xfId="32856" xr:uid="{7D0701CA-ABA6-4D2E-A6F2-90DE7A0BE29B}"/>
    <cellStyle name="40% - Accent1 2 2 4 2 2 4" xfId="15969" xr:uid="{A6DD116D-991E-4460-88BF-BE8B7AB2ACA2}"/>
    <cellStyle name="40% - Accent1 2 2 4 2 3" xfId="20192" xr:uid="{BDE6F826-9C44-44F0-8EA5-3C7ED7653700}"/>
    <cellStyle name="40% - Accent1 2 2 4 2 4" xfId="28639" xr:uid="{F8AA260D-C512-440D-BCDA-B48C6027A052}"/>
    <cellStyle name="40% - Accent1 2 2 4 2 5" xfId="11751" xr:uid="{97B643D3-044E-4B2F-9074-C1A2DB1ADB6B}"/>
    <cellStyle name="40% - Accent1 2 2 4 3" xfId="5382" xr:uid="{00000000-0005-0000-0000-0000DF030000}"/>
    <cellStyle name="40% - Accent1 2 2 4 3 2" xfId="22265" xr:uid="{6BC3E53B-35C9-435E-BE03-D8D6A6DBEE2C}"/>
    <cellStyle name="40% - Accent1 2 2 4 3 3" xfId="30711" xr:uid="{73C90DA3-9F53-4C61-8D62-EBE12F616EF1}"/>
    <cellStyle name="40% - Accent1 2 2 4 3 4" xfId="13824" xr:uid="{992C1314-DE04-4791-9222-43E293C190E9}"/>
    <cellStyle name="40% - Accent1 2 2 4 4" xfId="18047" xr:uid="{1C8E04EB-C7B4-4748-8ECF-9330D1E3F6FC}"/>
    <cellStyle name="40% - Accent1 2 2 4 5" xfId="26492" xr:uid="{B6BB27A5-EC8D-4B41-B7AF-2FDC7A1D3A14}"/>
    <cellStyle name="40% - Accent1 2 2 4 6" xfId="9606" xr:uid="{232A611E-9DC2-4274-8265-BF4732CB1158}"/>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24823" xr:uid="{57D1D605-0A7B-421B-8D63-ECA59D6B77E2}"/>
    <cellStyle name="40% - Accent1 2 2 5 2 2 3" xfId="33269" xr:uid="{B7617A7F-91AA-425D-9034-CCDFDA440829}"/>
    <cellStyle name="40% - Accent1 2 2 5 2 2 4" xfId="16382" xr:uid="{E205DAB7-0738-4BF3-85A8-99402996FE3D}"/>
    <cellStyle name="40% - Accent1 2 2 5 2 3" xfId="20605" xr:uid="{861BE4A4-A783-4BF6-BEFA-28512F764C6C}"/>
    <cellStyle name="40% - Accent1 2 2 5 2 4" xfId="29052" xr:uid="{826DF117-48D9-4759-8361-8AD8031BA333}"/>
    <cellStyle name="40% - Accent1 2 2 5 2 5" xfId="12164" xr:uid="{55FC9778-26B4-4CDD-9618-172F5E94D974}"/>
    <cellStyle name="40% - Accent1 2 2 5 3" xfId="5795" xr:uid="{00000000-0005-0000-0000-0000E3030000}"/>
    <cellStyle name="40% - Accent1 2 2 5 3 2" xfId="22678" xr:uid="{7FBA9B09-476D-49E6-9C56-4E3DDB310A5D}"/>
    <cellStyle name="40% - Accent1 2 2 5 3 3" xfId="31124" xr:uid="{CD0FDACB-5383-4145-AA82-88911C73F373}"/>
    <cellStyle name="40% - Accent1 2 2 5 3 4" xfId="14237" xr:uid="{5D2F2677-C9B1-4725-A9AB-714863E94373}"/>
    <cellStyle name="40% - Accent1 2 2 5 4" xfId="18460" xr:uid="{B069E85D-4F5C-48A1-ADA8-1384B63864C7}"/>
    <cellStyle name="40% - Accent1 2 2 5 5" xfId="26905" xr:uid="{396853FB-EDA0-4F7F-A4C4-FCB4E9E7163D}"/>
    <cellStyle name="40% - Accent1 2 2 5 6" xfId="10019" xr:uid="{531FA71A-691A-490F-8887-F5CD545BFC7B}"/>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25236" xr:uid="{C1EB215C-A221-48FC-BAA5-756D1BE6177F}"/>
    <cellStyle name="40% - Accent1 2 2 6 2 2 3" xfId="33682" xr:uid="{FA950774-AFB1-4421-B67F-122ADC3B5458}"/>
    <cellStyle name="40% - Accent1 2 2 6 2 2 4" xfId="16795" xr:uid="{6FF96EC2-6F5B-4F90-AD76-8D236876A20A}"/>
    <cellStyle name="40% - Accent1 2 2 6 2 3" xfId="21018" xr:uid="{A9CB5916-C3A6-42A4-829C-B44FD9D256D8}"/>
    <cellStyle name="40% - Accent1 2 2 6 2 4" xfId="29465" xr:uid="{68674B19-2C6F-4942-8D49-6A097421AB2C}"/>
    <cellStyle name="40% - Accent1 2 2 6 2 5" xfId="12577" xr:uid="{1A7A85A8-9F13-4DDA-89B2-38709926A93B}"/>
    <cellStyle name="40% - Accent1 2 2 6 3" xfId="6208" xr:uid="{00000000-0005-0000-0000-0000E7030000}"/>
    <cellStyle name="40% - Accent1 2 2 6 3 2" xfId="23091" xr:uid="{0511462B-27D0-43AF-9B58-FB4D2AC9D91C}"/>
    <cellStyle name="40% - Accent1 2 2 6 3 3" xfId="31537" xr:uid="{7816DCC2-1D83-4AF1-8393-A7BCAA9C164A}"/>
    <cellStyle name="40% - Accent1 2 2 6 3 4" xfId="14650" xr:uid="{D1EFB9BA-08B2-4565-8F66-AC0A7EA6B4BB}"/>
    <cellStyle name="40% - Accent1 2 2 6 4" xfId="18873" xr:uid="{96283493-1AF2-4CCC-AB43-7236B4664844}"/>
    <cellStyle name="40% - Accent1 2 2 6 5" xfId="27318" xr:uid="{8748248D-6FF8-4460-AE72-BE583DF31177}"/>
    <cellStyle name="40% - Accent1 2 2 6 6" xfId="10432" xr:uid="{6E106195-735F-464C-93C2-96ACDB3B16DB}"/>
    <cellStyle name="40% - Accent1 2 2 7" xfId="2314" xr:uid="{00000000-0005-0000-0000-0000E8030000}"/>
    <cellStyle name="40% - Accent1 2 2 7 2" xfId="6621" xr:uid="{00000000-0005-0000-0000-0000E9030000}"/>
    <cellStyle name="40% - Accent1 2 2 7 2 2" xfId="23504" xr:uid="{8E6BC674-7567-4C6D-A7F5-F30014D5C304}"/>
    <cellStyle name="40% - Accent1 2 2 7 2 3" xfId="31950" xr:uid="{CE5B2ED2-B515-4C3F-9942-A357E87F2112}"/>
    <cellStyle name="40% - Accent1 2 2 7 2 4" xfId="15063" xr:uid="{9E8A1A82-59E0-4D13-9A80-62F0526DEC9A}"/>
    <cellStyle name="40% - Accent1 2 2 7 3" xfId="19286" xr:uid="{0B2A0E61-8898-4247-BC6F-07FCBA7F844B}"/>
    <cellStyle name="40% - Accent1 2 2 7 4" xfId="27731" xr:uid="{35040282-3E7D-408B-82DB-1C552703CEC7}"/>
    <cellStyle name="40% - Accent1 2 2 7 5" xfId="10845" xr:uid="{925AC133-50A5-4D2A-A77C-F6BB7A29160E}"/>
    <cellStyle name="40% - Accent1 2 2 8" xfId="4555" xr:uid="{00000000-0005-0000-0000-0000EA030000}"/>
    <cellStyle name="40% - Accent1 2 2 8 2" xfId="21438" xr:uid="{A6CBCF32-A7D9-4874-B585-524FB2BB4022}"/>
    <cellStyle name="40% - Accent1 2 2 8 3" xfId="29884" xr:uid="{C60AA7A8-652A-4749-92CD-59412319BFB5}"/>
    <cellStyle name="40% - Accent1 2 2 8 4" xfId="12997" xr:uid="{E362F2FF-E4AA-434C-9036-1DFA50956036}"/>
    <cellStyle name="40% - Accent1 2 2 9" xfId="17220" xr:uid="{022DF57B-AAF6-40BC-9D5B-321ECC8FB9C3}"/>
    <cellStyle name="40% - Accent1 2 3" xfId="53" xr:uid="{00000000-0005-0000-0000-0000EB030000}"/>
    <cellStyle name="40% - Accent1 2 3 10" xfId="8781" xr:uid="{500E1DAC-A351-480D-9EEE-3AC54C0B00BF}"/>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23999" xr:uid="{4480FEC0-7AED-4542-9869-972FC4712693}"/>
    <cellStyle name="40% - Accent1 2 3 2 2 2 3" xfId="32445" xr:uid="{C42AEC97-19DE-4358-B8A5-73BF3C50F6A4}"/>
    <cellStyle name="40% - Accent1 2 3 2 2 2 4" xfId="15558" xr:uid="{83C9296D-F2DE-4B0E-AFF5-9738774D3A2D}"/>
    <cellStyle name="40% - Accent1 2 3 2 2 3" xfId="19781" xr:uid="{16C0486F-F744-441F-84AB-D833D320A0F2}"/>
    <cellStyle name="40% - Accent1 2 3 2 2 4" xfId="28228" xr:uid="{316D3B56-A5DD-45C0-9BB2-759975D0EA91}"/>
    <cellStyle name="40% - Accent1 2 3 2 2 5" xfId="11340" xr:uid="{B66E408D-5267-4278-94D2-0A46C6690E74}"/>
    <cellStyle name="40% - Accent1 2 3 2 3" xfId="4971" xr:uid="{00000000-0005-0000-0000-0000EF030000}"/>
    <cellStyle name="40% - Accent1 2 3 2 3 2" xfId="21854" xr:uid="{2F735FF3-250C-438C-B0E3-0634B626022B}"/>
    <cellStyle name="40% - Accent1 2 3 2 3 3" xfId="30300" xr:uid="{151168A8-5FC4-456B-B781-5F174FF08040}"/>
    <cellStyle name="40% - Accent1 2 3 2 3 4" xfId="13413" xr:uid="{459A272E-0311-4966-96D8-BBB3B569127C}"/>
    <cellStyle name="40% - Accent1 2 3 2 4" xfId="17636" xr:uid="{3F5E849C-883F-47E3-8AA9-BC025BECF99F}"/>
    <cellStyle name="40% - Accent1 2 3 2 5" xfId="26081" xr:uid="{C7F0515E-99E5-4BE9-93C8-5F8F603F76A2}"/>
    <cellStyle name="40% - Accent1 2 3 2 6" xfId="9195" xr:uid="{E5FC68AA-5555-4734-A8BC-BE14E746B064}"/>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24412" xr:uid="{95070ED5-ED83-42E7-AD6F-0C5B5E5011B8}"/>
    <cellStyle name="40% - Accent1 2 3 3 2 2 3" xfId="32858" xr:uid="{E6367F6E-1FEF-4B34-B767-9DA77A1FF7E6}"/>
    <cellStyle name="40% - Accent1 2 3 3 2 2 4" xfId="15971" xr:uid="{D79CBB52-7695-498B-B940-D9CD42018AEA}"/>
    <cellStyle name="40% - Accent1 2 3 3 2 3" xfId="20194" xr:uid="{D3CAB77B-6F3E-4D81-8A66-01D4FB19092E}"/>
    <cellStyle name="40% - Accent1 2 3 3 2 4" xfId="28641" xr:uid="{A87EA731-042F-46CB-BBC5-154D18229D94}"/>
    <cellStyle name="40% - Accent1 2 3 3 2 5" xfId="11753" xr:uid="{A541DBA9-BC00-4107-9AF9-EE02456976B3}"/>
    <cellStyle name="40% - Accent1 2 3 3 3" xfId="5384" xr:uid="{00000000-0005-0000-0000-0000F3030000}"/>
    <cellStyle name="40% - Accent1 2 3 3 3 2" xfId="22267" xr:uid="{D0DCD966-5105-4584-8BB8-007B2932B367}"/>
    <cellStyle name="40% - Accent1 2 3 3 3 3" xfId="30713" xr:uid="{E3F65A3F-A5BB-4834-9B33-6173EFA0AFFC}"/>
    <cellStyle name="40% - Accent1 2 3 3 3 4" xfId="13826" xr:uid="{69DB30FF-91C3-44C9-9340-99BB9D0F769D}"/>
    <cellStyle name="40% - Accent1 2 3 3 4" xfId="18049" xr:uid="{A2CDEC06-F479-4E08-9296-C98C99FB97D5}"/>
    <cellStyle name="40% - Accent1 2 3 3 5" xfId="26494" xr:uid="{C98506E6-7D50-4FC3-8D35-C133A5134B6D}"/>
    <cellStyle name="40% - Accent1 2 3 3 6" xfId="9608" xr:uid="{B5A405D0-8D5A-4BA3-8EEB-BBA877574F4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24825" xr:uid="{423F19FB-6106-4F9E-8B28-BED42F3E13E6}"/>
    <cellStyle name="40% - Accent1 2 3 4 2 2 3" xfId="33271" xr:uid="{738D98E1-A8D2-451D-8F01-B05CF37ED2D7}"/>
    <cellStyle name="40% - Accent1 2 3 4 2 2 4" xfId="16384" xr:uid="{4F38F0E7-A3D9-4602-8CFF-0B1610DB0394}"/>
    <cellStyle name="40% - Accent1 2 3 4 2 3" xfId="20607" xr:uid="{856B95D5-660F-4096-832E-C6CB38F4B63B}"/>
    <cellStyle name="40% - Accent1 2 3 4 2 4" xfId="29054" xr:uid="{98DFF75C-5D31-4F21-8F2D-8FB07D304D5C}"/>
    <cellStyle name="40% - Accent1 2 3 4 2 5" xfId="12166" xr:uid="{F577E5DB-87D1-4FF7-BADC-1F33722E2472}"/>
    <cellStyle name="40% - Accent1 2 3 4 3" xfId="5797" xr:uid="{00000000-0005-0000-0000-0000F7030000}"/>
    <cellStyle name="40% - Accent1 2 3 4 3 2" xfId="22680" xr:uid="{0F852FC4-BE0C-4CF5-B3F0-769942C23071}"/>
    <cellStyle name="40% - Accent1 2 3 4 3 3" xfId="31126" xr:uid="{19261422-0F0A-4E69-A354-60BBF276063E}"/>
    <cellStyle name="40% - Accent1 2 3 4 3 4" xfId="14239" xr:uid="{E343E2C1-4517-48A7-A4D9-5C22342501B8}"/>
    <cellStyle name="40% - Accent1 2 3 4 4" xfId="18462" xr:uid="{AF37DFA2-0C4B-4E02-AA0B-FB13560549CB}"/>
    <cellStyle name="40% - Accent1 2 3 4 5" xfId="26907" xr:uid="{8D139C54-5B5F-4D46-B6AD-32DCB2F7AC5B}"/>
    <cellStyle name="40% - Accent1 2 3 4 6" xfId="10021" xr:uid="{243589ED-114C-4C54-97CE-9C3B54A126CF}"/>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25238" xr:uid="{BF7E81E8-655D-4C12-8F2D-50D753DD7F1F}"/>
    <cellStyle name="40% - Accent1 2 3 5 2 2 3" xfId="33684" xr:uid="{3708410E-0245-4C9B-9957-2634A416CBE2}"/>
    <cellStyle name="40% - Accent1 2 3 5 2 2 4" xfId="16797" xr:uid="{BB3E2139-AF5D-4139-A704-04381471668B}"/>
    <cellStyle name="40% - Accent1 2 3 5 2 3" xfId="21020" xr:uid="{9B987395-955F-4779-A1FE-E980847F755C}"/>
    <cellStyle name="40% - Accent1 2 3 5 2 4" xfId="29467" xr:uid="{6ABECFBD-5E8D-470A-A02D-8822ADB9B204}"/>
    <cellStyle name="40% - Accent1 2 3 5 2 5" xfId="12579" xr:uid="{7AB7D362-DED7-45F1-8C71-553FC3B692D0}"/>
    <cellStyle name="40% - Accent1 2 3 5 3" xfId="6210" xr:uid="{00000000-0005-0000-0000-0000FB030000}"/>
    <cellStyle name="40% - Accent1 2 3 5 3 2" xfId="23093" xr:uid="{BA6E61B0-EF8A-48F6-A3AF-2FC1827D186D}"/>
    <cellStyle name="40% - Accent1 2 3 5 3 3" xfId="31539" xr:uid="{3AF9162F-B16E-4E62-96B7-5D1A036440F9}"/>
    <cellStyle name="40% - Accent1 2 3 5 3 4" xfId="14652" xr:uid="{C983E9B0-62F6-4A68-BDF9-86408A06C02C}"/>
    <cellStyle name="40% - Accent1 2 3 5 4" xfId="18875" xr:uid="{481BEB36-6E96-444A-B0C9-82532E56FEF5}"/>
    <cellStyle name="40% - Accent1 2 3 5 5" xfId="27320" xr:uid="{E2FA1F43-5FCD-420B-B8D3-528C54C787B6}"/>
    <cellStyle name="40% - Accent1 2 3 5 6" xfId="10434" xr:uid="{084B3808-443B-48A5-8378-A1BD447985EE}"/>
    <cellStyle name="40% - Accent1 2 3 6" xfId="2316" xr:uid="{00000000-0005-0000-0000-0000FC030000}"/>
    <cellStyle name="40% - Accent1 2 3 6 2" xfId="6623" xr:uid="{00000000-0005-0000-0000-0000FD030000}"/>
    <cellStyle name="40% - Accent1 2 3 6 2 2" xfId="23506" xr:uid="{0B0861CD-7DCB-4C35-B347-393B4E0611AB}"/>
    <cellStyle name="40% - Accent1 2 3 6 2 3" xfId="31952" xr:uid="{AFFE5805-4E72-4DAC-9DDE-BFDD4652E77F}"/>
    <cellStyle name="40% - Accent1 2 3 6 2 4" xfId="15065" xr:uid="{C1B0AFF8-2037-441D-8377-880E1FBE9D37}"/>
    <cellStyle name="40% - Accent1 2 3 6 3" xfId="19288" xr:uid="{7FE06673-E881-4A7D-9C7D-3C4C7CBBF724}"/>
    <cellStyle name="40% - Accent1 2 3 6 4" xfId="27733" xr:uid="{ADA2EEC1-9C09-4E17-BBE3-C99164AFD39F}"/>
    <cellStyle name="40% - Accent1 2 3 6 5" xfId="10847" xr:uid="{563DE4E9-E5AF-49B6-BA35-4A62B06F651D}"/>
    <cellStyle name="40% - Accent1 2 3 7" xfId="4557" xr:uid="{00000000-0005-0000-0000-0000FE030000}"/>
    <cellStyle name="40% - Accent1 2 3 7 2" xfId="21440" xr:uid="{1153F8C4-2D0C-4E23-97D1-D374A48B88E0}"/>
    <cellStyle name="40% - Accent1 2 3 7 3" xfId="29886" xr:uid="{69FC74D3-1934-48E7-9E5F-64686C0F7A3A}"/>
    <cellStyle name="40% - Accent1 2 3 7 4" xfId="12999" xr:uid="{AB707CBE-B216-41BE-BBD4-FD70B7633949}"/>
    <cellStyle name="40% - Accent1 2 3 8" xfId="17222" xr:uid="{86CFD549-B2B4-46D3-A723-4A51C770EB02}"/>
    <cellStyle name="40% - Accent1 2 3 9" xfId="25664" xr:uid="{101B6871-0911-4D12-9341-0E47802B20A3}"/>
    <cellStyle name="40% - Accent1 2 4" xfId="619" xr:uid="{00000000-0005-0000-0000-0000FF030000}"/>
    <cellStyle name="40% - Accent1 2 4 2" xfId="2890" xr:uid="{00000000-0005-0000-0000-000000040000}"/>
    <cellStyle name="40% - Accent1 2 4 2 2" xfId="7113" xr:uid="{00000000-0005-0000-0000-000001040000}"/>
    <cellStyle name="40% - Accent1 2 4 2 2 2" xfId="23996" xr:uid="{E2B5B830-C184-4A74-9AD3-4C8247E27359}"/>
    <cellStyle name="40% - Accent1 2 4 2 2 3" xfId="32442" xr:uid="{5C35A48B-9AA4-4C46-ADC3-D3B73E0A4D34}"/>
    <cellStyle name="40% - Accent1 2 4 2 2 4" xfId="15555" xr:uid="{BA95912D-A294-4089-A5E7-94DBC0EF62B1}"/>
    <cellStyle name="40% - Accent1 2 4 2 3" xfId="19778" xr:uid="{9C0E9D8A-ABFD-43A6-B02A-9BE32F41F663}"/>
    <cellStyle name="40% - Accent1 2 4 2 4" xfId="28225" xr:uid="{570CE580-88CB-45EB-A299-FDC3CC5C0324}"/>
    <cellStyle name="40% - Accent1 2 4 2 5" xfId="11337" xr:uid="{52572D0E-FB7C-4DA7-B781-69F1C7F08333}"/>
    <cellStyle name="40% - Accent1 2 4 3" xfId="4968" xr:uid="{00000000-0005-0000-0000-000002040000}"/>
    <cellStyle name="40% - Accent1 2 4 3 2" xfId="21851" xr:uid="{028EAF83-1445-4B3D-972E-0565E970B35E}"/>
    <cellStyle name="40% - Accent1 2 4 3 3" xfId="30297" xr:uid="{936C1F84-AE2B-4E02-88BE-0EAC895F64B4}"/>
    <cellStyle name="40% - Accent1 2 4 3 4" xfId="13410" xr:uid="{ABAC06EE-269C-4CFF-BF5C-1C4DC11E58F4}"/>
    <cellStyle name="40% - Accent1 2 4 4" xfId="17633" xr:uid="{FA3BA02C-50CC-45B2-BE3C-F910718DDC55}"/>
    <cellStyle name="40% - Accent1 2 4 5" xfId="26078" xr:uid="{7FF1DB87-BDE8-4DDB-B2C6-14F89DAD1F25}"/>
    <cellStyle name="40% - Accent1 2 4 6" xfId="9192" xr:uid="{BCF26EC2-AAE4-497F-BA38-E8AD5065E388}"/>
    <cellStyle name="40% - Accent1 2 5" xfId="1072" xr:uid="{00000000-0005-0000-0000-000003040000}"/>
    <cellStyle name="40% - Accent1 2 5 2" xfId="3303" xr:uid="{00000000-0005-0000-0000-000004040000}"/>
    <cellStyle name="40% - Accent1 2 5 2 2" xfId="7526" xr:uid="{00000000-0005-0000-0000-000005040000}"/>
    <cellStyle name="40% - Accent1 2 5 2 2 2" xfId="24409" xr:uid="{3D89DA6C-3E65-4B67-BF9A-012E48526655}"/>
    <cellStyle name="40% - Accent1 2 5 2 2 3" xfId="32855" xr:uid="{3072B81C-5C5D-4CA8-A2EC-5C127DA96158}"/>
    <cellStyle name="40% - Accent1 2 5 2 2 4" xfId="15968" xr:uid="{E8EE9107-4E06-4BF6-BA47-DE22CD20D698}"/>
    <cellStyle name="40% - Accent1 2 5 2 3" xfId="20191" xr:uid="{6E5E3FEF-01B1-477B-A8F7-5A0CF24B68B6}"/>
    <cellStyle name="40% - Accent1 2 5 2 4" xfId="28638" xr:uid="{3FBAB1C2-7BA3-4C21-A52E-71BAB2B1C6E4}"/>
    <cellStyle name="40% - Accent1 2 5 2 5" xfId="11750" xr:uid="{6A0DAF2A-F2D2-489D-AD96-114237709F5E}"/>
    <cellStyle name="40% - Accent1 2 5 3" xfId="5381" xr:uid="{00000000-0005-0000-0000-000006040000}"/>
    <cellStyle name="40% - Accent1 2 5 3 2" xfId="22264" xr:uid="{DCAE8975-B2DC-41F6-8799-E4538FEF8CC1}"/>
    <cellStyle name="40% - Accent1 2 5 3 3" xfId="30710" xr:uid="{4969B63B-C5AD-4CAA-BA23-D209CABFF3BC}"/>
    <cellStyle name="40% - Accent1 2 5 3 4" xfId="13823" xr:uid="{DF97AB7A-0AB8-432E-8660-6E88254D8549}"/>
    <cellStyle name="40% - Accent1 2 5 4" xfId="18046" xr:uid="{CD56D1D9-94D8-41C6-8538-DF590B6F5C99}"/>
    <cellStyle name="40% - Accent1 2 5 5" xfId="26491" xr:uid="{45AA5C1A-BAC4-4404-8ED3-FBA814DCD99D}"/>
    <cellStyle name="40% - Accent1 2 5 6" xfId="9605" xr:uid="{273E57EF-B0C4-4856-A673-7F2DE09013C2}"/>
    <cellStyle name="40% - Accent1 2 6" xfId="1486" xr:uid="{00000000-0005-0000-0000-000007040000}"/>
    <cellStyle name="40% - Accent1 2 6 2" xfId="3716" xr:uid="{00000000-0005-0000-0000-000008040000}"/>
    <cellStyle name="40% - Accent1 2 6 2 2" xfId="7939" xr:uid="{00000000-0005-0000-0000-000009040000}"/>
    <cellStyle name="40% - Accent1 2 6 2 2 2" xfId="24822" xr:uid="{254033A3-7F94-473F-9C70-C601F57D9B8B}"/>
    <cellStyle name="40% - Accent1 2 6 2 2 3" xfId="33268" xr:uid="{BA47F404-3144-4BCB-B8D2-72E940E6EE26}"/>
    <cellStyle name="40% - Accent1 2 6 2 2 4" xfId="16381" xr:uid="{68247126-3222-4978-B8C3-7F5A83FBB27C}"/>
    <cellStyle name="40% - Accent1 2 6 2 3" xfId="20604" xr:uid="{DC63DCFE-C053-486A-BC37-54349F1A7F74}"/>
    <cellStyle name="40% - Accent1 2 6 2 4" xfId="29051" xr:uid="{8FEF69FA-FF4C-49D2-9670-D61EF9182C17}"/>
    <cellStyle name="40% - Accent1 2 6 2 5" xfId="12163" xr:uid="{2C65FDB7-B682-4674-8C6D-BD86614C9836}"/>
    <cellStyle name="40% - Accent1 2 6 3" xfId="5794" xr:uid="{00000000-0005-0000-0000-00000A040000}"/>
    <cellStyle name="40% - Accent1 2 6 3 2" xfId="22677" xr:uid="{28EF4630-30CB-4360-A2FA-0959B24A2D82}"/>
    <cellStyle name="40% - Accent1 2 6 3 3" xfId="31123" xr:uid="{95772706-1EA7-4232-A22B-4108ECB68E78}"/>
    <cellStyle name="40% - Accent1 2 6 3 4" xfId="14236" xr:uid="{3C62EB15-05A7-4DDC-9246-E70ACD6F7192}"/>
    <cellStyle name="40% - Accent1 2 6 4" xfId="18459" xr:uid="{96C30CA6-F4EA-4A31-A91D-62EEF70F5392}"/>
    <cellStyle name="40% - Accent1 2 6 5" xfId="26904" xr:uid="{E138FB32-264D-4ADE-BB22-7ED63B4EA7CB}"/>
    <cellStyle name="40% - Accent1 2 6 6" xfId="10018" xr:uid="{639DFC54-1F4F-4219-9669-97FC3893F271}"/>
    <cellStyle name="40% - Accent1 2 7" xfId="1900" xr:uid="{00000000-0005-0000-0000-00000B040000}"/>
    <cellStyle name="40% - Accent1 2 7 2" xfId="4129" xr:uid="{00000000-0005-0000-0000-00000C040000}"/>
    <cellStyle name="40% - Accent1 2 7 2 2" xfId="8352" xr:uid="{00000000-0005-0000-0000-00000D040000}"/>
    <cellStyle name="40% - Accent1 2 7 2 2 2" xfId="25235" xr:uid="{AAB76044-55E0-4BE9-B699-00FF3312BAD3}"/>
    <cellStyle name="40% - Accent1 2 7 2 2 3" xfId="33681" xr:uid="{49B4A056-4049-4C03-A681-D7514F18D6ED}"/>
    <cellStyle name="40% - Accent1 2 7 2 2 4" xfId="16794" xr:uid="{B190A3E2-2DAF-4060-86E8-227F56363D90}"/>
    <cellStyle name="40% - Accent1 2 7 2 3" xfId="21017" xr:uid="{23ADE3A1-C9E8-4F0C-8413-BCB4D769320A}"/>
    <cellStyle name="40% - Accent1 2 7 2 4" xfId="29464" xr:uid="{58ADB678-DEDE-414A-BDF8-05C90D983097}"/>
    <cellStyle name="40% - Accent1 2 7 2 5" xfId="12576" xr:uid="{E813B3DD-9D15-4D95-86A4-D1264D3928C2}"/>
    <cellStyle name="40% - Accent1 2 7 3" xfId="6207" xr:uid="{00000000-0005-0000-0000-00000E040000}"/>
    <cellStyle name="40% - Accent1 2 7 3 2" xfId="23090" xr:uid="{E07BADAD-8932-4F03-91A2-A67E14699B79}"/>
    <cellStyle name="40% - Accent1 2 7 3 3" xfId="31536" xr:uid="{2DCBAF79-C437-4CFD-8782-64BED74C6ECA}"/>
    <cellStyle name="40% - Accent1 2 7 3 4" xfId="14649" xr:uid="{B95E9B30-3A44-4360-9253-32BAF8110AB1}"/>
    <cellStyle name="40% - Accent1 2 7 4" xfId="18872" xr:uid="{9AA5D902-B787-467E-9F59-437E294B46F6}"/>
    <cellStyle name="40% - Accent1 2 7 5" xfId="27317" xr:uid="{7517E6C3-7520-4F32-82E1-CA94BF957975}"/>
    <cellStyle name="40% - Accent1 2 7 6" xfId="10431" xr:uid="{EFC461F9-58B3-4CC0-8121-BC0579BC0C0D}"/>
    <cellStyle name="40% - Accent1 2 8" xfId="2313" xr:uid="{00000000-0005-0000-0000-00000F040000}"/>
    <cellStyle name="40% - Accent1 2 8 2" xfId="6620" xr:uid="{00000000-0005-0000-0000-000010040000}"/>
    <cellStyle name="40% - Accent1 2 8 2 2" xfId="23503" xr:uid="{0F5DBBB9-A01D-4CC5-A81C-37EA122F08F6}"/>
    <cellStyle name="40% - Accent1 2 8 2 3" xfId="31949" xr:uid="{2A48D027-4BDB-4F97-8082-A21233CC1B41}"/>
    <cellStyle name="40% - Accent1 2 8 2 4" xfId="15062" xr:uid="{693669BD-D0A1-428D-9CF1-F93C37E0C2EB}"/>
    <cellStyle name="40% - Accent1 2 8 3" xfId="19285" xr:uid="{BD3591D3-7105-4D6F-8890-DF5F6489E4FC}"/>
    <cellStyle name="40% - Accent1 2 8 4" xfId="27730" xr:uid="{D14135A0-61A0-4D0E-A510-A9E448179327}"/>
    <cellStyle name="40% - Accent1 2 8 5" xfId="10844" xr:uid="{5934DEDE-054D-4782-8C10-50D1B0AF9471}"/>
    <cellStyle name="40% - Accent1 2 9" xfId="4554" xr:uid="{00000000-0005-0000-0000-000011040000}"/>
    <cellStyle name="40% - Accent1 2 9 2" xfId="21437" xr:uid="{5869D223-3702-43F1-BCFD-9CB7B10AF811}"/>
    <cellStyle name="40% - Accent1 2 9 3" xfId="29883" xr:uid="{21FD7B9E-9CBC-443C-B106-C7FED0ABCF4A}"/>
    <cellStyle name="40% - Accent1 2 9 4" xfId="12996" xr:uid="{E395EFFD-2236-4FBF-9C4B-64BAD0E3FE18}"/>
    <cellStyle name="40% - Accent1 3" xfId="54" xr:uid="{00000000-0005-0000-0000-000012040000}"/>
    <cellStyle name="40% - Accent1 3 10" xfId="25665" xr:uid="{248BC227-C168-4A4D-A382-5F7C3E80E7B9}"/>
    <cellStyle name="40% - Accent1 3 11" xfId="8782" xr:uid="{A840654F-64AC-41F7-874E-3D242B0CDBDF}"/>
    <cellStyle name="40% - Accent1 3 2" xfId="55" xr:uid="{00000000-0005-0000-0000-000013040000}"/>
    <cellStyle name="40% - Accent1 3 2 10" xfId="8783" xr:uid="{6C1AD399-EEEA-459C-B4C4-635DDC4317BF}"/>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24001" xr:uid="{B9DDCA7F-C158-4189-A14E-18C0BCABC6AB}"/>
    <cellStyle name="40% - Accent1 3 2 2 2 2 3" xfId="32447" xr:uid="{F2B6109D-55F3-4DE0-8014-71BBC023309A}"/>
    <cellStyle name="40% - Accent1 3 2 2 2 2 4" xfId="15560" xr:uid="{2041DAD8-A4BB-4F7C-8628-D281729CE293}"/>
    <cellStyle name="40% - Accent1 3 2 2 2 3" xfId="19783" xr:uid="{65920ED5-F330-4EBF-A29F-EA2F1F1157F0}"/>
    <cellStyle name="40% - Accent1 3 2 2 2 4" xfId="28230" xr:uid="{92052B9C-97BA-49D9-BDE6-6D7A9C8507AA}"/>
    <cellStyle name="40% - Accent1 3 2 2 2 5" xfId="11342" xr:uid="{901B9E6F-8966-4DC9-9B72-11AE445D9111}"/>
    <cellStyle name="40% - Accent1 3 2 2 3" xfId="4973" xr:uid="{00000000-0005-0000-0000-000017040000}"/>
    <cellStyle name="40% - Accent1 3 2 2 3 2" xfId="21856" xr:uid="{2B773DFC-F47A-44A2-8E8F-83938C977173}"/>
    <cellStyle name="40% - Accent1 3 2 2 3 3" xfId="30302" xr:uid="{FFA5B153-8E73-46A3-AD46-B8D2B0019827}"/>
    <cellStyle name="40% - Accent1 3 2 2 3 4" xfId="13415" xr:uid="{8142136B-D0B8-42DF-9ECA-88DE877DA21E}"/>
    <cellStyle name="40% - Accent1 3 2 2 4" xfId="17638" xr:uid="{05B01D86-9989-4B34-9807-7ABC158512DB}"/>
    <cellStyle name="40% - Accent1 3 2 2 5" xfId="26083" xr:uid="{C9312246-CC7C-4703-8DC9-E0D554C6D16F}"/>
    <cellStyle name="40% - Accent1 3 2 2 6" xfId="9197" xr:uid="{52790ACF-887D-45A2-B47E-0F536CAFE80E}"/>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24414" xr:uid="{8B4E817D-8254-416D-9B4B-3DF91F5B0DFF}"/>
    <cellStyle name="40% - Accent1 3 2 3 2 2 3" xfId="32860" xr:uid="{847BBBF2-912C-4739-B84E-2FF34B66B8DA}"/>
    <cellStyle name="40% - Accent1 3 2 3 2 2 4" xfId="15973" xr:uid="{2244E9B5-6429-456D-B6AB-296FFF5BCF78}"/>
    <cellStyle name="40% - Accent1 3 2 3 2 3" xfId="20196" xr:uid="{9EE195DA-B03C-4DCD-B430-9F4258538204}"/>
    <cellStyle name="40% - Accent1 3 2 3 2 4" xfId="28643" xr:uid="{690500CB-197F-46D6-A67B-56C98DBD7EB7}"/>
    <cellStyle name="40% - Accent1 3 2 3 2 5" xfId="11755" xr:uid="{8D150EFE-B958-4D11-B505-F3838335BCF5}"/>
    <cellStyle name="40% - Accent1 3 2 3 3" xfId="5386" xr:uid="{00000000-0005-0000-0000-00001B040000}"/>
    <cellStyle name="40% - Accent1 3 2 3 3 2" xfId="22269" xr:uid="{5DCC6166-894B-4818-97AD-9B7C4B94120E}"/>
    <cellStyle name="40% - Accent1 3 2 3 3 3" xfId="30715" xr:uid="{CF2582F0-883A-44FD-B92B-EBDFF33A68A3}"/>
    <cellStyle name="40% - Accent1 3 2 3 3 4" xfId="13828" xr:uid="{472BE851-C2E3-4EBD-8E82-5B8CD7D11B46}"/>
    <cellStyle name="40% - Accent1 3 2 3 4" xfId="18051" xr:uid="{0BD4309F-7A94-4B1B-80EF-D2228194B690}"/>
    <cellStyle name="40% - Accent1 3 2 3 5" xfId="26496" xr:uid="{4791F512-0569-4E0A-AA53-12BFD1005141}"/>
    <cellStyle name="40% - Accent1 3 2 3 6" xfId="9610" xr:uid="{8060221F-288A-4C7E-B33E-4A2C36CD5029}"/>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24827" xr:uid="{D2E9B595-161E-4649-9FC5-5C27AF86F97C}"/>
    <cellStyle name="40% - Accent1 3 2 4 2 2 3" xfId="33273" xr:uid="{C9B217E8-25D0-442B-B53E-51FF225C94EC}"/>
    <cellStyle name="40% - Accent1 3 2 4 2 2 4" xfId="16386" xr:uid="{5048501B-60E7-4E48-BFC3-A9DD5CE9CA25}"/>
    <cellStyle name="40% - Accent1 3 2 4 2 3" xfId="20609" xr:uid="{436A8178-B4BA-4028-A494-829AAFA28BEE}"/>
    <cellStyle name="40% - Accent1 3 2 4 2 4" xfId="29056" xr:uid="{436689D9-1831-4AC0-A311-DBB4AE53294F}"/>
    <cellStyle name="40% - Accent1 3 2 4 2 5" xfId="12168" xr:uid="{A897DBD4-0C5D-496A-9676-6AE312C3EF52}"/>
    <cellStyle name="40% - Accent1 3 2 4 3" xfId="5799" xr:uid="{00000000-0005-0000-0000-00001F040000}"/>
    <cellStyle name="40% - Accent1 3 2 4 3 2" xfId="22682" xr:uid="{97E9E6BA-D618-4462-94C2-570F5CE33D0E}"/>
    <cellStyle name="40% - Accent1 3 2 4 3 3" xfId="31128" xr:uid="{BF696792-FB0D-4B9D-AEB9-F2AA8768989D}"/>
    <cellStyle name="40% - Accent1 3 2 4 3 4" xfId="14241" xr:uid="{EC40C974-1766-408D-909E-B3595070C8EB}"/>
    <cellStyle name="40% - Accent1 3 2 4 4" xfId="18464" xr:uid="{1E3430D9-ABF0-4B98-A58A-0B4AD12E434C}"/>
    <cellStyle name="40% - Accent1 3 2 4 5" xfId="26909" xr:uid="{EDE10782-DF2A-492A-9AAB-FA4BB2759BCB}"/>
    <cellStyle name="40% - Accent1 3 2 4 6" xfId="10023" xr:uid="{194F45B0-E49B-41EF-8C73-B514785EE663}"/>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25240" xr:uid="{A6A2B4F6-5E40-49FB-9DED-958C01631ACA}"/>
    <cellStyle name="40% - Accent1 3 2 5 2 2 3" xfId="33686" xr:uid="{5E90C5DC-60EB-43EA-8E0A-6D586E3743CC}"/>
    <cellStyle name="40% - Accent1 3 2 5 2 2 4" xfId="16799" xr:uid="{292B83F0-F5E2-4BAF-8A0A-62B1AE8BE0FD}"/>
    <cellStyle name="40% - Accent1 3 2 5 2 3" xfId="21022" xr:uid="{4D332625-0C08-4FE6-ACBF-CCD75FAC7360}"/>
    <cellStyle name="40% - Accent1 3 2 5 2 4" xfId="29469" xr:uid="{00F3338B-FF95-4A11-8FE1-9421C9D74E0B}"/>
    <cellStyle name="40% - Accent1 3 2 5 2 5" xfId="12581" xr:uid="{1607AF02-53FF-487D-BF1A-6153CFE7E414}"/>
    <cellStyle name="40% - Accent1 3 2 5 3" xfId="6212" xr:uid="{00000000-0005-0000-0000-000023040000}"/>
    <cellStyle name="40% - Accent1 3 2 5 3 2" xfId="23095" xr:uid="{126CC725-F498-4B91-8101-B0C47BCC2392}"/>
    <cellStyle name="40% - Accent1 3 2 5 3 3" xfId="31541" xr:uid="{E107D42C-3A30-4CF9-8120-D1E9BA074612}"/>
    <cellStyle name="40% - Accent1 3 2 5 3 4" xfId="14654" xr:uid="{A65A3DC1-7DA3-4F8D-8840-6A0B659AC992}"/>
    <cellStyle name="40% - Accent1 3 2 5 4" xfId="18877" xr:uid="{7C47175A-1578-4A38-ADF7-7A93BC2EC423}"/>
    <cellStyle name="40% - Accent1 3 2 5 5" xfId="27322" xr:uid="{17E0D593-E4CA-4191-959F-D7FD1445CFE9}"/>
    <cellStyle name="40% - Accent1 3 2 5 6" xfId="10436" xr:uid="{5DDF001F-08B3-48CB-A849-2D04E66BD8B5}"/>
    <cellStyle name="40% - Accent1 3 2 6" xfId="2318" xr:uid="{00000000-0005-0000-0000-000024040000}"/>
    <cellStyle name="40% - Accent1 3 2 6 2" xfId="6625" xr:uid="{00000000-0005-0000-0000-000025040000}"/>
    <cellStyle name="40% - Accent1 3 2 6 2 2" xfId="23508" xr:uid="{9C3ECAFF-4FAA-4BDD-996D-884561E239C3}"/>
    <cellStyle name="40% - Accent1 3 2 6 2 3" xfId="31954" xr:uid="{0E1203CB-CC35-493E-961A-FF5E3978FF97}"/>
    <cellStyle name="40% - Accent1 3 2 6 2 4" xfId="15067" xr:uid="{BC9220F4-7876-41A3-9CFA-38F4337D713F}"/>
    <cellStyle name="40% - Accent1 3 2 6 3" xfId="19290" xr:uid="{30F60839-92E3-4B3C-8B1D-FD7DAE146837}"/>
    <cellStyle name="40% - Accent1 3 2 6 4" xfId="27735" xr:uid="{66074559-360A-46F7-BE73-FA8740A154A1}"/>
    <cellStyle name="40% - Accent1 3 2 6 5" xfId="10849" xr:uid="{5804BA99-56EB-4CEF-B2CC-27DAB1EA0C6E}"/>
    <cellStyle name="40% - Accent1 3 2 7" xfId="4559" xr:uid="{00000000-0005-0000-0000-000026040000}"/>
    <cellStyle name="40% - Accent1 3 2 7 2" xfId="21442" xr:uid="{92B9FB60-DAC8-4757-9319-951C9406992A}"/>
    <cellStyle name="40% - Accent1 3 2 7 3" xfId="29888" xr:uid="{F6DA3FDD-8134-46B2-9C3B-A53F0A431385}"/>
    <cellStyle name="40% - Accent1 3 2 7 4" xfId="13001" xr:uid="{2F4FDD35-43B4-4A77-9646-57444E0F24D9}"/>
    <cellStyle name="40% - Accent1 3 2 8" xfId="17224" xr:uid="{9C31F9A9-AC9F-46F0-A1B0-7524108ADD33}"/>
    <cellStyle name="40% - Accent1 3 2 9" xfId="25666" xr:uid="{484F847A-29AD-4FD7-85D0-F8908E6CD47A}"/>
    <cellStyle name="40% - Accent1 3 3" xfId="623" xr:uid="{00000000-0005-0000-0000-000027040000}"/>
    <cellStyle name="40% - Accent1 3 3 2" xfId="2894" xr:uid="{00000000-0005-0000-0000-000028040000}"/>
    <cellStyle name="40% - Accent1 3 3 2 2" xfId="7117" xr:uid="{00000000-0005-0000-0000-000029040000}"/>
    <cellStyle name="40% - Accent1 3 3 2 2 2" xfId="24000" xr:uid="{EEDA2F22-37C6-459E-9BA2-B7CBFA246EDB}"/>
    <cellStyle name="40% - Accent1 3 3 2 2 3" xfId="32446" xr:uid="{4A3F227D-74C3-43C7-BDE4-7B2D6F4CB620}"/>
    <cellStyle name="40% - Accent1 3 3 2 2 4" xfId="15559" xr:uid="{9AE808BC-4EDC-493F-8C9C-3C443452A15C}"/>
    <cellStyle name="40% - Accent1 3 3 2 3" xfId="19782" xr:uid="{0C0857EB-9E67-4E76-BA9D-E61CECE083D1}"/>
    <cellStyle name="40% - Accent1 3 3 2 4" xfId="28229" xr:uid="{8A62095F-563D-419B-8DD2-C8DD397214B1}"/>
    <cellStyle name="40% - Accent1 3 3 2 5" xfId="11341" xr:uid="{9ED2A0DE-B1FD-4B6A-9E9D-31A926628B3C}"/>
    <cellStyle name="40% - Accent1 3 3 3" xfId="4972" xr:uid="{00000000-0005-0000-0000-00002A040000}"/>
    <cellStyle name="40% - Accent1 3 3 3 2" xfId="21855" xr:uid="{1489EB15-3701-49A7-93AD-8B19CD2327B8}"/>
    <cellStyle name="40% - Accent1 3 3 3 3" xfId="30301" xr:uid="{7D71B1D0-2301-4785-B9B9-26E740EE30AB}"/>
    <cellStyle name="40% - Accent1 3 3 3 4" xfId="13414" xr:uid="{9B811562-3A1D-4B61-A719-0A11FCED0DD9}"/>
    <cellStyle name="40% - Accent1 3 3 4" xfId="17637" xr:uid="{B8B8D105-465E-4BEC-B669-649E6450AF3A}"/>
    <cellStyle name="40% - Accent1 3 3 5" xfId="26082" xr:uid="{37A64C6F-2FF0-4ED2-8D2C-F30086B35D2B}"/>
    <cellStyle name="40% - Accent1 3 3 6" xfId="9196" xr:uid="{4948DA3A-777E-43BC-B7DF-E7E1FBBB0DC3}"/>
    <cellStyle name="40% - Accent1 3 4" xfId="1076" xr:uid="{00000000-0005-0000-0000-00002B040000}"/>
    <cellStyle name="40% - Accent1 3 4 2" xfId="3307" xr:uid="{00000000-0005-0000-0000-00002C040000}"/>
    <cellStyle name="40% - Accent1 3 4 2 2" xfId="7530" xr:uid="{00000000-0005-0000-0000-00002D040000}"/>
    <cellStyle name="40% - Accent1 3 4 2 2 2" xfId="24413" xr:uid="{884A88A4-05EC-49C0-B646-42F9EC86C04E}"/>
    <cellStyle name="40% - Accent1 3 4 2 2 3" xfId="32859" xr:uid="{8A25D3AD-E520-4E30-8C34-255B2B1A785B}"/>
    <cellStyle name="40% - Accent1 3 4 2 2 4" xfId="15972" xr:uid="{B77D463D-DBFE-4C97-A29A-07D4B4FDECD8}"/>
    <cellStyle name="40% - Accent1 3 4 2 3" xfId="20195" xr:uid="{158F1FBF-ED58-4EB4-B41D-9D7ABA0B9253}"/>
    <cellStyle name="40% - Accent1 3 4 2 4" xfId="28642" xr:uid="{46D9D1A5-1831-4D9F-9200-EB2F7017D065}"/>
    <cellStyle name="40% - Accent1 3 4 2 5" xfId="11754" xr:uid="{E7173507-7116-4333-B1BD-17210B569C22}"/>
    <cellStyle name="40% - Accent1 3 4 3" xfId="5385" xr:uid="{00000000-0005-0000-0000-00002E040000}"/>
    <cellStyle name="40% - Accent1 3 4 3 2" xfId="22268" xr:uid="{6552043D-40FF-474F-937B-A2A66B5A46CE}"/>
    <cellStyle name="40% - Accent1 3 4 3 3" xfId="30714" xr:uid="{BC1CF59E-7A23-47ED-AA40-78F29E7700A5}"/>
    <cellStyle name="40% - Accent1 3 4 3 4" xfId="13827" xr:uid="{F91C83C5-7805-410D-8E4B-24C2E2FA9FEF}"/>
    <cellStyle name="40% - Accent1 3 4 4" xfId="18050" xr:uid="{C16A01A7-8CCE-461B-BF36-0E42854512F8}"/>
    <cellStyle name="40% - Accent1 3 4 5" xfId="26495" xr:uid="{C86ADF8A-5032-463E-A019-D66EB0B4CC1D}"/>
    <cellStyle name="40% - Accent1 3 4 6" xfId="9609" xr:uid="{8F93FBCA-95D1-42FB-9E56-8525AC88FB86}"/>
    <cellStyle name="40% - Accent1 3 5" xfId="1490" xr:uid="{00000000-0005-0000-0000-00002F040000}"/>
    <cellStyle name="40% - Accent1 3 5 2" xfId="3720" xr:uid="{00000000-0005-0000-0000-000030040000}"/>
    <cellStyle name="40% - Accent1 3 5 2 2" xfId="7943" xr:uid="{00000000-0005-0000-0000-000031040000}"/>
    <cellStyle name="40% - Accent1 3 5 2 2 2" xfId="24826" xr:uid="{9E3720B7-07B1-4DF0-AB3A-A8EE0589E754}"/>
    <cellStyle name="40% - Accent1 3 5 2 2 3" xfId="33272" xr:uid="{B32ADF2D-760F-4232-808C-7F26DD719ED6}"/>
    <cellStyle name="40% - Accent1 3 5 2 2 4" xfId="16385" xr:uid="{E0CEB995-EB15-416D-BB66-B3FB1274C354}"/>
    <cellStyle name="40% - Accent1 3 5 2 3" xfId="20608" xr:uid="{3B88E98D-06C2-442D-B816-1281961B4C6E}"/>
    <cellStyle name="40% - Accent1 3 5 2 4" xfId="29055" xr:uid="{9E36D33E-4384-492D-969E-6CCD9B31AA95}"/>
    <cellStyle name="40% - Accent1 3 5 2 5" xfId="12167" xr:uid="{2CE739EF-D8BA-4890-92A4-F24F94AA6519}"/>
    <cellStyle name="40% - Accent1 3 5 3" xfId="5798" xr:uid="{00000000-0005-0000-0000-000032040000}"/>
    <cellStyle name="40% - Accent1 3 5 3 2" xfId="22681" xr:uid="{407BA623-0C41-490A-8858-A3739BA178D2}"/>
    <cellStyle name="40% - Accent1 3 5 3 3" xfId="31127" xr:uid="{E9CF18A0-C110-44C8-B57E-AC4D54A8DE61}"/>
    <cellStyle name="40% - Accent1 3 5 3 4" xfId="14240" xr:uid="{6A7AA63A-2D7B-4AD4-B589-A807E7A57D54}"/>
    <cellStyle name="40% - Accent1 3 5 4" xfId="18463" xr:uid="{ABD8781E-267E-4D45-8BDC-B8E98483BD18}"/>
    <cellStyle name="40% - Accent1 3 5 5" xfId="26908" xr:uid="{CFAFCA9D-4EFA-4389-9163-030CAC7BBE47}"/>
    <cellStyle name="40% - Accent1 3 5 6" xfId="10022" xr:uid="{B33A47BB-390F-491D-B382-EBB38A25C5B6}"/>
    <cellStyle name="40% - Accent1 3 6" xfId="1904" xr:uid="{00000000-0005-0000-0000-000033040000}"/>
    <cellStyle name="40% - Accent1 3 6 2" xfId="4133" xr:uid="{00000000-0005-0000-0000-000034040000}"/>
    <cellStyle name="40% - Accent1 3 6 2 2" xfId="8356" xr:uid="{00000000-0005-0000-0000-000035040000}"/>
    <cellStyle name="40% - Accent1 3 6 2 2 2" xfId="25239" xr:uid="{2776F9A7-B356-4070-91D9-92B1DC5495F6}"/>
    <cellStyle name="40% - Accent1 3 6 2 2 3" xfId="33685" xr:uid="{03286CA5-D562-49D6-B6B7-A96F15BD59F3}"/>
    <cellStyle name="40% - Accent1 3 6 2 2 4" xfId="16798" xr:uid="{AC0D16C5-2DE9-4A29-9641-0F4867F36DAE}"/>
    <cellStyle name="40% - Accent1 3 6 2 3" xfId="21021" xr:uid="{3572575D-356E-4BAC-8D29-439176416045}"/>
    <cellStyle name="40% - Accent1 3 6 2 4" xfId="29468" xr:uid="{810A0543-82A1-4555-B658-72939FB75D62}"/>
    <cellStyle name="40% - Accent1 3 6 2 5" xfId="12580" xr:uid="{9AEAD9C0-9761-4B81-B1E4-C5C21BEFA3B8}"/>
    <cellStyle name="40% - Accent1 3 6 3" xfId="6211" xr:uid="{00000000-0005-0000-0000-000036040000}"/>
    <cellStyle name="40% - Accent1 3 6 3 2" xfId="23094" xr:uid="{9E5FFE62-2FE8-4070-B328-6D0A52F5CECD}"/>
    <cellStyle name="40% - Accent1 3 6 3 3" xfId="31540" xr:uid="{120683A2-34F9-484B-BF4E-D90EB4501AE6}"/>
    <cellStyle name="40% - Accent1 3 6 3 4" xfId="14653" xr:uid="{2C61A074-BC66-4475-8514-B6432BFE4C2D}"/>
    <cellStyle name="40% - Accent1 3 6 4" xfId="18876" xr:uid="{E0450143-4339-43B0-9390-0202CA2DD47E}"/>
    <cellStyle name="40% - Accent1 3 6 5" xfId="27321" xr:uid="{3E9C2DFA-E2D5-42CB-B3C2-8A4CCED2CEAD}"/>
    <cellStyle name="40% - Accent1 3 6 6" xfId="10435" xr:uid="{7E61021C-8DB7-43C7-9198-64FABC7A6300}"/>
    <cellStyle name="40% - Accent1 3 7" xfId="2317" xr:uid="{00000000-0005-0000-0000-000037040000}"/>
    <cellStyle name="40% - Accent1 3 7 2" xfId="6624" xr:uid="{00000000-0005-0000-0000-000038040000}"/>
    <cellStyle name="40% - Accent1 3 7 2 2" xfId="23507" xr:uid="{09ACD28A-242F-46C6-999E-A92E2F994CA8}"/>
    <cellStyle name="40% - Accent1 3 7 2 3" xfId="31953" xr:uid="{19CB8180-9A15-4123-A22C-A840A5B97737}"/>
    <cellStyle name="40% - Accent1 3 7 2 4" xfId="15066" xr:uid="{C596640F-5776-4588-914D-66CE8BC64C50}"/>
    <cellStyle name="40% - Accent1 3 7 3" xfId="19289" xr:uid="{C8C33E24-5C40-42FF-86B6-BA5D2EBC978A}"/>
    <cellStyle name="40% - Accent1 3 7 4" xfId="27734" xr:uid="{F9552CE6-7E7F-45A6-BEA0-972AFC5390A9}"/>
    <cellStyle name="40% - Accent1 3 7 5" xfId="10848" xr:uid="{A87F5658-CD5F-433C-B526-AF206D063DE5}"/>
    <cellStyle name="40% - Accent1 3 8" xfId="4558" xr:uid="{00000000-0005-0000-0000-000039040000}"/>
    <cellStyle name="40% - Accent1 3 8 2" xfId="21441" xr:uid="{FAE8E69E-55B5-4D25-BC83-B82AE53BFD3D}"/>
    <cellStyle name="40% - Accent1 3 8 3" xfId="29887" xr:uid="{717FC3C1-B8B9-41A2-A852-E9215396DA5F}"/>
    <cellStyle name="40% - Accent1 3 8 4" xfId="13000" xr:uid="{ECC1A6E1-F3F9-41B5-9CE8-8578FC9CA7B1}"/>
    <cellStyle name="40% - Accent1 3 9" xfId="17223" xr:uid="{53067D88-3AA7-4847-9779-8503CDA74D18}"/>
    <cellStyle name="40% - Accent1 4" xfId="56" xr:uid="{00000000-0005-0000-0000-00003A040000}"/>
    <cellStyle name="40% - Accent1 4 10" xfId="8784" xr:uid="{9DF5FC08-CD2D-4472-95D2-CE64C291FB3F}"/>
    <cellStyle name="40% - Accent1 4 2" xfId="625" xr:uid="{00000000-0005-0000-0000-00003B040000}"/>
    <cellStyle name="40% - Accent1 4 2 2" xfId="2896" xr:uid="{00000000-0005-0000-0000-00003C040000}"/>
    <cellStyle name="40% - Accent1 4 2 2 2" xfId="7119" xr:uid="{00000000-0005-0000-0000-00003D040000}"/>
    <cellStyle name="40% - Accent1 4 2 2 2 2" xfId="24002" xr:uid="{58775690-B0A9-46F9-B12B-C539903288F7}"/>
    <cellStyle name="40% - Accent1 4 2 2 2 3" xfId="32448" xr:uid="{6E4113A0-BF4B-4709-B20C-4BA40DE4BDCB}"/>
    <cellStyle name="40% - Accent1 4 2 2 2 4" xfId="15561" xr:uid="{8307C6FB-7FE2-4B2F-9570-2B4812B838E8}"/>
    <cellStyle name="40% - Accent1 4 2 2 3" xfId="19784" xr:uid="{21F5F00C-9006-4F70-AAED-491C70521652}"/>
    <cellStyle name="40% - Accent1 4 2 2 4" xfId="28231" xr:uid="{CF778DDA-CBBD-4424-9281-04F692B9833E}"/>
    <cellStyle name="40% - Accent1 4 2 2 5" xfId="11343" xr:uid="{DF2D145E-7FA7-4D05-A4CB-6B444DA6F96B}"/>
    <cellStyle name="40% - Accent1 4 2 3" xfId="4974" xr:uid="{00000000-0005-0000-0000-00003E040000}"/>
    <cellStyle name="40% - Accent1 4 2 3 2" xfId="21857" xr:uid="{71938E97-780A-44DE-B975-8D611745F182}"/>
    <cellStyle name="40% - Accent1 4 2 3 3" xfId="30303" xr:uid="{C025BAA9-62CC-4E91-A23E-4D18903EA86C}"/>
    <cellStyle name="40% - Accent1 4 2 3 4" xfId="13416" xr:uid="{0E84CE61-737D-4DB5-8931-2629216FF799}"/>
    <cellStyle name="40% - Accent1 4 2 4" xfId="17639" xr:uid="{F8F4AB60-96B7-4962-8DBF-D073ECB5A5E6}"/>
    <cellStyle name="40% - Accent1 4 2 5" xfId="26084" xr:uid="{5356EF0F-3343-4262-81FD-0BB6777B639B}"/>
    <cellStyle name="40% - Accent1 4 2 6" xfId="9198" xr:uid="{F206C6BB-D0EA-4F4F-B1AD-F8FC4C5B3243}"/>
    <cellStyle name="40% - Accent1 4 3" xfId="1078" xr:uid="{00000000-0005-0000-0000-00003F040000}"/>
    <cellStyle name="40% - Accent1 4 3 2" xfId="3309" xr:uid="{00000000-0005-0000-0000-000040040000}"/>
    <cellStyle name="40% - Accent1 4 3 2 2" xfId="7532" xr:uid="{00000000-0005-0000-0000-000041040000}"/>
    <cellStyle name="40% - Accent1 4 3 2 2 2" xfId="24415" xr:uid="{134CFE06-12A4-4FB5-855F-F8144C1659C3}"/>
    <cellStyle name="40% - Accent1 4 3 2 2 3" xfId="32861" xr:uid="{1B58E2C1-89EF-4352-B55C-4DB49D3FC581}"/>
    <cellStyle name="40% - Accent1 4 3 2 2 4" xfId="15974" xr:uid="{94B12E2D-EA7C-4A06-A5B8-6C606830E5EB}"/>
    <cellStyle name="40% - Accent1 4 3 2 3" xfId="20197" xr:uid="{C57165BB-CD65-4279-AA53-133E52382F52}"/>
    <cellStyle name="40% - Accent1 4 3 2 4" xfId="28644" xr:uid="{59AEEE52-6264-45F7-BF54-4AB009CA35F1}"/>
    <cellStyle name="40% - Accent1 4 3 2 5" xfId="11756" xr:uid="{D1D75CE2-697D-4F3E-B7DB-5F02277CB28B}"/>
    <cellStyle name="40% - Accent1 4 3 3" xfId="5387" xr:uid="{00000000-0005-0000-0000-000042040000}"/>
    <cellStyle name="40% - Accent1 4 3 3 2" xfId="22270" xr:uid="{1B0A55F2-68BD-439B-9233-1EBA44576609}"/>
    <cellStyle name="40% - Accent1 4 3 3 3" xfId="30716" xr:uid="{9544B075-527D-4405-A486-E07DBAAF9708}"/>
    <cellStyle name="40% - Accent1 4 3 3 4" xfId="13829" xr:uid="{776711C1-1DAA-4994-917A-3F6A1EAEFF1D}"/>
    <cellStyle name="40% - Accent1 4 3 4" xfId="18052" xr:uid="{77F4F9FB-3F7B-4ACC-AC2A-E71535B9A7D1}"/>
    <cellStyle name="40% - Accent1 4 3 5" xfId="26497" xr:uid="{CF11DE7A-041B-4DDC-9ED6-7E5892134A8C}"/>
    <cellStyle name="40% - Accent1 4 3 6" xfId="9611" xr:uid="{0E9A64E1-7400-43A3-BEF5-535DC96C840C}"/>
    <cellStyle name="40% - Accent1 4 4" xfId="1492" xr:uid="{00000000-0005-0000-0000-000043040000}"/>
    <cellStyle name="40% - Accent1 4 4 2" xfId="3722" xr:uid="{00000000-0005-0000-0000-000044040000}"/>
    <cellStyle name="40% - Accent1 4 4 2 2" xfId="7945" xr:uid="{00000000-0005-0000-0000-000045040000}"/>
    <cellStyle name="40% - Accent1 4 4 2 2 2" xfId="24828" xr:uid="{033CCB9C-D11B-4D23-A8AB-5514DE0032D6}"/>
    <cellStyle name="40% - Accent1 4 4 2 2 3" xfId="33274" xr:uid="{2C6394AB-042B-4FC0-BFE2-2D5FD5DEA900}"/>
    <cellStyle name="40% - Accent1 4 4 2 2 4" xfId="16387" xr:uid="{16CA7436-54CD-4775-B3EB-C8567B01D7B4}"/>
    <cellStyle name="40% - Accent1 4 4 2 3" xfId="20610" xr:uid="{803158CC-00F0-4EE5-BEC2-73995FA20B7C}"/>
    <cellStyle name="40% - Accent1 4 4 2 4" xfId="29057" xr:uid="{FF9A03E8-1A58-4D8E-80C4-B62BB2FB9751}"/>
    <cellStyle name="40% - Accent1 4 4 2 5" xfId="12169" xr:uid="{6CA4BAD4-50AB-4777-BE0B-D448809C6BEF}"/>
    <cellStyle name="40% - Accent1 4 4 3" xfId="5800" xr:uid="{00000000-0005-0000-0000-000046040000}"/>
    <cellStyle name="40% - Accent1 4 4 3 2" xfId="22683" xr:uid="{966444DA-8514-4873-ADB7-3C9546E92EC6}"/>
    <cellStyle name="40% - Accent1 4 4 3 3" xfId="31129" xr:uid="{F861168C-383A-4E37-8DC5-467BDEEC2D04}"/>
    <cellStyle name="40% - Accent1 4 4 3 4" xfId="14242" xr:uid="{9837110E-617C-4D4F-BCD4-F751DE86EE55}"/>
    <cellStyle name="40% - Accent1 4 4 4" xfId="18465" xr:uid="{F8F44690-70E1-4BF9-A50D-34C4E649F7AF}"/>
    <cellStyle name="40% - Accent1 4 4 5" xfId="26910" xr:uid="{334101D3-DEFA-4C4B-9FAB-ED19B173E8F5}"/>
    <cellStyle name="40% - Accent1 4 4 6" xfId="10024" xr:uid="{0E03ED1B-1F92-4231-BF2B-8EE6E762BCCF}"/>
    <cellStyle name="40% - Accent1 4 5" xfId="1906" xr:uid="{00000000-0005-0000-0000-000047040000}"/>
    <cellStyle name="40% - Accent1 4 5 2" xfId="4135" xr:uid="{00000000-0005-0000-0000-000048040000}"/>
    <cellStyle name="40% - Accent1 4 5 2 2" xfId="8358" xr:uid="{00000000-0005-0000-0000-000049040000}"/>
    <cellStyle name="40% - Accent1 4 5 2 2 2" xfId="25241" xr:uid="{C4099D74-E673-404A-9B3E-C1859174C25C}"/>
    <cellStyle name="40% - Accent1 4 5 2 2 3" xfId="33687" xr:uid="{541D8270-BFE3-45A6-A9CC-120DE3B6D1B4}"/>
    <cellStyle name="40% - Accent1 4 5 2 2 4" xfId="16800" xr:uid="{45E317C6-30B6-4B82-89E5-5B223E1DF17C}"/>
    <cellStyle name="40% - Accent1 4 5 2 3" xfId="21023" xr:uid="{FCFBF7AC-DDBA-433F-94EF-ECF82012B00F}"/>
    <cellStyle name="40% - Accent1 4 5 2 4" xfId="29470" xr:uid="{2B43B9C5-8977-4D59-973E-72E178E7D706}"/>
    <cellStyle name="40% - Accent1 4 5 2 5" xfId="12582" xr:uid="{EC5AC28F-8599-400C-B580-38B78404D99B}"/>
    <cellStyle name="40% - Accent1 4 5 3" xfId="6213" xr:uid="{00000000-0005-0000-0000-00004A040000}"/>
    <cellStyle name="40% - Accent1 4 5 3 2" xfId="23096" xr:uid="{0D4B75E8-8F0C-4FE0-A4C8-02BE19BF5490}"/>
    <cellStyle name="40% - Accent1 4 5 3 3" xfId="31542" xr:uid="{3A20E48D-718E-408C-AF02-DDE10A63DA41}"/>
    <cellStyle name="40% - Accent1 4 5 3 4" xfId="14655" xr:uid="{FC0A6EEB-AE96-43F7-A0BC-6F6B6B06534C}"/>
    <cellStyle name="40% - Accent1 4 5 4" xfId="18878" xr:uid="{AD613D94-3F6E-4742-9F1B-7A403CF0C3A3}"/>
    <cellStyle name="40% - Accent1 4 5 5" xfId="27323" xr:uid="{088CF8D4-39D3-4B37-B9D7-F55DD18DB809}"/>
    <cellStyle name="40% - Accent1 4 5 6" xfId="10437" xr:uid="{2FB98615-5417-45C4-B830-E514A7A28BD8}"/>
    <cellStyle name="40% - Accent1 4 6" xfId="2319" xr:uid="{00000000-0005-0000-0000-00004B040000}"/>
    <cellStyle name="40% - Accent1 4 6 2" xfId="6626" xr:uid="{00000000-0005-0000-0000-00004C040000}"/>
    <cellStyle name="40% - Accent1 4 6 2 2" xfId="23509" xr:uid="{79639058-C53A-4E8C-82B8-5BF328044270}"/>
    <cellStyle name="40% - Accent1 4 6 2 3" xfId="31955" xr:uid="{E7C5AA2E-94BE-45BF-B981-7E1483D694DF}"/>
    <cellStyle name="40% - Accent1 4 6 2 4" xfId="15068" xr:uid="{D182B489-4A73-4EB9-BF1B-7A8368C803D9}"/>
    <cellStyle name="40% - Accent1 4 6 3" xfId="19291" xr:uid="{0484E4BF-EEF2-4D0D-8A99-0BA8A0BEE214}"/>
    <cellStyle name="40% - Accent1 4 6 4" xfId="27736" xr:uid="{50DFD07F-7830-4318-B6FE-0A3F9239ED9E}"/>
    <cellStyle name="40% - Accent1 4 6 5" xfId="10850" xr:uid="{B2DEA46F-49BB-470D-8114-A0A42383D081}"/>
    <cellStyle name="40% - Accent1 4 7" xfId="4560" xr:uid="{00000000-0005-0000-0000-00004D040000}"/>
    <cellStyle name="40% - Accent1 4 7 2" xfId="21443" xr:uid="{6F2C97D9-0AC2-4B1D-920F-46FA6CDA5264}"/>
    <cellStyle name="40% - Accent1 4 7 3" xfId="29889" xr:uid="{B82D0D35-3A58-4884-885F-947AF07F1427}"/>
    <cellStyle name="40% - Accent1 4 7 4" xfId="13002" xr:uid="{17D9948C-71E6-4B76-BEBB-C5E2C9A103E0}"/>
    <cellStyle name="40% - Accent1 4 8" xfId="17225" xr:uid="{31CB4023-7EEC-4223-AB6B-3F026B2EE9C5}"/>
    <cellStyle name="40% - Accent1 4 9" xfId="25667" xr:uid="{A5B2AC6A-1A99-4CA1-935C-8EAC97A25287}"/>
    <cellStyle name="40% - Accent1 5" xfId="618" xr:uid="{00000000-0005-0000-0000-00004E040000}"/>
    <cellStyle name="40% - Accent1 5 2" xfId="2889" xr:uid="{00000000-0005-0000-0000-00004F040000}"/>
    <cellStyle name="40% - Accent1 5 2 2" xfId="7112" xr:uid="{00000000-0005-0000-0000-000050040000}"/>
    <cellStyle name="40% - Accent1 5 2 2 2" xfId="23995" xr:uid="{06AC4F89-8065-461A-81FB-05EE1FC72804}"/>
    <cellStyle name="40% - Accent1 5 2 2 3" xfId="32441" xr:uid="{36C317B1-EB2D-44F9-9021-D5EB11BF447A}"/>
    <cellStyle name="40% - Accent1 5 2 2 4" xfId="15554" xr:uid="{74D9FDE5-8D0D-4E58-8CBA-D3CB8C7FB378}"/>
    <cellStyle name="40% - Accent1 5 2 3" xfId="19777" xr:uid="{D1A0BCA5-0FF4-4001-AE3B-D63E1FAF997B}"/>
    <cellStyle name="40% - Accent1 5 2 4" xfId="28224" xr:uid="{6CC747A4-83F2-4472-91A3-432FA8BC06DF}"/>
    <cellStyle name="40% - Accent1 5 2 5" xfId="11336" xr:uid="{714AE0F1-0FE6-4F36-A024-0BF928644FDD}"/>
    <cellStyle name="40% - Accent1 5 3" xfId="4967" xr:uid="{00000000-0005-0000-0000-000051040000}"/>
    <cellStyle name="40% - Accent1 5 3 2" xfId="21850" xr:uid="{6DBD5E15-44D6-4349-995D-0E20B963F035}"/>
    <cellStyle name="40% - Accent1 5 3 3" xfId="30296" xr:uid="{E2612B0E-E1F5-4516-A398-87FC5C841A18}"/>
    <cellStyle name="40% - Accent1 5 3 4" xfId="13409" xr:uid="{06B22309-D2E8-48B4-AE6B-50AD4228868E}"/>
    <cellStyle name="40% - Accent1 5 4" xfId="17632" xr:uid="{62B9CA1D-6E38-4CE5-AA2A-FAAD68D17FFC}"/>
    <cellStyle name="40% - Accent1 5 5" xfId="26077" xr:uid="{B7204544-8663-4F48-9CF4-1F2B0962F92A}"/>
    <cellStyle name="40% - Accent1 5 6" xfId="9191" xr:uid="{B07EAAEA-7865-4BA6-A3D6-81A96E56DB9F}"/>
    <cellStyle name="40% - Accent1 6" xfId="1071" xr:uid="{00000000-0005-0000-0000-000052040000}"/>
    <cellStyle name="40% - Accent1 6 2" xfId="3302" xr:uid="{00000000-0005-0000-0000-000053040000}"/>
    <cellStyle name="40% - Accent1 6 2 2" xfId="7525" xr:uid="{00000000-0005-0000-0000-000054040000}"/>
    <cellStyle name="40% - Accent1 6 2 2 2" xfId="24408" xr:uid="{9E25F761-C608-40F6-A85E-FE11BD38CFA8}"/>
    <cellStyle name="40% - Accent1 6 2 2 3" xfId="32854" xr:uid="{6456DD6C-D838-464A-BBBB-136DA723D2F0}"/>
    <cellStyle name="40% - Accent1 6 2 2 4" xfId="15967" xr:uid="{6FEF3819-9C0A-4FEE-92AA-1A6E88D27F98}"/>
    <cellStyle name="40% - Accent1 6 2 3" xfId="20190" xr:uid="{2DB00149-4DD6-404C-952B-75CC1E3C09F6}"/>
    <cellStyle name="40% - Accent1 6 2 4" xfId="28637" xr:uid="{B3998BF5-1E82-40E6-87F3-64863079F37B}"/>
    <cellStyle name="40% - Accent1 6 2 5" xfId="11749" xr:uid="{C256CAB4-8F50-4F06-98EB-E6449B47CD7D}"/>
    <cellStyle name="40% - Accent1 6 3" xfId="5380" xr:uid="{00000000-0005-0000-0000-000055040000}"/>
    <cellStyle name="40% - Accent1 6 3 2" xfId="22263" xr:uid="{C1D89D98-E9FB-40E3-BD5A-34825B735D3B}"/>
    <cellStyle name="40% - Accent1 6 3 3" xfId="30709" xr:uid="{45366B9B-ADFB-4924-84BF-78D1B845C50B}"/>
    <cellStyle name="40% - Accent1 6 3 4" xfId="13822" xr:uid="{D9F91B12-65AC-49C6-B391-80B2FF86F5FB}"/>
    <cellStyle name="40% - Accent1 6 4" xfId="18045" xr:uid="{4EF9FAD4-8989-49A0-A820-AF0F5B4E8D22}"/>
    <cellStyle name="40% - Accent1 6 5" xfId="26490" xr:uid="{912C409C-BD06-45F3-BFAE-7BB9848CDC92}"/>
    <cellStyle name="40% - Accent1 6 6" xfId="9604" xr:uid="{FC5C922B-5C45-441C-A002-6202E4594DC3}"/>
    <cellStyle name="40% - Accent1 7" xfId="1485" xr:uid="{00000000-0005-0000-0000-000056040000}"/>
    <cellStyle name="40% - Accent1 7 2" xfId="3715" xr:uid="{00000000-0005-0000-0000-000057040000}"/>
    <cellStyle name="40% - Accent1 7 2 2" xfId="7938" xr:uid="{00000000-0005-0000-0000-000058040000}"/>
    <cellStyle name="40% - Accent1 7 2 2 2" xfId="24821" xr:uid="{E6BEC1F2-3E22-475C-A181-45A7E2A709D4}"/>
    <cellStyle name="40% - Accent1 7 2 2 3" xfId="33267" xr:uid="{E7A58080-F696-4905-8584-F9FE06F84646}"/>
    <cellStyle name="40% - Accent1 7 2 2 4" xfId="16380" xr:uid="{EEEB7161-6753-44A1-8A53-CD5651C7B954}"/>
    <cellStyle name="40% - Accent1 7 2 3" xfId="20603" xr:uid="{61040920-177B-4C09-9F3A-EE7D3A2BBEAC}"/>
    <cellStyle name="40% - Accent1 7 2 4" xfId="29050" xr:uid="{2589D0A1-9160-4A24-9CE4-2DF335DFC36A}"/>
    <cellStyle name="40% - Accent1 7 2 5" xfId="12162" xr:uid="{47718376-F885-4799-89B7-C610F7A895A1}"/>
    <cellStyle name="40% - Accent1 7 3" xfId="5793" xr:uid="{00000000-0005-0000-0000-000059040000}"/>
    <cellStyle name="40% - Accent1 7 3 2" xfId="22676" xr:uid="{9167484F-3E03-48F5-BD03-2C9364C7D7BB}"/>
    <cellStyle name="40% - Accent1 7 3 3" xfId="31122" xr:uid="{22EA2A78-B4D4-4A32-9AD6-1ECA15E9FD89}"/>
    <cellStyle name="40% - Accent1 7 3 4" xfId="14235" xr:uid="{694B2112-4CE8-4032-BF6B-ADC2B3D605CB}"/>
    <cellStyle name="40% - Accent1 7 4" xfId="18458" xr:uid="{A24997BF-E933-4050-B70C-5F01E137CA69}"/>
    <cellStyle name="40% - Accent1 7 5" xfId="26903" xr:uid="{0D4DC24D-07F9-4177-8B31-47EC8DB2213A}"/>
    <cellStyle name="40% - Accent1 7 6" xfId="10017" xr:uid="{77F7B445-4D27-4EB9-BEB0-BAF6A203A6B5}"/>
    <cellStyle name="40% - Accent1 8" xfId="1899" xr:uid="{00000000-0005-0000-0000-00005A040000}"/>
    <cellStyle name="40% - Accent1 8 2" xfId="4128" xr:uid="{00000000-0005-0000-0000-00005B040000}"/>
    <cellStyle name="40% - Accent1 8 2 2" xfId="8351" xr:uid="{00000000-0005-0000-0000-00005C040000}"/>
    <cellStyle name="40% - Accent1 8 2 2 2" xfId="25234" xr:uid="{719CA1A4-600F-46B7-98AB-F80046CAA67B}"/>
    <cellStyle name="40% - Accent1 8 2 2 3" xfId="33680" xr:uid="{909A53AD-09E7-475F-BE9E-F60592FD3368}"/>
    <cellStyle name="40% - Accent1 8 2 2 4" xfId="16793" xr:uid="{58107193-726A-4F13-BB72-C75AEFC3DC26}"/>
    <cellStyle name="40% - Accent1 8 2 3" xfId="21016" xr:uid="{11861D6A-D705-49A9-A550-45990A96B8CB}"/>
    <cellStyle name="40% - Accent1 8 2 4" xfId="29463" xr:uid="{9C95ECD1-B7B1-49E9-A3F9-74385B86D8FD}"/>
    <cellStyle name="40% - Accent1 8 2 5" xfId="12575" xr:uid="{1DCA6195-BEB5-43D1-9AD5-972D1E77D146}"/>
    <cellStyle name="40% - Accent1 8 3" xfId="6206" xr:uid="{00000000-0005-0000-0000-00005D040000}"/>
    <cellStyle name="40% - Accent1 8 3 2" xfId="23089" xr:uid="{C65FB3B7-AA4F-4E13-8BD9-D564352017CF}"/>
    <cellStyle name="40% - Accent1 8 3 3" xfId="31535" xr:uid="{CD138836-6745-4FAB-B30E-CA803DDECC26}"/>
    <cellStyle name="40% - Accent1 8 3 4" xfId="14648" xr:uid="{0BBC32AB-12BD-4030-A56D-96E6F914891A}"/>
    <cellStyle name="40% - Accent1 8 4" xfId="18871" xr:uid="{1A370329-C16B-4511-9A97-D3815B738F96}"/>
    <cellStyle name="40% - Accent1 8 5" xfId="27316" xr:uid="{EAB494C8-226E-493B-90BF-25E0A7A7B5FC}"/>
    <cellStyle name="40% - Accent1 8 6" xfId="10430" xr:uid="{656189D1-5533-4E6D-8F0E-F77AE9ABD4BA}"/>
    <cellStyle name="40% - Accent1 9" xfId="2312" xr:uid="{00000000-0005-0000-0000-00005E040000}"/>
    <cellStyle name="40% - Accent1 9 2" xfId="6619" xr:uid="{00000000-0005-0000-0000-00005F040000}"/>
    <cellStyle name="40% - Accent1 9 2 2" xfId="23502" xr:uid="{190A801E-730D-4F2E-9C95-88C3F6CDD751}"/>
    <cellStyle name="40% - Accent1 9 2 3" xfId="31948" xr:uid="{7ED6A940-2848-4666-8AD2-52150CEE1463}"/>
    <cellStyle name="40% - Accent1 9 2 4" xfId="15061" xr:uid="{ED8BA289-1D5D-41EA-9D9C-2A8A5DC3DAEE}"/>
    <cellStyle name="40% - Accent1 9 3" xfId="19284" xr:uid="{83C7F9BE-A20C-4BC4-80FB-27CBEB97BDED}"/>
    <cellStyle name="40% - Accent1 9 4" xfId="27729" xr:uid="{395848FE-741F-4F94-8A01-BDFE9797E52F}"/>
    <cellStyle name="40% - Accent1 9 5" xfId="10843" xr:uid="{CA61C060-C0EB-44A7-9641-79CA71D87442}"/>
    <cellStyle name="40% - Accent2" xfId="57" builtinId="35" customBuiltin="1"/>
    <cellStyle name="40% - Accent2 10" xfId="4561" xr:uid="{00000000-0005-0000-0000-000061040000}"/>
    <cellStyle name="40% - Accent2 10 2" xfId="21444" xr:uid="{30118AB0-5A06-4FF1-94B5-E2BEC5D69D7F}"/>
    <cellStyle name="40% - Accent2 10 3" xfId="29890" xr:uid="{B443F3D3-1239-4980-8F82-88DD956AF0E8}"/>
    <cellStyle name="40% - Accent2 10 4" xfId="13003" xr:uid="{73C9BFE9-1BFF-490E-A4E2-C4E223F7D3CD}"/>
    <cellStyle name="40% - Accent2 11" xfId="17226" xr:uid="{3F7B515F-AF3E-4206-A67F-DC5EC38E8B10}"/>
    <cellStyle name="40% - Accent2 12" xfId="25668" xr:uid="{164E4A82-1248-4013-A7FA-EB603B8D2462}"/>
    <cellStyle name="40% - Accent2 13" xfId="8785" xr:uid="{FA743494-15FB-4D92-BAD2-39D263B04013}"/>
    <cellStyle name="40% - Accent2 2" xfId="58" xr:uid="{00000000-0005-0000-0000-000062040000}"/>
    <cellStyle name="40% - Accent2 2 10" xfId="17227" xr:uid="{1FB0F47D-57F4-44F2-BCEC-93790303C7D4}"/>
    <cellStyle name="40% - Accent2 2 11" xfId="25669" xr:uid="{0BDB2012-45C3-48E2-A73B-E298DDD96647}"/>
    <cellStyle name="40% - Accent2 2 12" xfId="8786" xr:uid="{F90198C3-B4EF-47BC-8988-33148684FBA9}"/>
    <cellStyle name="40% - Accent2 2 2" xfId="59" xr:uid="{00000000-0005-0000-0000-000063040000}"/>
    <cellStyle name="40% - Accent2 2 2 10" xfId="25670" xr:uid="{714FC3DE-E8EA-47DA-ACD9-39C8BEC05C1C}"/>
    <cellStyle name="40% - Accent2 2 2 11" xfId="8787" xr:uid="{FAF4DF6E-A9F6-4DF4-A2CC-2243BAE14720}"/>
    <cellStyle name="40% - Accent2 2 2 2" xfId="60" xr:uid="{00000000-0005-0000-0000-000064040000}"/>
    <cellStyle name="40% - Accent2 2 2 2 10" xfId="8788" xr:uid="{809F0DCD-D48C-43B1-970C-018F90FA9BF1}"/>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24006" xr:uid="{64F6C3F7-A282-43FF-8596-0ED7148DDD54}"/>
    <cellStyle name="40% - Accent2 2 2 2 2 2 2 3" xfId="32452" xr:uid="{D52A7675-4814-450F-965F-43BAC2EB352E}"/>
    <cellStyle name="40% - Accent2 2 2 2 2 2 2 4" xfId="15565" xr:uid="{69566ACB-C0E7-4812-B31A-45C72D48E6A5}"/>
    <cellStyle name="40% - Accent2 2 2 2 2 2 3" xfId="19788" xr:uid="{2E538D58-5345-4BD5-AC12-71845188FB28}"/>
    <cellStyle name="40% - Accent2 2 2 2 2 2 4" xfId="28235" xr:uid="{21592DDA-4D78-487B-B800-CACE63A25A05}"/>
    <cellStyle name="40% - Accent2 2 2 2 2 2 5" xfId="11347" xr:uid="{57398191-BAF1-48F0-8320-1E24252564AE}"/>
    <cellStyle name="40% - Accent2 2 2 2 2 3" xfId="4978" xr:uid="{00000000-0005-0000-0000-000068040000}"/>
    <cellStyle name="40% - Accent2 2 2 2 2 3 2" xfId="21861" xr:uid="{B9CA2867-1FC7-46F0-BF77-BAF9B79D260F}"/>
    <cellStyle name="40% - Accent2 2 2 2 2 3 3" xfId="30307" xr:uid="{25859488-F23C-4099-B5C2-FE7B4FBD2889}"/>
    <cellStyle name="40% - Accent2 2 2 2 2 3 4" xfId="13420" xr:uid="{DAE1494E-3D82-466D-87D9-9F6ADDD65359}"/>
    <cellStyle name="40% - Accent2 2 2 2 2 4" xfId="17643" xr:uid="{C2E61E0E-E420-445C-91AC-1DC621DE8334}"/>
    <cellStyle name="40% - Accent2 2 2 2 2 5" xfId="26088" xr:uid="{FB71D564-7C83-4FB7-91E2-EFC922248372}"/>
    <cellStyle name="40% - Accent2 2 2 2 2 6" xfId="9202" xr:uid="{1F1267C7-E41E-4CAD-BFB3-0D3292B3796C}"/>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24419" xr:uid="{8FE9B5B7-6A5E-45AF-AFF9-D66D64C3DFF0}"/>
    <cellStyle name="40% - Accent2 2 2 2 3 2 2 3" xfId="32865" xr:uid="{52522E06-CC60-4F0E-92A9-9A7BB976AD74}"/>
    <cellStyle name="40% - Accent2 2 2 2 3 2 2 4" xfId="15978" xr:uid="{61DDCE3F-4B71-4F12-B779-416C2D075FCD}"/>
    <cellStyle name="40% - Accent2 2 2 2 3 2 3" xfId="20201" xr:uid="{C2896845-0AE0-4874-BD5C-C2BD8185154A}"/>
    <cellStyle name="40% - Accent2 2 2 2 3 2 4" xfId="28648" xr:uid="{BE3B99F4-3226-476B-BF4D-1841046830E1}"/>
    <cellStyle name="40% - Accent2 2 2 2 3 2 5" xfId="11760" xr:uid="{C875581B-999A-486F-B956-9ED53F51C3C1}"/>
    <cellStyle name="40% - Accent2 2 2 2 3 3" xfId="5391" xr:uid="{00000000-0005-0000-0000-00006C040000}"/>
    <cellStyle name="40% - Accent2 2 2 2 3 3 2" xfId="22274" xr:uid="{EEB92AD2-DA4A-4E5C-8524-91386F889A4F}"/>
    <cellStyle name="40% - Accent2 2 2 2 3 3 3" xfId="30720" xr:uid="{E19F9431-B8C0-4D56-9B0C-4E2B9D621F0D}"/>
    <cellStyle name="40% - Accent2 2 2 2 3 3 4" xfId="13833" xr:uid="{7ED70988-9210-4F71-A1B3-3A64D990A5D5}"/>
    <cellStyle name="40% - Accent2 2 2 2 3 4" xfId="18056" xr:uid="{B57CD4DD-60D0-416C-A7BD-E6E3BE3F6C93}"/>
    <cellStyle name="40% - Accent2 2 2 2 3 5" xfId="26501" xr:uid="{D3CAA74A-8225-4245-BE52-2A2F068D0302}"/>
    <cellStyle name="40% - Accent2 2 2 2 3 6" xfId="9615" xr:uid="{36838627-37A7-4D4C-A948-16BC4F22850B}"/>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24832" xr:uid="{1F5FC62D-AA69-4047-9B3E-AFC00C975ACF}"/>
    <cellStyle name="40% - Accent2 2 2 2 4 2 2 3" xfId="33278" xr:uid="{A49C1DDD-077D-4898-B37A-629261BFBCE8}"/>
    <cellStyle name="40% - Accent2 2 2 2 4 2 2 4" xfId="16391" xr:uid="{A445E9CD-2331-443F-B432-B6CCBAF0FA60}"/>
    <cellStyle name="40% - Accent2 2 2 2 4 2 3" xfId="20614" xr:uid="{639D82B6-5559-46CE-B0A0-F52BAB67106F}"/>
    <cellStyle name="40% - Accent2 2 2 2 4 2 4" xfId="29061" xr:uid="{9029745E-43EC-4360-A2B6-F8F8EC121511}"/>
    <cellStyle name="40% - Accent2 2 2 2 4 2 5" xfId="12173" xr:uid="{4023E937-54D2-4812-8C86-9A78C82F265F}"/>
    <cellStyle name="40% - Accent2 2 2 2 4 3" xfId="5804" xr:uid="{00000000-0005-0000-0000-000070040000}"/>
    <cellStyle name="40% - Accent2 2 2 2 4 3 2" xfId="22687" xr:uid="{04E9F634-EC4C-456C-99BB-C9110C80996C}"/>
    <cellStyle name="40% - Accent2 2 2 2 4 3 3" xfId="31133" xr:uid="{2040188A-1CE6-4BC0-BA3F-753C631376F9}"/>
    <cellStyle name="40% - Accent2 2 2 2 4 3 4" xfId="14246" xr:uid="{11D12EB0-1A29-4985-A7AB-F808289E422E}"/>
    <cellStyle name="40% - Accent2 2 2 2 4 4" xfId="18469" xr:uid="{9D8E416A-3668-4064-9C92-72C2D99B51A3}"/>
    <cellStyle name="40% - Accent2 2 2 2 4 5" xfId="26914" xr:uid="{48883774-7C67-4336-9910-DC5B0D393B14}"/>
    <cellStyle name="40% - Accent2 2 2 2 4 6" xfId="10028" xr:uid="{C4E98A60-92F7-422E-B565-9A7F52A43DFD}"/>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25245" xr:uid="{6AB6B023-9612-42B8-A3AE-D8A5CE376F5E}"/>
    <cellStyle name="40% - Accent2 2 2 2 5 2 2 3" xfId="33691" xr:uid="{F041FE66-33D2-4D7A-B453-FF28EBF149BA}"/>
    <cellStyle name="40% - Accent2 2 2 2 5 2 2 4" xfId="16804" xr:uid="{4A3E2C98-EB03-49FC-A933-8752E4C15861}"/>
    <cellStyle name="40% - Accent2 2 2 2 5 2 3" xfId="21027" xr:uid="{617197DC-B67B-4C52-837C-9BB41B88FCE1}"/>
    <cellStyle name="40% - Accent2 2 2 2 5 2 4" xfId="29474" xr:uid="{8B61B523-6D0A-49D4-BFD3-0EBC12440319}"/>
    <cellStyle name="40% - Accent2 2 2 2 5 2 5" xfId="12586" xr:uid="{F79F010E-1305-49EE-8962-B49EB9F39C48}"/>
    <cellStyle name="40% - Accent2 2 2 2 5 3" xfId="6217" xr:uid="{00000000-0005-0000-0000-000074040000}"/>
    <cellStyle name="40% - Accent2 2 2 2 5 3 2" xfId="23100" xr:uid="{9A69A9BC-74D4-4D7D-A4B1-5FEF5E267884}"/>
    <cellStyle name="40% - Accent2 2 2 2 5 3 3" xfId="31546" xr:uid="{A57D6F35-DC1F-4C15-87E4-5E3CF3B8C5A8}"/>
    <cellStyle name="40% - Accent2 2 2 2 5 3 4" xfId="14659" xr:uid="{17F801A8-3FC9-40E2-8F7E-335582E0A2CC}"/>
    <cellStyle name="40% - Accent2 2 2 2 5 4" xfId="18882" xr:uid="{D50AD058-207F-4A8E-B3AF-BE4EB4C84A3D}"/>
    <cellStyle name="40% - Accent2 2 2 2 5 5" xfId="27327" xr:uid="{E9A3F536-13F4-463E-8519-6B7B78FF00CE}"/>
    <cellStyle name="40% - Accent2 2 2 2 5 6" xfId="10441" xr:uid="{A2924596-E8BC-437E-B20A-FD64802B3F03}"/>
    <cellStyle name="40% - Accent2 2 2 2 6" xfId="2323" xr:uid="{00000000-0005-0000-0000-000075040000}"/>
    <cellStyle name="40% - Accent2 2 2 2 6 2" xfId="6630" xr:uid="{00000000-0005-0000-0000-000076040000}"/>
    <cellStyle name="40% - Accent2 2 2 2 6 2 2" xfId="23513" xr:uid="{152EAB82-ADBC-4714-B34B-C084AD933B61}"/>
    <cellStyle name="40% - Accent2 2 2 2 6 2 3" xfId="31959" xr:uid="{1E7EA8AE-2EE3-4AEC-9082-F653D71338D5}"/>
    <cellStyle name="40% - Accent2 2 2 2 6 2 4" xfId="15072" xr:uid="{EBA3BDF3-192D-4188-90DD-5C824AF473D7}"/>
    <cellStyle name="40% - Accent2 2 2 2 6 3" xfId="19295" xr:uid="{E2857253-7A4F-4D82-A398-8473E45B02F5}"/>
    <cellStyle name="40% - Accent2 2 2 2 6 4" xfId="27740" xr:uid="{BF8C03A5-5FE8-4D17-AA57-BF9A23C27668}"/>
    <cellStyle name="40% - Accent2 2 2 2 6 5" xfId="10854" xr:uid="{747FAA0E-1259-4A63-9A1C-C18646303824}"/>
    <cellStyle name="40% - Accent2 2 2 2 7" xfId="4564" xr:uid="{00000000-0005-0000-0000-000077040000}"/>
    <cellStyle name="40% - Accent2 2 2 2 7 2" xfId="21447" xr:uid="{A9FABF3B-C181-4DDF-80C3-12A5A6586DB6}"/>
    <cellStyle name="40% - Accent2 2 2 2 7 3" xfId="29893" xr:uid="{E8EB7A9A-4B51-4701-8400-0400A38A5E91}"/>
    <cellStyle name="40% - Accent2 2 2 2 7 4" xfId="13006" xr:uid="{11B7FA42-921D-493C-8C75-59251CB1F717}"/>
    <cellStyle name="40% - Accent2 2 2 2 8" xfId="17229" xr:uid="{1CEE9DA6-6A73-48AD-AE8F-99DC87D0A221}"/>
    <cellStyle name="40% - Accent2 2 2 2 9" xfId="25671" xr:uid="{B8D3FCC1-E35F-448A-A094-C4E7824DA483}"/>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24005" xr:uid="{6837699F-54C3-44EB-BBD5-54640BD89ACE}"/>
    <cellStyle name="40% - Accent2 2 2 3 2 2 3" xfId="32451" xr:uid="{404E3F70-2806-44AC-B5EA-3CFC6E13CF77}"/>
    <cellStyle name="40% - Accent2 2 2 3 2 2 4" xfId="15564" xr:uid="{998619B7-D536-41BF-A3B1-670060FAF626}"/>
    <cellStyle name="40% - Accent2 2 2 3 2 3" xfId="19787" xr:uid="{F10440B9-E29A-4D97-BB74-270385B8567D}"/>
    <cellStyle name="40% - Accent2 2 2 3 2 4" xfId="28234" xr:uid="{7FB32DB8-8CA2-451B-86AC-FECFB0592948}"/>
    <cellStyle name="40% - Accent2 2 2 3 2 5" xfId="11346" xr:uid="{557846B0-130A-4591-A0E6-66292FFF3F1D}"/>
    <cellStyle name="40% - Accent2 2 2 3 3" xfId="4977" xr:uid="{00000000-0005-0000-0000-00007B040000}"/>
    <cellStyle name="40% - Accent2 2 2 3 3 2" xfId="21860" xr:uid="{EFBC1EF7-7CA7-43F1-B11E-71F7B86D7DA7}"/>
    <cellStyle name="40% - Accent2 2 2 3 3 3" xfId="30306" xr:uid="{80DB936C-E3D3-495D-B5EA-EAEF8A847CCA}"/>
    <cellStyle name="40% - Accent2 2 2 3 3 4" xfId="13419" xr:uid="{4DAA870C-6D6F-4E23-AEFF-A41C5F5991C4}"/>
    <cellStyle name="40% - Accent2 2 2 3 4" xfId="17642" xr:uid="{7DBB348D-BE6B-4FDA-837F-FFF193FFEF36}"/>
    <cellStyle name="40% - Accent2 2 2 3 5" xfId="26087" xr:uid="{145BDA15-ED2A-4BF1-B416-1FC9E3E069DB}"/>
    <cellStyle name="40% - Accent2 2 2 3 6" xfId="9201" xr:uid="{36B2CEE1-6F6E-4EED-A74A-4F7619401886}"/>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24418" xr:uid="{040E2EBA-C194-4D5E-BEDE-73AD917D0A57}"/>
    <cellStyle name="40% - Accent2 2 2 4 2 2 3" xfId="32864" xr:uid="{0A714A9E-6CDD-4D14-9588-CDC386063B3D}"/>
    <cellStyle name="40% - Accent2 2 2 4 2 2 4" xfId="15977" xr:uid="{D0DBD8F3-AF29-4C16-B06B-5D977964629E}"/>
    <cellStyle name="40% - Accent2 2 2 4 2 3" xfId="20200" xr:uid="{C2BE0A2B-BA47-4B5D-9744-79BADB1C3A58}"/>
    <cellStyle name="40% - Accent2 2 2 4 2 4" xfId="28647" xr:uid="{11E41C57-D3B5-4FF6-B988-999019D6BDAD}"/>
    <cellStyle name="40% - Accent2 2 2 4 2 5" xfId="11759" xr:uid="{CAC0CB67-897B-44A7-9C65-A2F11AD60425}"/>
    <cellStyle name="40% - Accent2 2 2 4 3" xfId="5390" xr:uid="{00000000-0005-0000-0000-00007F040000}"/>
    <cellStyle name="40% - Accent2 2 2 4 3 2" xfId="22273" xr:uid="{10FB73AA-C453-4670-B1DC-6D8BBD08C0D1}"/>
    <cellStyle name="40% - Accent2 2 2 4 3 3" xfId="30719" xr:uid="{6853DB24-45B5-43F1-BF92-EBA47835BF07}"/>
    <cellStyle name="40% - Accent2 2 2 4 3 4" xfId="13832" xr:uid="{2578BAF0-447C-4BE8-8A8C-6E88FA4AF6FB}"/>
    <cellStyle name="40% - Accent2 2 2 4 4" xfId="18055" xr:uid="{88D725F6-15D6-4650-9AC2-AABB3A962D00}"/>
    <cellStyle name="40% - Accent2 2 2 4 5" xfId="26500" xr:uid="{4E860361-0ECD-48EC-9507-EAF5CBBE5BCA}"/>
    <cellStyle name="40% - Accent2 2 2 4 6" xfId="9614" xr:uid="{35F43D8C-E7EF-4251-9CCC-355E88B7CDE6}"/>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24831" xr:uid="{FF71453A-602A-4D20-8D05-4B0254338020}"/>
    <cellStyle name="40% - Accent2 2 2 5 2 2 3" xfId="33277" xr:uid="{8F90CB60-16B3-444F-8B77-0933110C92FB}"/>
    <cellStyle name="40% - Accent2 2 2 5 2 2 4" xfId="16390" xr:uid="{BE9D8AD9-93F7-413C-8FCE-DD75D22BD360}"/>
    <cellStyle name="40% - Accent2 2 2 5 2 3" xfId="20613" xr:uid="{6823CF8E-C1DB-4074-9788-6F2D36143BC6}"/>
    <cellStyle name="40% - Accent2 2 2 5 2 4" xfId="29060" xr:uid="{EFC18BAD-AE04-43A5-A3E3-BD383B0C621D}"/>
    <cellStyle name="40% - Accent2 2 2 5 2 5" xfId="12172" xr:uid="{CBC28655-D000-451B-A541-75D1930F0B68}"/>
    <cellStyle name="40% - Accent2 2 2 5 3" xfId="5803" xr:uid="{00000000-0005-0000-0000-000083040000}"/>
    <cellStyle name="40% - Accent2 2 2 5 3 2" xfId="22686" xr:uid="{5E88B3E4-DD21-410F-A05D-0950F5695C62}"/>
    <cellStyle name="40% - Accent2 2 2 5 3 3" xfId="31132" xr:uid="{A68D1A4D-5C77-4C9D-B742-4E20EBFDDF99}"/>
    <cellStyle name="40% - Accent2 2 2 5 3 4" xfId="14245" xr:uid="{CD66F788-E196-4DC3-8F90-F7DE46A5BFA5}"/>
    <cellStyle name="40% - Accent2 2 2 5 4" xfId="18468" xr:uid="{F6017C4C-EC77-477A-9214-F7CCEABADEA5}"/>
    <cellStyle name="40% - Accent2 2 2 5 5" xfId="26913" xr:uid="{A02A4FBB-AA1C-477D-95FB-4AEF86840EFD}"/>
    <cellStyle name="40% - Accent2 2 2 5 6" xfId="10027" xr:uid="{A7AC4499-6E85-4CE9-B135-5FE036BE4C06}"/>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25244" xr:uid="{8868D855-8B6D-4557-8A2C-05405FC1FC21}"/>
    <cellStyle name="40% - Accent2 2 2 6 2 2 3" xfId="33690" xr:uid="{D0B76195-70C6-496F-BE9C-76181A8C90DA}"/>
    <cellStyle name="40% - Accent2 2 2 6 2 2 4" xfId="16803" xr:uid="{396B3FB5-CA4C-4BDE-ADEF-5526CA6AC1C6}"/>
    <cellStyle name="40% - Accent2 2 2 6 2 3" xfId="21026" xr:uid="{CB32DE41-5F80-4496-B61A-1D47B16CCF2A}"/>
    <cellStyle name="40% - Accent2 2 2 6 2 4" xfId="29473" xr:uid="{0908D7EE-EE6A-463E-B3C8-23D37A7E8C8F}"/>
    <cellStyle name="40% - Accent2 2 2 6 2 5" xfId="12585" xr:uid="{31C53A91-7830-45DF-A6AE-34E7663097CE}"/>
    <cellStyle name="40% - Accent2 2 2 6 3" xfId="6216" xr:uid="{00000000-0005-0000-0000-000087040000}"/>
    <cellStyle name="40% - Accent2 2 2 6 3 2" xfId="23099" xr:uid="{205C4A57-A472-4573-9279-5E803D0DA3D6}"/>
    <cellStyle name="40% - Accent2 2 2 6 3 3" xfId="31545" xr:uid="{DA8C5DA5-661E-4B30-92D3-7BA48C05ADDD}"/>
    <cellStyle name="40% - Accent2 2 2 6 3 4" xfId="14658" xr:uid="{E62301B7-A44D-4C44-B517-6EBA14BF85A8}"/>
    <cellStyle name="40% - Accent2 2 2 6 4" xfId="18881" xr:uid="{7ECC0949-1B89-496D-89D9-FB241D071D3C}"/>
    <cellStyle name="40% - Accent2 2 2 6 5" xfId="27326" xr:uid="{2F6EA59F-0AEA-4D0F-901D-7058C7A1101D}"/>
    <cellStyle name="40% - Accent2 2 2 6 6" xfId="10440" xr:uid="{A765F5A7-0255-4B93-8A10-4ACD74261DD6}"/>
    <cellStyle name="40% - Accent2 2 2 7" xfId="2322" xr:uid="{00000000-0005-0000-0000-000088040000}"/>
    <cellStyle name="40% - Accent2 2 2 7 2" xfId="6629" xr:uid="{00000000-0005-0000-0000-000089040000}"/>
    <cellStyle name="40% - Accent2 2 2 7 2 2" xfId="23512" xr:uid="{C9B8B321-59D6-4829-8343-BDFDD4F36504}"/>
    <cellStyle name="40% - Accent2 2 2 7 2 3" xfId="31958" xr:uid="{1DFA29E4-3BCC-4B4C-A6B3-500BB2A25927}"/>
    <cellStyle name="40% - Accent2 2 2 7 2 4" xfId="15071" xr:uid="{7E0169E2-E368-4276-A4D9-3ADEB74CFAF0}"/>
    <cellStyle name="40% - Accent2 2 2 7 3" xfId="19294" xr:uid="{3079E621-C4E1-47D3-BC38-5DA6FD9C415B}"/>
    <cellStyle name="40% - Accent2 2 2 7 4" xfId="27739" xr:uid="{5660BE0F-6F1A-4524-BA3A-272EDBB974D8}"/>
    <cellStyle name="40% - Accent2 2 2 7 5" xfId="10853" xr:uid="{6144F722-0356-461B-AC21-89D660830B06}"/>
    <cellStyle name="40% - Accent2 2 2 8" xfId="4563" xr:uid="{00000000-0005-0000-0000-00008A040000}"/>
    <cellStyle name="40% - Accent2 2 2 8 2" xfId="21446" xr:uid="{0521EED2-C1AC-44F1-B7EE-A4EB0630A85D}"/>
    <cellStyle name="40% - Accent2 2 2 8 3" xfId="29892" xr:uid="{23DDE42A-B6A0-4B74-A09B-E049173985F9}"/>
    <cellStyle name="40% - Accent2 2 2 8 4" xfId="13005" xr:uid="{58757404-6AB5-453D-972B-618FF19544B7}"/>
    <cellStyle name="40% - Accent2 2 2 9" xfId="17228" xr:uid="{FB4A8102-89BB-4640-BFE3-DA058D9483C5}"/>
    <cellStyle name="40% - Accent2 2 3" xfId="61" xr:uid="{00000000-0005-0000-0000-00008B040000}"/>
    <cellStyle name="40% - Accent2 2 3 10" xfId="8789" xr:uid="{E27507DC-4D87-4BF1-B54F-06A4E893F3C5}"/>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24007" xr:uid="{548D202C-3B7E-470C-BA65-668F465651B9}"/>
    <cellStyle name="40% - Accent2 2 3 2 2 2 3" xfId="32453" xr:uid="{EDC0FDF4-900F-42B4-854B-9A5B27425B1E}"/>
    <cellStyle name="40% - Accent2 2 3 2 2 2 4" xfId="15566" xr:uid="{0497F16D-8C86-4AEE-9238-FDD976D393FF}"/>
    <cellStyle name="40% - Accent2 2 3 2 2 3" xfId="19789" xr:uid="{C0CE72CD-85CE-428E-B01D-6F459FA0C669}"/>
    <cellStyle name="40% - Accent2 2 3 2 2 4" xfId="28236" xr:uid="{8A271CC0-B978-4CE5-927C-538CB9F0F425}"/>
    <cellStyle name="40% - Accent2 2 3 2 2 5" xfId="11348" xr:uid="{1B45624C-D0EF-4C4C-9B85-E1D32EB4AE9B}"/>
    <cellStyle name="40% - Accent2 2 3 2 3" xfId="4979" xr:uid="{00000000-0005-0000-0000-00008F040000}"/>
    <cellStyle name="40% - Accent2 2 3 2 3 2" xfId="21862" xr:uid="{3FDCD590-AF3F-4918-AFD6-FB11FBF271C0}"/>
    <cellStyle name="40% - Accent2 2 3 2 3 3" xfId="30308" xr:uid="{A34BF813-7296-486B-80E1-116600F229E7}"/>
    <cellStyle name="40% - Accent2 2 3 2 3 4" xfId="13421" xr:uid="{52C8CE59-75FD-4B8C-9D4B-DD2C5A844216}"/>
    <cellStyle name="40% - Accent2 2 3 2 4" xfId="17644" xr:uid="{ACD52E28-DBEC-4AF6-A0DB-EC02990B5482}"/>
    <cellStyle name="40% - Accent2 2 3 2 5" xfId="26089" xr:uid="{D1AA62BC-DD56-4453-83B0-86035F09FB8D}"/>
    <cellStyle name="40% - Accent2 2 3 2 6" xfId="9203" xr:uid="{DC0D606D-2B74-4E31-89CF-40F402CA6960}"/>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24420" xr:uid="{9B642701-9062-40D8-AB95-E7956F7EBC6D}"/>
    <cellStyle name="40% - Accent2 2 3 3 2 2 3" xfId="32866" xr:uid="{892C0972-A76C-4ED5-8969-538FCF6A8681}"/>
    <cellStyle name="40% - Accent2 2 3 3 2 2 4" xfId="15979" xr:uid="{37730E7C-6366-4350-9FE8-CC51054FB292}"/>
    <cellStyle name="40% - Accent2 2 3 3 2 3" xfId="20202" xr:uid="{9EE91771-8238-42C2-9E9A-5922F34C0642}"/>
    <cellStyle name="40% - Accent2 2 3 3 2 4" xfId="28649" xr:uid="{FEF954F6-7C96-4369-9436-1105842913A6}"/>
    <cellStyle name="40% - Accent2 2 3 3 2 5" xfId="11761" xr:uid="{CA59C107-9EFA-4EBA-8F8F-1B77CBAB96EE}"/>
    <cellStyle name="40% - Accent2 2 3 3 3" xfId="5392" xr:uid="{00000000-0005-0000-0000-000093040000}"/>
    <cellStyle name="40% - Accent2 2 3 3 3 2" xfId="22275" xr:uid="{4A91B4AE-8591-4573-8456-3780E8F6A3C3}"/>
    <cellStyle name="40% - Accent2 2 3 3 3 3" xfId="30721" xr:uid="{226EF845-7BFA-43BE-853B-2DB5B2EA885D}"/>
    <cellStyle name="40% - Accent2 2 3 3 3 4" xfId="13834" xr:uid="{E968316D-0EA0-4C4D-BCA3-4F8BF5723918}"/>
    <cellStyle name="40% - Accent2 2 3 3 4" xfId="18057" xr:uid="{272D31D3-78D7-43F1-8D15-3CF9F107530B}"/>
    <cellStyle name="40% - Accent2 2 3 3 5" xfId="26502" xr:uid="{44D0B3C7-CA42-4F9A-AC15-87FDE0E37B0E}"/>
    <cellStyle name="40% - Accent2 2 3 3 6" xfId="9616" xr:uid="{6D86867E-8C9F-4C99-A55A-79E4AB8EDF57}"/>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24833" xr:uid="{38FA9D86-F8BE-47D8-ABDB-8544EC7CB556}"/>
    <cellStyle name="40% - Accent2 2 3 4 2 2 3" xfId="33279" xr:uid="{1C4FAC79-CD64-4426-85FA-072C30C52DD6}"/>
    <cellStyle name="40% - Accent2 2 3 4 2 2 4" xfId="16392" xr:uid="{60076D13-7B75-4210-B094-B069EF77939E}"/>
    <cellStyle name="40% - Accent2 2 3 4 2 3" xfId="20615" xr:uid="{49CBF32A-D205-42F2-9F22-1D10CC166A28}"/>
    <cellStyle name="40% - Accent2 2 3 4 2 4" xfId="29062" xr:uid="{AAFE561C-D7B5-4640-B29D-3508495BC35C}"/>
    <cellStyle name="40% - Accent2 2 3 4 2 5" xfId="12174" xr:uid="{5E0F764B-A967-4410-925E-C9E5D5A8B50A}"/>
    <cellStyle name="40% - Accent2 2 3 4 3" xfId="5805" xr:uid="{00000000-0005-0000-0000-000097040000}"/>
    <cellStyle name="40% - Accent2 2 3 4 3 2" xfId="22688" xr:uid="{D19EA0E1-9A2D-4DD8-AA0E-C480D0432CB6}"/>
    <cellStyle name="40% - Accent2 2 3 4 3 3" xfId="31134" xr:uid="{4FD11F67-935F-4A0A-8DD2-98B13798BB16}"/>
    <cellStyle name="40% - Accent2 2 3 4 3 4" xfId="14247" xr:uid="{F0339045-99A7-4180-9B52-D4DED310DF41}"/>
    <cellStyle name="40% - Accent2 2 3 4 4" xfId="18470" xr:uid="{20B41C63-D388-4F72-9ED5-97FAAFA36032}"/>
    <cellStyle name="40% - Accent2 2 3 4 5" xfId="26915" xr:uid="{6E2992E3-7A97-4EB9-9177-8FBEAC99B265}"/>
    <cellStyle name="40% - Accent2 2 3 4 6" xfId="10029" xr:uid="{9039E048-485D-47AA-98DC-8F3DCFF9C369}"/>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25246" xr:uid="{94E67011-FD2B-42B7-9BC4-34269AF58513}"/>
    <cellStyle name="40% - Accent2 2 3 5 2 2 3" xfId="33692" xr:uid="{141C6E35-013B-49A3-AEA5-68C66DE66D8B}"/>
    <cellStyle name="40% - Accent2 2 3 5 2 2 4" xfId="16805" xr:uid="{0AC5BF3A-79C9-4661-A41F-5CC53F9C2CD5}"/>
    <cellStyle name="40% - Accent2 2 3 5 2 3" xfId="21028" xr:uid="{6A453394-A213-43FF-A905-798F969096BB}"/>
    <cellStyle name="40% - Accent2 2 3 5 2 4" xfId="29475" xr:uid="{EF3AE27B-EBCA-429F-8193-BE094E866898}"/>
    <cellStyle name="40% - Accent2 2 3 5 2 5" xfId="12587" xr:uid="{93276C8C-C27F-4628-B38A-FAB30BB16AD6}"/>
    <cellStyle name="40% - Accent2 2 3 5 3" xfId="6218" xr:uid="{00000000-0005-0000-0000-00009B040000}"/>
    <cellStyle name="40% - Accent2 2 3 5 3 2" xfId="23101" xr:uid="{CA669477-ACD6-4F73-BD89-F400300AF9AE}"/>
    <cellStyle name="40% - Accent2 2 3 5 3 3" xfId="31547" xr:uid="{F7CAF692-7045-4762-9851-70967B638A9D}"/>
    <cellStyle name="40% - Accent2 2 3 5 3 4" xfId="14660" xr:uid="{CE81521B-C952-4519-BBA2-0EF737D6E12D}"/>
    <cellStyle name="40% - Accent2 2 3 5 4" xfId="18883" xr:uid="{2C775EE0-82A5-438C-B17D-3A50943B36DF}"/>
    <cellStyle name="40% - Accent2 2 3 5 5" xfId="27328" xr:uid="{214313B8-93EA-482F-98C9-36DD842A6398}"/>
    <cellStyle name="40% - Accent2 2 3 5 6" xfId="10442" xr:uid="{7185108E-F379-4D67-96E3-DACB6E47C209}"/>
    <cellStyle name="40% - Accent2 2 3 6" xfId="2324" xr:uid="{00000000-0005-0000-0000-00009C040000}"/>
    <cellStyle name="40% - Accent2 2 3 6 2" xfId="6631" xr:uid="{00000000-0005-0000-0000-00009D040000}"/>
    <cellStyle name="40% - Accent2 2 3 6 2 2" xfId="23514" xr:uid="{29AC6B51-DF9B-45AE-AE1F-AB786A568160}"/>
    <cellStyle name="40% - Accent2 2 3 6 2 3" xfId="31960" xr:uid="{C4FBE193-2B7B-4C8A-9F29-9A526D39AF21}"/>
    <cellStyle name="40% - Accent2 2 3 6 2 4" xfId="15073" xr:uid="{8531AF72-8510-4A4B-A393-91C8F0B03BFD}"/>
    <cellStyle name="40% - Accent2 2 3 6 3" xfId="19296" xr:uid="{7CD623AD-5735-41DA-95E2-8EFC89A75D56}"/>
    <cellStyle name="40% - Accent2 2 3 6 4" xfId="27741" xr:uid="{86A7EA71-E5F5-4FA5-B8FD-A5807F5630CA}"/>
    <cellStyle name="40% - Accent2 2 3 6 5" xfId="10855" xr:uid="{81525A1E-E287-4BB2-B99C-43FBB2C72BD6}"/>
    <cellStyle name="40% - Accent2 2 3 7" xfId="4565" xr:uid="{00000000-0005-0000-0000-00009E040000}"/>
    <cellStyle name="40% - Accent2 2 3 7 2" xfId="21448" xr:uid="{7C430476-3800-45BA-B0A0-C371329D1548}"/>
    <cellStyle name="40% - Accent2 2 3 7 3" xfId="29894" xr:uid="{AB7ACB70-0364-4774-9B4D-FA479A59E5DD}"/>
    <cellStyle name="40% - Accent2 2 3 7 4" xfId="13007" xr:uid="{D41DA8CF-4FCB-40B8-BBE0-66B45DE525C2}"/>
    <cellStyle name="40% - Accent2 2 3 8" xfId="17230" xr:uid="{5095622F-EC1D-4A4B-9978-C0EDCD051790}"/>
    <cellStyle name="40% - Accent2 2 3 9" xfId="25672" xr:uid="{6C144A3D-5EEA-41FF-B1C2-3DD2AB73858B}"/>
    <cellStyle name="40% - Accent2 2 4" xfId="627" xr:uid="{00000000-0005-0000-0000-00009F040000}"/>
    <cellStyle name="40% - Accent2 2 4 2" xfId="2898" xr:uid="{00000000-0005-0000-0000-0000A0040000}"/>
    <cellStyle name="40% - Accent2 2 4 2 2" xfId="7121" xr:uid="{00000000-0005-0000-0000-0000A1040000}"/>
    <cellStyle name="40% - Accent2 2 4 2 2 2" xfId="24004" xr:uid="{9C4FC017-A341-44C1-BA9A-B33107E1CB55}"/>
    <cellStyle name="40% - Accent2 2 4 2 2 3" xfId="32450" xr:uid="{2F86088E-FF58-4902-AA36-AA3AEA0C2E47}"/>
    <cellStyle name="40% - Accent2 2 4 2 2 4" xfId="15563" xr:uid="{6A508C11-B5D3-4592-BE63-0F57460E3E17}"/>
    <cellStyle name="40% - Accent2 2 4 2 3" xfId="19786" xr:uid="{C7C1B0A7-A0DA-407C-8C30-941A59E6B6BA}"/>
    <cellStyle name="40% - Accent2 2 4 2 4" xfId="28233" xr:uid="{031227EF-8636-4B0C-86FC-9ABF8501FD67}"/>
    <cellStyle name="40% - Accent2 2 4 2 5" xfId="11345" xr:uid="{4D7F5A10-F5F2-4953-BFDE-C90E688BECF7}"/>
    <cellStyle name="40% - Accent2 2 4 3" xfId="4976" xr:uid="{00000000-0005-0000-0000-0000A2040000}"/>
    <cellStyle name="40% - Accent2 2 4 3 2" xfId="21859" xr:uid="{47FF43D7-9DA5-4A61-860A-D2D63EA8001F}"/>
    <cellStyle name="40% - Accent2 2 4 3 3" xfId="30305" xr:uid="{DF4579B7-7E99-437F-9176-DFB5A467828F}"/>
    <cellStyle name="40% - Accent2 2 4 3 4" xfId="13418" xr:uid="{32426119-E74A-4055-88D9-10ABB6D351DD}"/>
    <cellStyle name="40% - Accent2 2 4 4" xfId="17641" xr:uid="{C3286471-A589-4C50-8EBE-70026F45B5C2}"/>
    <cellStyle name="40% - Accent2 2 4 5" xfId="26086" xr:uid="{7ED23D56-C548-4B0C-B23F-808462CC76E7}"/>
    <cellStyle name="40% - Accent2 2 4 6" xfId="9200" xr:uid="{609A2C46-DD95-4AD0-8F62-110A52530D42}"/>
    <cellStyle name="40% - Accent2 2 5" xfId="1080" xr:uid="{00000000-0005-0000-0000-0000A3040000}"/>
    <cellStyle name="40% - Accent2 2 5 2" xfId="3311" xr:uid="{00000000-0005-0000-0000-0000A4040000}"/>
    <cellStyle name="40% - Accent2 2 5 2 2" xfId="7534" xr:uid="{00000000-0005-0000-0000-0000A5040000}"/>
    <cellStyle name="40% - Accent2 2 5 2 2 2" xfId="24417" xr:uid="{A2B49B73-C2C3-4140-8933-D65FE3DFC9D0}"/>
    <cellStyle name="40% - Accent2 2 5 2 2 3" xfId="32863" xr:uid="{FDD57012-9871-404E-B915-3BCEB6F3066A}"/>
    <cellStyle name="40% - Accent2 2 5 2 2 4" xfId="15976" xr:uid="{7BFFF4E4-47E2-465A-8EFB-7A96040C9C89}"/>
    <cellStyle name="40% - Accent2 2 5 2 3" xfId="20199" xr:uid="{68258FEF-6C23-487B-96D4-3085C4DB77B6}"/>
    <cellStyle name="40% - Accent2 2 5 2 4" xfId="28646" xr:uid="{C47AEA06-E971-4137-8A89-E5A3F5FB8829}"/>
    <cellStyle name="40% - Accent2 2 5 2 5" xfId="11758" xr:uid="{5E881BBE-9604-4643-A58B-0F10950DA042}"/>
    <cellStyle name="40% - Accent2 2 5 3" xfId="5389" xr:uid="{00000000-0005-0000-0000-0000A6040000}"/>
    <cellStyle name="40% - Accent2 2 5 3 2" xfId="22272" xr:uid="{1D1F68DE-7436-4863-933E-676F84C24154}"/>
    <cellStyle name="40% - Accent2 2 5 3 3" xfId="30718" xr:uid="{EC81F124-4116-43E2-A9A3-C544861F2F50}"/>
    <cellStyle name="40% - Accent2 2 5 3 4" xfId="13831" xr:uid="{105BCD3A-B94E-4EEE-ABA9-AE2F7EDA68BE}"/>
    <cellStyle name="40% - Accent2 2 5 4" xfId="18054" xr:uid="{B8415136-B32C-435A-8A24-7646643E9C77}"/>
    <cellStyle name="40% - Accent2 2 5 5" xfId="26499" xr:uid="{ADB23FB3-63E8-4FC5-BD61-503C19C5ED7D}"/>
    <cellStyle name="40% - Accent2 2 5 6" xfId="9613" xr:uid="{4C5EF967-FB03-4478-989C-05FBA2412E1B}"/>
    <cellStyle name="40% - Accent2 2 6" xfId="1494" xr:uid="{00000000-0005-0000-0000-0000A7040000}"/>
    <cellStyle name="40% - Accent2 2 6 2" xfId="3724" xr:uid="{00000000-0005-0000-0000-0000A8040000}"/>
    <cellStyle name="40% - Accent2 2 6 2 2" xfId="7947" xr:uid="{00000000-0005-0000-0000-0000A9040000}"/>
    <cellStyle name="40% - Accent2 2 6 2 2 2" xfId="24830" xr:uid="{2668DE64-3C28-43D3-81C5-63C9E339DD7C}"/>
    <cellStyle name="40% - Accent2 2 6 2 2 3" xfId="33276" xr:uid="{F95B9CB9-C74D-47DD-855C-D9FA3AFA2125}"/>
    <cellStyle name="40% - Accent2 2 6 2 2 4" xfId="16389" xr:uid="{931FC485-B0D6-471B-A475-6809561C4E60}"/>
    <cellStyle name="40% - Accent2 2 6 2 3" xfId="20612" xr:uid="{A343BA00-2870-49AB-9991-12BCA84631DA}"/>
    <cellStyle name="40% - Accent2 2 6 2 4" xfId="29059" xr:uid="{023B62F9-BD28-413B-97B9-D2A81A6B9753}"/>
    <cellStyle name="40% - Accent2 2 6 2 5" xfId="12171" xr:uid="{A74925AB-343E-4C76-991B-335FCD14556E}"/>
    <cellStyle name="40% - Accent2 2 6 3" xfId="5802" xr:uid="{00000000-0005-0000-0000-0000AA040000}"/>
    <cellStyle name="40% - Accent2 2 6 3 2" xfId="22685" xr:uid="{48E10B66-7021-447D-81C2-D8C14611C9B4}"/>
    <cellStyle name="40% - Accent2 2 6 3 3" xfId="31131" xr:uid="{C36F4BF7-1268-453F-A16C-DC4A35336315}"/>
    <cellStyle name="40% - Accent2 2 6 3 4" xfId="14244" xr:uid="{6239172F-1DA9-4EA6-859B-8C33722ABF2E}"/>
    <cellStyle name="40% - Accent2 2 6 4" xfId="18467" xr:uid="{3B16746A-E994-4135-8F6E-87677FFE6A70}"/>
    <cellStyle name="40% - Accent2 2 6 5" xfId="26912" xr:uid="{09F29257-A90B-426F-86EB-F5427CBF575A}"/>
    <cellStyle name="40% - Accent2 2 6 6" xfId="10026" xr:uid="{161E8E9E-9044-4353-8D22-F57DC3A410DB}"/>
    <cellStyle name="40% - Accent2 2 7" xfId="1908" xr:uid="{00000000-0005-0000-0000-0000AB040000}"/>
    <cellStyle name="40% - Accent2 2 7 2" xfId="4137" xr:uid="{00000000-0005-0000-0000-0000AC040000}"/>
    <cellStyle name="40% - Accent2 2 7 2 2" xfId="8360" xr:uid="{00000000-0005-0000-0000-0000AD040000}"/>
    <cellStyle name="40% - Accent2 2 7 2 2 2" xfId="25243" xr:uid="{43BE478D-A14D-45AB-B7F0-A9304E8D02DC}"/>
    <cellStyle name="40% - Accent2 2 7 2 2 3" xfId="33689" xr:uid="{A809BD6D-DFD5-43B5-A027-3AD308BA67D2}"/>
    <cellStyle name="40% - Accent2 2 7 2 2 4" xfId="16802" xr:uid="{66B4DDD1-D004-4D73-85CE-94BCA4811FB5}"/>
    <cellStyle name="40% - Accent2 2 7 2 3" xfId="21025" xr:uid="{1EC90EA0-EC72-48DE-808F-9A373FB7939E}"/>
    <cellStyle name="40% - Accent2 2 7 2 4" xfId="29472" xr:uid="{BA80AF25-85A3-480F-8A98-AEDA9618DC41}"/>
    <cellStyle name="40% - Accent2 2 7 2 5" xfId="12584" xr:uid="{38000AA9-A8DF-46F1-96D2-1E93C1D70E82}"/>
    <cellStyle name="40% - Accent2 2 7 3" xfId="6215" xr:uid="{00000000-0005-0000-0000-0000AE040000}"/>
    <cellStyle name="40% - Accent2 2 7 3 2" xfId="23098" xr:uid="{CD0451B9-982E-419D-8177-E6969D079346}"/>
    <cellStyle name="40% - Accent2 2 7 3 3" xfId="31544" xr:uid="{50032B5F-A489-4A0D-AAD1-639FBA3861A8}"/>
    <cellStyle name="40% - Accent2 2 7 3 4" xfId="14657" xr:uid="{3CB99444-A105-4F7F-A772-4713C87FBB52}"/>
    <cellStyle name="40% - Accent2 2 7 4" xfId="18880" xr:uid="{B550D2E0-5E3E-455E-84B7-82F97D3A21BE}"/>
    <cellStyle name="40% - Accent2 2 7 5" xfId="27325" xr:uid="{4C37DA9E-4059-43C9-8DA4-43480344F353}"/>
    <cellStyle name="40% - Accent2 2 7 6" xfId="10439" xr:uid="{ED61AF02-6B75-470E-90EC-9B24F5B3A9DE}"/>
    <cellStyle name="40% - Accent2 2 8" xfId="2321" xr:uid="{00000000-0005-0000-0000-0000AF040000}"/>
    <cellStyle name="40% - Accent2 2 8 2" xfId="6628" xr:uid="{00000000-0005-0000-0000-0000B0040000}"/>
    <cellStyle name="40% - Accent2 2 8 2 2" xfId="23511" xr:uid="{459975D8-CC41-490A-834F-AB4ED7F30F1C}"/>
    <cellStyle name="40% - Accent2 2 8 2 3" xfId="31957" xr:uid="{2EDBE403-4211-4E5E-AEA5-1AA905092EA2}"/>
    <cellStyle name="40% - Accent2 2 8 2 4" xfId="15070" xr:uid="{46453CBF-6CBC-42A4-84D8-2AE4D7130A01}"/>
    <cellStyle name="40% - Accent2 2 8 3" xfId="19293" xr:uid="{9691660A-5BBA-43F4-A019-450FEBCE7823}"/>
    <cellStyle name="40% - Accent2 2 8 4" xfId="27738" xr:uid="{E5C391D1-8AFF-47AF-8886-0CE175853198}"/>
    <cellStyle name="40% - Accent2 2 8 5" xfId="10852" xr:uid="{2479727C-652A-4D64-95AD-8E59FA31881E}"/>
    <cellStyle name="40% - Accent2 2 9" xfId="4562" xr:uid="{00000000-0005-0000-0000-0000B1040000}"/>
    <cellStyle name="40% - Accent2 2 9 2" xfId="21445" xr:uid="{F4206265-FA6D-4965-96FB-F9DEA1EB7351}"/>
    <cellStyle name="40% - Accent2 2 9 3" xfId="29891" xr:uid="{DA7ED546-476A-4038-B926-CDBD177A2CDB}"/>
    <cellStyle name="40% - Accent2 2 9 4" xfId="13004" xr:uid="{D5914A37-9280-41C9-B062-19E570646C9C}"/>
    <cellStyle name="40% - Accent2 3" xfId="62" xr:uid="{00000000-0005-0000-0000-0000B2040000}"/>
    <cellStyle name="40% - Accent2 3 10" xfId="25673" xr:uid="{E2990A78-CA2B-44C4-8499-BA004D8AA4A6}"/>
    <cellStyle name="40% - Accent2 3 11" xfId="8790" xr:uid="{1E2C72AA-CF3D-4F14-A775-29E6F2B26F68}"/>
    <cellStyle name="40% - Accent2 3 2" xfId="63" xr:uid="{00000000-0005-0000-0000-0000B3040000}"/>
    <cellStyle name="40% - Accent2 3 2 10" xfId="8791" xr:uid="{4D312057-BEAE-479D-BCD1-31EB3A07669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24009" xr:uid="{F95B30A2-E8BD-4A2B-A26B-FD5482FD6BAD}"/>
    <cellStyle name="40% - Accent2 3 2 2 2 2 3" xfId="32455" xr:uid="{0666679D-2557-469E-B8F9-3CD804AB32B6}"/>
    <cellStyle name="40% - Accent2 3 2 2 2 2 4" xfId="15568" xr:uid="{1F13EA1D-23D8-446B-991D-CAAF168BC937}"/>
    <cellStyle name="40% - Accent2 3 2 2 2 3" xfId="19791" xr:uid="{F7418DD7-F20C-4F2F-B0A4-A5871709425B}"/>
    <cellStyle name="40% - Accent2 3 2 2 2 4" xfId="28238" xr:uid="{4FD20788-33EF-4748-BAC2-80191C140B02}"/>
    <cellStyle name="40% - Accent2 3 2 2 2 5" xfId="11350" xr:uid="{1608170F-62E7-4646-B547-DA2A77A9D26A}"/>
    <cellStyle name="40% - Accent2 3 2 2 3" xfId="4981" xr:uid="{00000000-0005-0000-0000-0000B7040000}"/>
    <cellStyle name="40% - Accent2 3 2 2 3 2" xfId="21864" xr:uid="{BA3F62A5-2267-4649-8FF6-EF43A293B39C}"/>
    <cellStyle name="40% - Accent2 3 2 2 3 3" xfId="30310" xr:uid="{B83FF91F-227C-4121-8B94-CA06116C8EF0}"/>
    <cellStyle name="40% - Accent2 3 2 2 3 4" xfId="13423" xr:uid="{DF70C59B-255E-4820-9520-9F580F0ABFC6}"/>
    <cellStyle name="40% - Accent2 3 2 2 4" xfId="17646" xr:uid="{2EB16656-B2E8-4FEB-8CB2-D4D6E9E90CAE}"/>
    <cellStyle name="40% - Accent2 3 2 2 5" xfId="26091" xr:uid="{F520A443-DA7B-43C5-B5BB-B24B9618518D}"/>
    <cellStyle name="40% - Accent2 3 2 2 6" xfId="9205" xr:uid="{28B096D9-9127-42AC-8789-3DFFFFD0751C}"/>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24422" xr:uid="{BF4F305E-B6FB-46A9-9339-9FB822A0699F}"/>
    <cellStyle name="40% - Accent2 3 2 3 2 2 3" xfId="32868" xr:uid="{CC463339-575E-42EF-B8B2-7D97BC2F9705}"/>
    <cellStyle name="40% - Accent2 3 2 3 2 2 4" xfId="15981" xr:uid="{5A85843B-F2F2-4B9F-8605-23B9A1C47023}"/>
    <cellStyle name="40% - Accent2 3 2 3 2 3" xfId="20204" xr:uid="{52228990-A857-4580-AF9B-63C004D16C44}"/>
    <cellStyle name="40% - Accent2 3 2 3 2 4" xfId="28651" xr:uid="{AE7E7C86-1340-46C6-9B57-10B55D3C70DA}"/>
    <cellStyle name="40% - Accent2 3 2 3 2 5" xfId="11763" xr:uid="{B0590F8B-CDAD-4194-8BFF-D533476986BF}"/>
    <cellStyle name="40% - Accent2 3 2 3 3" xfId="5394" xr:uid="{00000000-0005-0000-0000-0000BB040000}"/>
    <cellStyle name="40% - Accent2 3 2 3 3 2" xfId="22277" xr:uid="{4C1A4FCC-62DF-4C4B-BCB8-0DE908D982B0}"/>
    <cellStyle name="40% - Accent2 3 2 3 3 3" xfId="30723" xr:uid="{BF7608F3-8F43-4A53-8591-FC9BC1B59A9C}"/>
    <cellStyle name="40% - Accent2 3 2 3 3 4" xfId="13836" xr:uid="{4ED9C4D2-24D8-454F-ABD1-CF572B6079CE}"/>
    <cellStyle name="40% - Accent2 3 2 3 4" xfId="18059" xr:uid="{D07F99FB-FA11-4659-AB13-82AF0A36B84C}"/>
    <cellStyle name="40% - Accent2 3 2 3 5" xfId="26504" xr:uid="{679DAFC0-0C64-4DFE-B86E-16634C977FE9}"/>
    <cellStyle name="40% - Accent2 3 2 3 6" xfId="9618" xr:uid="{F187B5DF-C397-4F7E-A0DE-069BDD719EAF}"/>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24835" xr:uid="{FD062CAB-5D65-4FC3-9988-9B8A9E7F50C5}"/>
    <cellStyle name="40% - Accent2 3 2 4 2 2 3" xfId="33281" xr:uid="{C7DED3F2-49D0-4C30-901A-7659EC0EE25F}"/>
    <cellStyle name="40% - Accent2 3 2 4 2 2 4" xfId="16394" xr:uid="{C8B3D082-6282-417F-8AF0-79550348DD94}"/>
    <cellStyle name="40% - Accent2 3 2 4 2 3" xfId="20617" xr:uid="{CA3F097E-D5E9-4ED1-B9C8-FBA6A19601CA}"/>
    <cellStyle name="40% - Accent2 3 2 4 2 4" xfId="29064" xr:uid="{B84CF0D5-71E3-4ACD-8211-1AA3E10E2128}"/>
    <cellStyle name="40% - Accent2 3 2 4 2 5" xfId="12176" xr:uid="{773C0203-BBBC-40FB-BAAE-D857636084BA}"/>
    <cellStyle name="40% - Accent2 3 2 4 3" xfId="5807" xr:uid="{00000000-0005-0000-0000-0000BF040000}"/>
    <cellStyle name="40% - Accent2 3 2 4 3 2" xfId="22690" xr:uid="{D5587F79-A49B-4383-A3DA-91EDC3DB1FAA}"/>
    <cellStyle name="40% - Accent2 3 2 4 3 3" xfId="31136" xr:uid="{F748095B-A1B7-4975-9B79-C1DF2F38A303}"/>
    <cellStyle name="40% - Accent2 3 2 4 3 4" xfId="14249" xr:uid="{640EC7B8-9187-4C28-8D78-127D87B3E4B5}"/>
    <cellStyle name="40% - Accent2 3 2 4 4" xfId="18472" xr:uid="{3A721EB3-3657-410A-B268-E52486DB0400}"/>
    <cellStyle name="40% - Accent2 3 2 4 5" xfId="26917" xr:uid="{74DE852A-7918-458F-9A4D-D5A95335BA21}"/>
    <cellStyle name="40% - Accent2 3 2 4 6" xfId="10031" xr:uid="{524FF965-0FA7-4C1B-8626-177420B506CE}"/>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25248" xr:uid="{D9E1F0E0-1041-4889-A5B8-23561DF60367}"/>
    <cellStyle name="40% - Accent2 3 2 5 2 2 3" xfId="33694" xr:uid="{CB150B30-AC42-404B-801E-724967058CA6}"/>
    <cellStyle name="40% - Accent2 3 2 5 2 2 4" xfId="16807" xr:uid="{39FE17DB-8936-4E4E-8CB0-6DE29B514307}"/>
    <cellStyle name="40% - Accent2 3 2 5 2 3" xfId="21030" xr:uid="{2459A4F3-8710-44C6-BF4F-1BFCCDBA0CE2}"/>
    <cellStyle name="40% - Accent2 3 2 5 2 4" xfId="29477" xr:uid="{65CD748F-FD0B-4423-909F-AF3B506CA6D1}"/>
    <cellStyle name="40% - Accent2 3 2 5 2 5" xfId="12589" xr:uid="{7FEA9F1C-EB00-4919-BB9C-D9925B1B9D47}"/>
    <cellStyle name="40% - Accent2 3 2 5 3" xfId="6220" xr:uid="{00000000-0005-0000-0000-0000C3040000}"/>
    <cellStyle name="40% - Accent2 3 2 5 3 2" xfId="23103" xr:uid="{C1B91D3B-C8DC-453F-B1CC-D8D9B6C19474}"/>
    <cellStyle name="40% - Accent2 3 2 5 3 3" xfId="31549" xr:uid="{A22635CA-EBD1-4EAE-983A-5C03A0B7E577}"/>
    <cellStyle name="40% - Accent2 3 2 5 3 4" xfId="14662" xr:uid="{62C4661B-2C6B-4B2B-8388-92BCDA8E177A}"/>
    <cellStyle name="40% - Accent2 3 2 5 4" xfId="18885" xr:uid="{B25B8865-3389-436C-A967-742F1C3A433D}"/>
    <cellStyle name="40% - Accent2 3 2 5 5" xfId="27330" xr:uid="{D933A696-C5BD-4A27-A0D7-BA033B41FE61}"/>
    <cellStyle name="40% - Accent2 3 2 5 6" xfId="10444" xr:uid="{78898B4D-5564-465D-937C-09410F59C045}"/>
    <cellStyle name="40% - Accent2 3 2 6" xfId="2326" xr:uid="{00000000-0005-0000-0000-0000C4040000}"/>
    <cellStyle name="40% - Accent2 3 2 6 2" xfId="6633" xr:uid="{00000000-0005-0000-0000-0000C5040000}"/>
    <cellStyle name="40% - Accent2 3 2 6 2 2" xfId="23516" xr:uid="{85AEC509-BD1D-42A5-985A-7312CF529B08}"/>
    <cellStyle name="40% - Accent2 3 2 6 2 3" xfId="31962" xr:uid="{59356565-1A50-4C9D-ADFF-B3887AE976C3}"/>
    <cellStyle name="40% - Accent2 3 2 6 2 4" xfId="15075" xr:uid="{51B06314-8723-4A91-AD5F-114966F44BDA}"/>
    <cellStyle name="40% - Accent2 3 2 6 3" xfId="19298" xr:uid="{DA48B87D-64E7-4545-931F-A542EA195BC5}"/>
    <cellStyle name="40% - Accent2 3 2 6 4" xfId="27743" xr:uid="{897D652B-E5B4-4599-89E5-0C57BCDD532B}"/>
    <cellStyle name="40% - Accent2 3 2 6 5" xfId="10857" xr:uid="{85F32021-BAC6-4830-B94E-CFCAC2D1B85F}"/>
    <cellStyle name="40% - Accent2 3 2 7" xfId="4567" xr:uid="{00000000-0005-0000-0000-0000C6040000}"/>
    <cellStyle name="40% - Accent2 3 2 7 2" xfId="21450" xr:uid="{72920438-1B1A-4A1E-A6B7-461B03E0B329}"/>
    <cellStyle name="40% - Accent2 3 2 7 3" xfId="29896" xr:uid="{FB596999-770D-4CD4-BD7B-BE9E8E84DBD4}"/>
    <cellStyle name="40% - Accent2 3 2 7 4" xfId="13009" xr:uid="{F68322E6-BEF9-4AD3-B440-51D3A718C635}"/>
    <cellStyle name="40% - Accent2 3 2 8" xfId="17232" xr:uid="{8AD9B362-5807-47B0-90B6-CAC58C73AD1B}"/>
    <cellStyle name="40% - Accent2 3 2 9" xfId="25674" xr:uid="{D949DA06-1C17-47DA-94D1-577769EA7BA8}"/>
    <cellStyle name="40% - Accent2 3 3" xfId="631" xr:uid="{00000000-0005-0000-0000-0000C7040000}"/>
    <cellStyle name="40% - Accent2 3 3 2" xfId="2902" xr:uid="{00000000-0005-0000-0000-0000C8040000}"/>
    <cellStyle name="40% - Accent2 3 3 2 2" xfId="7125" xr:uid="{00000000-0005-0000-0000-0000C9040000}"/>
    <cellStyle name="40% - Accent2 3 3 2 2 2" xfId="24008" xr:uid="{E9798D90-A548-4958-BF0B-28B557C70FF5}"/>
    <cellStyle name="40% - Accent2 3 3 2 2 3" xfId="32454" xr:uid="{542E2471-70FD-4075-910F-751B5BACD855}"/>
    <cellStyle name="40% - Accent2 3 3 2 2 4" xfId="15567" xr:uid="{06BD1DF5-BF70-4338-952C-4545283068FE}"/>
    <cellStyle name="40% - Accent2 3 3 2 3" xfId="19790" xr:uid="{1ED75734-A44D-4142-BDF5-8694D58111BE}"/>
    <cellStyle name="40% - Accent2 3 3 2 4" xfId="28237" xr:uid="{567DC6ED-18E7-4407-9E97-7CE65BB506B8}"/>
    <cellStyle name="40% - Accent2 3 3 2 5" xfId="11349" xr:uid="{66809896-AB43-4DC4-B6D5-12CB12881F06}"/>
    <cellStyle name="40% - Accent2 3 3 3" xfId="4980" xr:uid="{00000000-0005-0000-0000-0000CA040000}"/>
    <cellStyle name="40% - Accent2 3 3 3 2" xfId="21863" xr:uid="{E83A03E5-205E-4051-B4C0-8D61D42083A5}"/>
    <cellStyle name="40% - Accent2 3 3 3 3" xfId="30309" xr:uid="{73748C38-FAD9-480A-B91D-18A09768F0AC}"/>
    <cellStyle name="40% - Accent2 3 3 3 4" xfId="13422" xr:uid="{36C2AACC-7456-44F5-BCBA-F9BBC016B1E5}"/>
    <cellStyle name="40% - Accent2 3 3 4" xfId="17645" xr:uid="{66A28C99-0A2D-4AA8-A278-1C01EF2C30B7}"/>
    <cellStyle name="40% - Accent2 3 3 5" xfId="26090" xr:uid="{564EC485-A0A4-48BA-9745-958835F2EAB0}"/>
    <cellStyle name="40% - Accent2 3 3 6" xfId="9204" xr:uid="{CB2B67D6-02D7-48AE-92AD-83A8AFF08F71}"/>
    <cellStyle name="40% - Accent2 3 4" xfId="1084" xr:uid="{00000000-0005-0000-0000-0000CB040000}"/>
    <cellStyle name="40% - Accent2 3 4 2" xfId="3315" xr:uid="{00000000-0005-0000-0000-0000CC040000}"/>
    <cellStyle name="40% - Accent2 3 4 2 2" xfId="7538" xr:uid="{00000000-0005-0000-0000-0000CD040000}"/>
    <cellStyle name="40% - Accent2 3 4 2 2 2" xfId="24421" xr:uid="{3D550A00-E9F1-4B44-B097-1A9449BDCC8D}"/>
    <cellStyle name="40% - Accent2 3 4 2 2 3" xfId="32867" xr:uid="{1A3CF3DF-CC2B-4690-8233-5ADDF3E2705E}"/>
    <cellStyle name="40% - Accent2 3 4 2 2 4" xfId="15980" xr:uid="{3D5019C2-031A-4578-A812-7945BE7FA914}"/>
    <cellStyle name="40% - Accent2 3 4 2 3" xfId="20203" xr:uid="{02B3C343-8168-47AF-9E2F-69190C56B96F}"/>
    <cellStyle name="40% - Accent2 3 4 2 4" xfId="28650" xr:uid="{667781C7-1A0F-4BAD-8E68-C15FCE14E9CE}"/>
    <cellStyle name="40% - Accent2 3 4 2 5" xfId="11762" xr:uid="{75D12416-3937-4DF8-871C-377FCA0949FD}"/>
    <cellStyle name="40% - Accent2 3 4 3" xfId="5393" xr:uid="{00000000-0005-0000-0000-0000CE040000}"/>
    <cellStyle name="40% - Accent2 3 4 3 2" xfId="22276" xr:uid="{DC0228DB-B2DB-4D34-B0AA-41B6CE4B7250}"/>
    <cellStyle name="40% - Accent2 3 4 3 3" xfId="30722" xr:uid="{5A50CE93-94A0-4AEE-BE4B-227035AF5FC6}"/>
    <cellStyle name="40% - Accent2 3 4 3 4" xfId="13835" xr:uid="{5083575C-C75D-406E-A01F-C9250A554F44}"/>
    <cellStyle name="40% - Accent2 3 4 4" xfId="18058" xr:uid="{08BF1BF0-B169-4AEF-A824-09FCEEB1EE0F}"/>
    <cellStyle name="40% - Accent2 3 4 5" xfId="26503" xr:uid="{4B3C9A63-16F8-4258-9CF8-09059D530132}"/>
    <cellStyle name="40% - Accent2 3 4 6" xfId="9617" xr:uid="{3E5EC338-1CE3-46ED-977A-E3BFD7192DD9}"/>
    <cellStyle name="40% - Accent2 3 5" xfId="1498" xr:uid="{00000000-0005-0000-0000-0000CF040000}"/>
    <cellStyle name="40% - Accent2 3 5 2" xfId="3728" xr:uid="{00000000-0005-0000-0000-0000D0040000}"/>
    <cellStyle name="40% - Accent2 3 5 2 2" xfId="7951" xr:uid="{00000000-0005-0000-0000-0000D1040000}"/>
    <cellStyle name="40% - Accent2 3 5 2 2 2" xfId="24834" xr:uid="{A09A9551-C1E5-4EC9-B3B9-B422EC81DC29}"/>
    <cellStyle name="40% - Accent2 3 5 2 2 3" xfId="33280" xr:uid="{F6465A23-BB57-49D3-A08A-E4BD2F9BF770}"/>
    <cellStyle name="40% - Accent2 3 5 2 2 4" xfId="16393" xr:uid="{67A76C95-22CC-4C81-8B8E-90F50E843A6F}"/>
    <cellStyle name="40% - Accent2 3 5 2 3" xfId="20616" xr:uid="{88450CBF-9DCB-4A78-BB6A-16055C5883FB}"/>
    <cellStyle name="40% - Accent2 3 5 2 4" xfId="29063" xr:uid="{B1A3612E-D104-44B3-A3E6-3BB507C2AFD5}"/>
    <cellStyle name="40% - Accent2 3 5 2 5" xfId="12175" xr:uid="{533670CD-0D55-49F0-9039-711C0AF6BC40}"/>
    <cellStyle name="40% - Accent2 3 5 3" xfId="5806" xr:uid="{00000000-0005-0000-0000-0000D2040000}"/>
    <cellStyle name="40% - Accent2 3 5 3 2" xfId="22689" xr:uid="{0993BFA7-003C-46F4-B135-22C44B9B1530}"/>
    <cellStyle name="40% - Accent2 3 5 3 3" xfId="31135" xr:uid="{44C21D03-4745-479E-96BE-C5F7F330595C}"/>
    <cellStyle name="40% - Accent2 3 5 3 4" xfId="14248" xr:uid="{86C8EB72-D6DB-4E92-81BD-93DB9A84B52D}"/>
    <cellStyle name="40% - Accent2 3 5 4" xfId="18471" xr:uid="{159402C1-A520-4A69-BBB3-D1739FFCC0D6}"/>
    <cellStyle name="40% - Accent2 3 5 5" xfId="26916" xr:uid="{FEAE20D9-1892-478B-8108-1945E59B6135}"/>
    <cellStyle name="40% - Accent2 3 5 6" xfId="10030" xr:uid="{27349B2C-5D54-4358-8B76-6B4593B49732}"/>
    <cellStyle name="40% - Accent2 3 6" xfId="1912" xr:uid="{00000000-0005-0000-0000-0000D3040000}"/>
    <cellStyle name="40% - Accent2 3 6 2" xfId="4141" xr:uid="{00000000-0005-0000-0000-0000D4040000}"/>
    <cellStyle name="40% - Accent2 3 6 2 2" xfId="8364" xr:uid="{00000000-0005-0000-0000-0000D5040000}"/>
    <cellStyle name="40% - Accent2 3 6 2 2 2" xfId="25247" xr:uid="{33E08B9C-879F-4565-B733-F3D8EE9B6BDE}"/>
    <cellStyle name="40% - Accent2 3 6 2 2 3" xfId="33693" xr:uid="{AC8CFFE6-3616-4F62-8949-5D9ECA76F48D}"/>
    <cellStyle name="40% - Accent2 3 6 2 2 4" xfId="16806" xr:uid="{9AF5AB54-24DF-4C94-A8C3-5DD890DE5EA5}"/>
    <cellStyle name="40% - Accent2 3 6 2 3" xfId="21029" xr:uid="{39D92F15-034B-4F36-B50C-BE92CE72C8DC}"/>
    <cellStyle name="40% - Accent2 3 6 2 4" xfId="29476" xr:uid="{763B30A4-C047-441E-84CB-3FAD242D7F84}"/>
    <cellStyle name="40% - Accent2 3 6 2 5" xfId="12588" xr:uid="{148C55BE-B5A6-452C-B598-FAA37C16D21D}"/>
    <cellStyle name="40% - Accent2 3 6 3" xfId="6219" xr:uid="{00000000-0005-0000-0000-0000D6040000}"/>
    <cellStyle name="40% - Accent2 3 6 3 2" xfId="23102" xr:uid="{6106E583-E908-4DD5-8FB5-9D0F36594EA3}"/>
    <cellStyle name="40% - Accent2 3 6 3 3" xfId="31548" xr:uid="{79FC0835-0836-4904-B3F4-1CC3811C8135}"/>
    <cellStyle name="40% - Accent2 3 6 3 4" xfId="14661" xr:uid="{1FD9F684-C63C-4F36-B8D9-9A6F5C4BF8DD}"/>
    <cellStyle name="40% - Accent2 3 6 4" xfId="18884" xr:uid="{39B50843-B0CB-4616-8920-9413F684DEA1}"/>
    <cellStyle name="40% - Accent2 3 6 5" xfId="27329" xr:uid="{CE88CDF9-6D90-46ED-ACE4-83DCB32D2DDA}"/>
    <cellStyle name="40% - Accent2 3 6 6" xfId="10443" xr:uid="{EB1FA01C-94AB-4D85-A897-8CF689D64BE7}"/>
    <cellStyle name="40% - Accent2 3 7" xfId="2325" xr:uid="{00000000-0005-0000-0000-0000D7040000}"/>
    <cellStyle name="40% - Accent2 3 7 2" xfId="6632" xr:uid="{00000000-0005-0000-0000-0000D8040000}"/>
    <cellStyle name="40% - Accent2 3 7 2 2" xfId="23515" xr:uid="{CFB07E32-DD9E-4C24-8F2A-303799004D76}"/>
    <cellStyle name="40% - Accent2 3 7 2 3" xfId="31961" xr:uid="{5D9F5C36-81EA-414F-AF96-6414A85056CB}"/>
    <cellStyle name="40% - Accent2 3 7 2 4" xfId="15074" xr:uid="{A25B62E2-2458-42D7-9CA5-F089B7C7BAAA}"/>
    <cellStyle name="40% - Accent2 3 7 3" xfId="19297" xr:uid="{BE169F33-D824-4CE2-AA8B-234681EF4941}"/>
    <cellStyle name="40% - Accent2 3 7 4" xfId="27742" xr:uid="{9FFF0FB7-6676-44E2-A091-6ACF638D8659}"/>
    <cellStyle name="40% - Accent2 3 7 5" xfId="10856" xr:uid="{BC23311F-1B50-4C08-9980-45B1A2744D3D}"/>
    <cellStyle name="40% - Accent2 3 8" xfId="4566" xr:uid="{00000000-0005-0000-0000-0000D9040000}"/>
    <cellStyle name="40% - Accent2 3 8 2" xfId="21449" xr:uid="{B196A38D-1AD5-4E47-B99B-F671468BD680}"/>
    <cellStyle name="40% - Accent2 3 8 3" xfId="29895" xr:uid="{E2A50A37-1A41-4330-972C-A28F732AF568}"/>
    <cellStyle name="40% - Accent2 3 8 4" xfId="13008" xr:uid="{780F64FC-20DA-4754-84E9-4F4C7A5A590A}"/>
    <cellStyle name="40% - Accent2 3 9" xfId="17231" xr:uid="{5089B53A-0A15-4603-AE89-F123F6331DB2}"/>
    <cellStyle name="40% - Accent2 4" xfId="64" xr:uid="{00000000-0005-0000-0000-0000DA040000}"/>
    <cellStyle name="40% - Accent2 4 10" xfId="8792" xr:uid="{ECFFEE5E-8364-4711-8AC8-665537883CD8}"/>
    <cellStyle name="40% - Accent2 4 2" xfId="633" xr:uid="{00000000-0005-0000-0000-0000DB040000}"/>
    <cellStyle name="40% - Accent2 4 2 2" xfId="2904" xr:uid="{00000000-0005-0000-0000-0000DC040000}"/>
    <cellStyle name="40% - Accent2 4 2 2 2" xfId="7127" xr:uid="{00000000-0005-0000-0000-0000DD040000}"/>
    <cellStyle name="40% - Accent2 4 2 2 2 2" xfId="24010" xr:uid="{88C4AD02-AB78-4774-B063-DA8AC3DA1F07}"/>
    <cellStyle name="40% - Accent2 4 2 2 2 3" xfId="32456" xr:uid="{AFD9E712-7CA5-439F-9ABA-9403AC04C3FF}"/>
    <cellStyle name="40% - Accent2 4 2 2 2 4" xfId="15569" xr:uid="{C07023E9-F208-4DF4-A5C7-44AD091FF90E}"/>
    <cellStyle name="40% - Accent2 4 2 2 3" xfId="19792" xr:uid="{6FB0F7D2-F687-4F39-AAF9-3E229DE61AFF}"/>
    <cellStyle name="40% - Accent2 4 2 2 4" xfId="28239" xr:uid="{C46FE403-B705-4418-84F2-6B4A5F55C02D}"/>
    <cellStyle name="40% - Accent2 4 2 2 5" xfId="11351" xr:uid="{DA763686-9A32-4546-971A-621C1CB3FD68}"/>
    <cellStyle name="40% - Accent2 4 2 3" xfId="4982" xr:uid="{00000000-0005-0000-0000-0000DE040000}"/>
    <cellStyle name="40% - Accent2 4 2 3 2" xfId="21865" xr:uid="{50ED9AF0-4371-41BA-B7AB-471A70B1E70D}"/>
    <cellStyle name="40% - Accent2 4 2 3 3" xfId="30311" xr:uid="{72241DCE-FEF6-4D09-B9DD-2381EF334977}"/>
    <cellStyle name="40% - Accent2 4 2 3 4" xfId="13424" xr:uid="{A94FEC66-2415-456A-B963-F070195C7E5D}"/>
    <cellStyle name="40% - Accent2 4 2 4" xfId="17647" xr:uid="{578DBFCF-0A0D-4588-8729-618526A481F7}"/>
    <cellStyle name="40% - Accent2 4 2 5" xfId="26092" xr:uid="{CF489D86-4BC7-434F-9FEA-5FAD7A02A507}"/>
    <cellStyle name="40% - Accent2 4 2 6" xfId="9206" xr:uid="{8E04B66B-DF16-4277-B0B5-E248BE73D260}"/>
    <cellStyle name="40% - Accent2 4 3" xfId="1086" xr:uid="{00000000-0005-0000-0000-0000DF040000}"/>
    <cellStyle name="40% - Accent2 4 3 2" xfId="3317" xr:uid="{00000000-0005-0000-0000-0000E0040000}"/>
    <cellStyle name="40% - Accent2 4 3 2 2" xfId="7540" xr:uid="{00000000-0005-0000-0000-0000E1040000}"/>
    <cellStyle name="40% - Accent2 4 3 2 2 2" xfId="24423" xr:uid="{4AD02BB6-83E7-4941-A62D-23ED6A8012F4}"/>
    <cellStyle name="40% - Accent2 4 3 2 2 3" xfId="32869" xr:uid="{BB003A39-5386-4C9A-B19E-24FD17F30E77}"/>
    <cellStyle name="40% - Accent2 4 3 2 2 4" xfId="15982" xr:uid="{4558B250-643C-4B93-BFE4-A271A4247F12}"/>
    <cellStyle name="40% - Accent2 4 3 2 3" xfId="20205" xr:uid="{C4AD84A5-7B48-4DBE-9AD4-7DD84EFEF177}"/>
    <cellStyle name="40% - Accent2 4 3 2 4" xfId="28652" xr:uid="{DD88BFA4-BB06-44F6-842D-3D81889269BA}"/>
    <cellStyle name="40% - Accent2 4 3 2 5" xfId="11764" xr:uid="{FA93843F-9919-4FB8-9329-0C44275593B5}"/>
    <cellStyle name="40% - Accent2 4 3 3" xfId="5395" xr:uid="{00000000-0005-0000-0000-0000E2040000}"/>
    <cellStyle name="40% - Accent2 4 3 3 2" xfId="22278" xr:uid="{1ED37320-D834-4914-A56B-39D16B49FE26}"/>
    <cellStyle name="40% - Accent2 4 3 3 3" xfId="30724" xr:uid="{9AF4FD5C-AA3E-4DC1-9851-570F10A3983F}"/>
    <cellStyle name="40% - Accent2 4 3 3 4" xfId="13837" xr:uid="{E4423BFE-2FA2-4F2A-895C-D08B6951EE73}"/>
    <cellStyle name="40% - Accent2 4 3 4" xfId="18060" xr:uid="{9CED35E1-21A3-4D14-96FF-16F55EC27D5E}"/>
    <cellStyle name="40% - Accent2 4 3 5" xfId="26505" xr:uid="{7BE99C05-3F17-4862-A701-058381AA6376}"/>
    <cellStyle name="40% - Accent2 4 3 6" xfId="9619" xr:uid="{192E9255-0011-48A9-9CCA-0D36A2C5FECD}"/>
    <cellStyle name="40% - Accent2 4 4" xfId="1500" xr:uid="{00000000-0005-0000-0000-0000E3040000}"/>
    <cellStyle name="40% - Accent2 4 4 2" xfId="3730" xr:uid="{00000000-0005-0000-0000-0000E4040000}"/>
    <cellStyle name="40% - Accent2 4 4 2 2" xfId="7953" xr:uid="{00000000-0005-0000-0000-0000E5040000}"/>
    <cellStyle name="40% - Accent2 4 4 2 2 2" xfId="24836" xr:uid="{7A83D5A9-604F-425C-AD36-A4ED700766CE}"/>
    <cellStyle name="40% - Accent2 4 4 2 2 3" xfId="33282" xr:uid="{91F91B66-B042-425F-BE2F-A580C2198D16}"/>
    <cellStyle name="40% - Accent2 4 4 2 2 4" xfId="16395" xr:uid="{FC685D5D-E7DA-4A44-932E-1864E3602685}"/>
    <cellStyle name="40% - Accent2 4 4 2 3" xfId="20618" xr:uid="{53D95959-5822-4E97-9937-2C668BBA5174}"/>
    <cellStyle name="40% - Accent2 4 4 2 4" xfId="29065" xr:uid="{3D673A24-2C54-4C0E-9CC7-ADE32E7B1037}"/>
    <cellStyle name="40% - Accent2 4 4 2 5" xfId="12177" xr:uid="{AAD9F4B6-793B-425C-9882-689A5D7C0B79}"/>
    <cellStyle name="40% - Accent2 4 4 3" xfId="5808" xr:uid="{00000000-0005-0000-0000-0000E6040000}"/>
    <cellStyle name="40% - Accent2 4 4 3 2" xfId="22691" xr:uid="{5914DBF9-77CE-49D2-A3AC-3B6863802F3F}"/>
    <cellStyle name="40% - Accent2 4 4 3 3" xfId="31137" xr:uid="{EED3C0EB-A739-4284-80BD-DF28684427B3}"/>
    <cellStyle name="40% - Accent2 4 4 3 4" xfId="14250" xr:uid="{1FFAD2F1-2686-45AF-829C-5BD660B4F4FF}"/>
    <cellStyle name="40% - Accent2 4 4 4" xfId="18473" xr:uid="{197FF25C-EAE8-4876-946B-88F5F49D983C}"/>
    <cellStyle name="40% - Accent2 4 4 5" xfId="26918" xr:uid="{06F77DE0-E241-49FD-8CDA-C01E18933744}"/>
    <cellStyle name="40% - Accent2 4 4 6" xfId="10032" xr:uid="{D14B8BBD-7484-4E18-A84C-E942105BB522}"/>
    <cellStyle name="40% - Accent2 4 5" xfId="1914" xr:uid="{00000000-0005-0000-0000-0000E7040000}"/>
    <cellStyle name="40% - Accent2 4 5 2" xfId="4143" xr:uid="{00000000-0005-0000-0000-0000E8040000}"/>
    <cellStyle name="40% - Accent2 4 5 2 2" xfId="8366" xr:uid="{00000000-0005-0000-0000-0000E9040000}"/>
    <cellStyle name="40% - Accent2 4 5 2 2 2" xfId="25249" xr:uid="{7E17B82E-0B30-4079-8B1F-7ADBFC49BD41}"/>
    <cellStyle name="40% - Accent2 4 5 2 2 3" xfId="33695" xr:uid="{29B547FE-3018-4F19-8A88-40B03190065E}"/>
    <cellStyle name="40% - Accent2 4 5 2 2 4" xfId="16808" xr:uid="{3B118041-FD08-4C2F-84A7-8D32122DDFAE}"/>
    <cellStyle name="40% - Accent2 4 5 2 3" xfId="21031" xr:uid="{A3BF67F6-247B-4475-A28C-E15E5B77C847}"/>
    <cellStyle name="40% - Accent2 4 5 2 4" xfId="29478" xr:uid="{4C365299-1748-4E16-9BBA-52C520E6BCA2}"/>
    <cellStyle name="40% - Accent2 4 5 2 5" xfId="12590" xr:uid="{57E70AA3-6F43-4651-BABF-81751FD301E8}"/>
    <cellStyle name="40% - Accent2 4 5 3" xfId="6221" xr:uid="{00000000-0005-0000-0000-0000EA040000}"/>
    <cellStyle name="40% - Accent2 4 5 3 2" xfId="23104" xr:uid="{95B38195-2A73-4BCE-845F-A968554D66A8}"/>
    <cellStyle name="40% - Accent2 4 5 3 3" xfId="31550" xr:uid="{A85180A9-E9AF-471C-9F9C-E28CB616851B}"/>
    <cellStyle name="40% - Accent2 4 5 3 4" xfId="14663" xr:uid="{83E686F0-1CB4-4791-8D80-1ADBBF3EEB55}"/>
    <cellStyle name="40% - Accent2 4 5 4" xfId="18886" xr:uid="{E62B108E-6E5A-4555-9BBA-D81AFE760B91}"/>
    <cellStyle name="40% - Accent2 4 5 5" xfId="27331" xr:uid="{8BAF27FA-7DC7-45B5-AB4B-9CB460CF8B2F}"/>
    <cellStyle name="40% - Accent2 4 5 6" xfId="10445" xr:uid="{739BA781-0877-49DB-A06C-6705D2185EEC}"/>
    <cellStyle name="40% - Accent2 4 6" xfId="2327" xr:uid="{00000000-0005-0000-0000-0000EB040000}"/>
    <cellStyle name="40% - Accent2 4 6 2" xfId="6634" xr:uid="{00000000-0005-0000-0000-0000EC040000}"/>
    <cellStyle name="40% - Accent2 4 6 2 2" xfId="23517" xr:uid="{0A2B0DD3-F295-4DA1-B90A-92A0B813D7B3}"/>
    <cellStyle name="40% - Accent2 4 6 2 3" xfId="31963" xr:uid="{D7CBD253-6755-4416-B967-F0DAB023D5AF}"/>
    <cellStyle name="40% - Accent2 4 6 2 4" xfId="15076" xr:uid="{E059C0DD-616C-4D02-BE73-546386FB23F3}"/>
    <cellStyle name="40% - Accent2 4 6 3" xfId="19299" xr:uid="{1FB61C18-0D9B-4146-B1FB-92AA00190134}"/>
    <cellStyle name="40% - Accent2 4 6 4" xfId="27744" xr:uid="{BA49C4EA-03F4-470D-9DC6-0611458958AE}"/>
    <cellStyle name="40% - Accent2 4 6 5" xfId="10858" xr:uid="{CE672357-10EE-456E-9890-C42B0826DE60}"/>
    <cellStyle name="40% - Accent2 4 7" xfId="4568" xr:uid="{00000000-0005-0000-0000-0000ED040000}"/>
    <cellStyle name="40% - Accent2 4 7 2" xfId="21451" xr:uid="{899542C4-BB97-4B9E-9A77-F3B32A934D4A}"/>
    <cellStyle name="40% - Accent2 4 7 3" xfId="29897" xr:uid="{68D21D8F-58D1-4E97-80A3-D7E19EC66454}"/>
    <cellStyle name="40% - Accent2 4 7 4" xfId="13010" xr:uid="{E98315B5-D952-428B-A43B-5B29FDD70E2A}"/>
    <cellStyle name="40% - Accent2 4 8" xfId="17233" xr:uid="{158EDF23-CFE7-4223-A1E8-81F2907D906F}"/>
    <cellStyle name="40% - Accent2 4 9" xfId="25675" xr:uid="{7474EBCB-E2BB-4E4F-9F29-30347AAD729F}"/>
    <cellStyle name="40% - Accent2 5" xfId="626" xr:uid="{00000000-0005-0000-0000-0000EE040000}"/>
    <cellStyle name="40% - Accent2 5 2" xfId="2897" xr:uid="{00000000-0005-0000-0000-0000EF040000}"/>
    <cellStyle name="40% - Accent2 5 2 2" xfId="7120" xr:uid="{00000000-0005-0000-0000-0000F0040000}"/>
    <cellStyle name="40% - Accent2 5 2 2 2" xfId="24003" xr:uid="{D3F49B3E-C383-46ED-811B-E68615F538A5}"/>
    <cellStyle name="40% - Accent2 5 2 2 3" xfId="32449" xr:uid="{90FD09DC-0B4B-4F20-9488-002AFBD2986E}"/>
    <cellStyle name="40% - Accent2 5 2 2 4" xfId="15562" xr:uid="{E486A1FB-DDCA-4E10-BF04-9321376198A6}"/>
    <cellStyle name="40% - Accent2 5 2 3" xfId="19785" xr:uid="{FDBF4C6C-D890-4301-9355-80870F586D02}"/>
    <cellStyle name="40% - Accent2 5 2 4" xfId="28232" xr:uid="{F981E756-C583-4C7A-94D7-9889267C33BE}"/>
    <cellStyle name="40% - Accent2 5 2 5" xfId="11344" xr:uid="{C1F95816-3C9A-41DD-AD05-26D9953C940F}"/>
    <cellStyle name="40% - Accent2 5 3" xfId="4975" xr:uid="{00000000-0005-0000-0000-0000F1040000}"/>
    <cellStyle name="40% - Accent2 5 3 2" xfId="21858" xr:uid="{5DE0776C-2519-48A7-909E-FA523DF3431D}"/>
    <cellStyle name="40% - Accent2 5 3 3" xfId="30304" xr:uid="{AE6453FE-BC93-4C5F-BCD8-EE1BEB613BEF}"/>
    <cellStyle name="40% - Accent2 5 3 4" xfId="13417" xr:uid="{3423C7E4-7BA6-47F8-B8AC-B5D633554044}"/>
    <cellStyle name="40% - Accent2 5 4" xfId="17640" xr:uid="{6D8D2961-4004-4E91-87CB-270B412A2AD8}"/>
    <cellStyle name="40% - Accent2 5 5" xfId="26085" xr:uid="{26F9D1D6-7383-4360-A3FB-48CD5AA930DD}"/>
    <cellStyle name="40% - Accent2 5 6" xfId="9199" xr:uid="{770A89D5-F886-422D-A614-1AC95FA83530}"/>
    <cellStyle name="40% - Accent2 6" xfId="1079" xr:uid="{00000000-0005-0000-0000-0000F2040000}"/>
    <cellStyle name="40% - Accent2 6 2" xfId="3310" xr:uid="{00000000-0005-0000-0000-0000F3040000}"/>
    <cellStyle name="40% - Accent2 6 2 2" xfId="7533" xr:uid="{00000000-0005-0000-0000-0000F4040000}"/>
    <cellStyle name="40% - Accent2 6 2 2 2" xfId="24416" xr:uid="{514FBC5D-EEEF-4067-A8D5-81449E91CE2F}"/>
    <cellStyle name="40% - Accent2 6 2 2 3" xfId="32862" xr:uid="{5F76E506-9399-40F6-B1EC-C2CAAAA665F4}"/>
    <cellStyle name="40% - Accent2 6 2 2 4" xfId="15975" xr:uid="{22AF5642-2598-4848-8F54-F6EE765A6D2C}"/>
    <cellStyle name="40% - Accent2 6 2 3" xfId="20198" xr:uid="{6B99AE5D-A7E4-4E60-BC76-DDB7AE98AB9E}"/>
    <cellStyle name="40% - Accent2 6 2 4" xfId="28645" xr:uid="{601B53CC-8510-426B-90DE-085FDDDEAABF}"/>
    <cellStyle name="40% - Accent2 6 2 5" xfId="11757" xr:uid="{1084ACEA-5966-42FB-9A27-4936CC22A3E7}"/>
    <cellStyle name="40% - Accent2 6 3" xfId="5388" xr:uid="{00000000-0005-0000-0000-0000F5040000}"/>
    <cellStyle name="40% - Accent2 6 3 2" xfId="22271" xr:uid="{CBE78DFA-57DD-448A-ABC4-097ADF6FA4BE}"/>
    <cellStyle name="40% - Accent2 6 3 3" xfId="30717" xr:uid="{11585185-5B44-4439-A14D-EF83BE9F55D5}"/>
    <cellStyle name="40% - Accent2 6 3 4" xfId="13830" xr:uid="{BFAA49A9-92B5-4A84-9A0E-43B093D0C866}"/>
    <cellStyle name="40% - Accent2 6 4" xfId="18053" xr:uid="{819D4850-5364-4125-B2CE-E6DE45093942}"/>
    <cellStyle name="40% - Accent2 6 5" xfId="26498" xr:uid="{85A59789-205F-4A4E-B333-94F5A922E4AD}"/>
    <cellStyle name="40% - Accent2 6 6" xfId="9612" xr:uid="{2C77E089-A50B-4514-B409-20959EB55736}"/>
    <cellStyle name="40% - Accent2 7" xfId="1493" xr:uid="{00000000-0005-0000-0000-0000F6040000}"/>
    <cellStyle name="40% - Accent2 7 2" xfId="3723" xr:uid="{00000000-0005-0000-0000-0000F7040000}"/>
    <cellStyle name="40% - Accent2 7 2 2" xfId="7946" xr:uid="{00000000-0005-0000-0000-0000F8040000}"/>
    <cellStyle name="40% - Accent2 7 2 2 2" xfId="24829" xr:uid="{FFB522CB-CD3B-415A-9582-54A5C506C861}"/>
    <cellStyle name="40% - Accent2 7 2 2 3" xfId="33275" xr:uid="{5E0BC766-796D-4BC4-80D6-661F6B9FD815}"/>
    <cellStyle name="40% - Accent2 7 2 2 4" xfId="16388" xr:uid="{A3F6DA9E-FC21-4250-8595-21FC354C3994}"/>
    <cellStyle name="40% - Accent2 7 2 3" xfId="20611" xr:uid="{CBE075E4-DD3D-4B35-B9B4-1E4E53ED3F10}"/>
    <cellStyle name="40% - Accent2 7 2 4" xfId="29058" xr:uid="{B2A8D754-8C50-40CC-AF2D-5607E7B2922C}"/>
    <cellStyle name="40% - Accent2 7 2 5" xfId="12170" xr:uid="{DAF11238-91D4-47F6-9818-A11B5D6B42C7}"/>
    <cellStyle name="40% - Accent2 7 3" xfId="5801" xr:uid="{00000000-0005-0000-0000-0000F9040000}"/>
    <cellStyle name="40% - Accent2 7 3 2" xfId="22684" xr:uid="{84ED117F-8CF2-44D6-8B11-DBA7A2F4AE37}"/>
    <cellStyle name="40% - Accent2 7 3 3" xfId="31130" xr:uid="{54AAA4AE-E896-41FD-88CE-AFF4A3239DF1}"/>
    <cellStyle name="40% - Accent2 7 3 4" xfId="14243" xr:uid="{DB68F1DB-A2A0-4883-BE06-CEEACD9ABE62}"/>
    <cellStyle name="40% - Accent2 7 4" xfId="18466" xr:uid="{BA50FFEC-ED32-4FDF-B163-730A6EA5BF09}"/>
    <cellStyle name="40% - Accent2 7 5" xfId="26911" xr:uid="{E0288A33-350E-4EA5-9A0D-B847ECA78724}"/>
    <cellStyle name="40% - Accent2 7 6" xfId="10025" xr:uid="{2D9B3397-D57A-41B4-9A54-ABEAE89CFB21}"/>
    <cellStyle name="40% - Accent2 8" xfId="1907" xr:uid="{00000000-0005-0000-0000-0000FA040000}"/>
    <cellStyle name="40% - Accent2 8 2" xfId="4136" xr:uid="{00000000-0005-0000-0000-0000FB040000}"/>
    <cellStyle name="40% - Accent2 8 2 2" xfId="8359" xr:uid="{00000000-0005-0000-0000-0000FC040000}"/>
    <cellStyle name="40% - Accent2 8 2 2 2" xfId="25242" xr:uid="{7EA125F5-67A0-471C-9FAE-BBC9EEAA9C2C}"/>
    <cellStyle name="40% - Accent2 8 2 2 3" xfId="33688" xr:uid="{2FCE7E02-5B6E-4B2A-B286-9B0038C1BF1D}"/>
    <cellStyle name="40% - Accent2 8 2 2 4" xfId="16801" xr:uid="{ECB48290-1669-4977-AA2C-9C36CAAD7C1E}"/>
    <cellStyle name="40% - Accent2 8 2 3" xfId="21024" xr:uid="{B2261CC5-9F4A-4748-9D9A-283D434F480D}"/>
    <cellStyle name="40% - Accent2 8 2 4" xfId="29471" xr:uid="{842158F3-474D-4AB1-A400-8017D02CEB7F}"/>
    <cellStyle name="40% - Accent2 8 2 5" xfId="12583" xr:uid="{286F6BA7-8506-46B4-99D6-3F8A562ABA92}"/>
    <cellStyle name="40% - Accent2 8 3" xfId="6214" xr:uid="{00000000-0005-0000-0000-0000FD040000}"/>
    <cellStyle name="40% - Accent2 8 3 2" xfId="23097" xr:uid="{59BFA7B3-E945-4428-91B0-F96915B6A6CF}"/>
    <cellStyle name="40% - Accent2 8 3 3" xfId="31543" xr:uid="{2E0A0749-E183-4249-AE04-A15FBDAFF331}"/>
    <cellStyle name="40% - Accent2 8 3 4" xfId="14656" xr:uid="{7441A3A0-A68C-493A-9881-B0247681E431}"/>
    <cellStyle name="40% - Accent2 8 4" xfId="18879" xr:uid="{C5D007AB-5C31-4696-9427-D2926E49525D}"/>
    <cellStyle name="40% - Accent2 8 5" xfId="27324" xr:uid="{C7E8D89F-DA4C-4647-9F3E-F54F669B2406}"/>
    <cellStyle name="40% - Accent2 8 6" xfId="10438" xr:uid="{0C7E8BC8-093C-47BD-BB8B-83CDC0BBDAD4}"/>
    <cellStyle name="40% - Accent2 9" xfId="2320" xr:uid="{00000000-0005-0000-0000-0000FE040000}"/>
    <cellStyle name="40% - Accent2 9 2" xfId="6627" xr:uid="{00000000-0005-0000-0000-0000FF040000}"/>
    <cellStyle name="40% - Accent2 9 2 2" xfId="23510" xr:uid="{AAD03823-097E-4EBA-90E1-F9D964668757}"/>
    <cellStyle name="40% - Accent2 9 2 3" xfId="31956" xr:uid="{1F8D1B02-1AFB-49A6-90C6-D56F8A2BB056}"/>
    <cellStyle name="40% - Accent2 9 2 4" xfId="15069" xr:uid="{718F1EBE-C8F5-4EC9-86A7-067DFF644788}"/>
    <cellStyle name="40% - Accent2 9 3" xfId="19292" xr:uid="{39896016-FBFD-4AA5-A8D5-47EA79C42DC1}"/>
    <cellStyle name="40% - Accent2 9 4" xfId="27737" xr:uid="{A9EC191D-427E-4146-9FC1-54DF333D44C7}"/>
    <cellStyle name="40% - Accent2 9 5" xfId="10851" xr:uid="{27A8CEC0-52BD-4865-9658-71AC4378C825}"/>
    <cellStyle name="40% - Accent3" xfId="65" builtinId="39" customBuiltin="1"/>
    <cellStyle name="40% - Accent3 10" xfId="4569" xr:uid="{00000000-0005-0000-0000-000001050000}"/>
    <cellStyle name="40% - Accent3 10 2" xfId="21452" xr:uid="{ED0D6B5A-6776-4EA0-904F-DE2F8F1D5DAD}"/>
    <cellStyle name="40% - Accent3 10 3" xfId="29898" xr:uid="{BC62A69A-C4AE-4A24-830A-FAFFC9B43620}"/>
    <cellStyle name="40% - Accent3 10 4" xfId="13011" xr:uid="{3FB3E8D6-BC00-4310-AC2A-40CB88AD68D9}"/>
    <cellStyle name="40% - Accent3 11" xfId="17234" xr:uid="{3F6765B7-3E37-462F-BEAE-4C6E5DD7B067}"/>
    <cellStyle name="40% - Accent3 12" xfId="25676" xr:uid="{44D18C11-C21F-41D0-83DE-5088BF20BCC9}"/>
    <cellStyle name="40% - Accent3 13" xfId="8793" xr:uid="{4D7610C2-9BB6-4F99-A331-9418B995CADA}"/>
    <cellStyle name="40% - Accent3 2" xfId="66" xr:uid="{00000000-0005-0000-0000-000002050000}"/>
    <cellStyle name="40% - Accent3 2 10" xfId="17235" xr:uid="{F05A3456-D296-42D3-9E7B-A70020C93CE7}"/>
    <cellStyle name="40% - Accent3 2 11" xfId="25677" xr:uid="{88138397-8EFA-4588-A731-A569B818EEBD}"/>
    <cellStyle name="40% - Accent3 2 12" xfId="8794" xr:uid="{9A2B6A5F-DFEB-4136-BB39-70AE86F9D9B3}"/>
    <cellStyle name="40% - Accent3 2 2" xfId="67" xr:uid="{00000000-0005-0000-0000-000003050000}"/>
    <cellStyle name="40% - Accent3 2 2 10" xfId="25678" xr:uid="{C9D9D5EF-FEFC-410C-8739-2FA8061666A3}"/>
    <cellStyle name="40% - Accent3 2 2 11" xfId="8795" xr:uid="{945205C2-3750-46EF-A8E6-C22402E1558A}"/>
    <cellStyle name="40% - Accent3 2 2 2" xfId="68" xr:uid="{00000000-0005-0000-0000-000004050000}"/>
    <cellStyle name="40% - Accent3 2 2 2 10" xfId="8796" xr:uid="{42021183-9C1A-4D04-91F0-43CC68C5A78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24014" xr:uid="{462F0391-21B1-41E4-AEB3-579406BC5B5C}"/>
    <cellStyle name="40% - Accent3 2 2 2 2 2 2 3" xfId="32460" xr:uid="{4C342894-0716-4001-9D2D-8D96C269BBBD}"/>
    <cellStyle name="40% - Accent3 2 2 2 2 2 2 4" xfId="15573" xr:uid="{FC1CE1AF-370B-4156-81C4-71004961B80C}"/>
    <cellStyle name="40% - Accent3 2 2 2 2 2 3" xfId="19796" xr:uid="{0A7780F5-309F-43A9-BE7A-7444EFC025FD}"/>
    <cellStyle name="40% - Accent3 2 2 2 2 2 4" xfId="28243" xr:uid="{E0ABC180-BFF8-4912-8E82-FE7C88459A93}"/>
    <cellStyle name="40% - Accent3 2 2 2 2 2 5" xfId="11355" xr:uid="{05BCAF3C-E19E-42CB-9B90-B982299C0E30}"/>
    <cellStyle name="40% - Accent3 2 2 2 2 3" xfId="4986" xr:uid="{00000000-0005-0000-0000-000008050000}"/>
    <cellStyle name="40% - Accent3 2 2 2 2 3 2" xfId="21869" xr:uid="{7E1AE6DA-810D-4D6F-A9A8-08C76B23DC88}"/>
    <cellStyle name="40% - Accent3 2 2 2 2 3 3" xfId="30315" xr:uid="{30625EFF-7741-47D0-B8E7-A9DBC1AAA679}"/>
    <cellStyle name="40% - Accent3 2 2 2 2 3 4" xfId="13428" xr:uid="{F7ABF7B6-0A8C-4734-9DBF-76F1C28E7849}"/>
    <cellStyle name="40% - Accent3 2 2 2 2 4" xfId="17651" xr:uid="{F576563B-C7B1-435E-A21B-B7D7F1739189}"/>
    <cellStyle name="40% - Accent3 2 2 2 2 5" xfId="26096" xr:uid="{F115AA29-F498-4AD9-A9D8-7A369619B54E}"/>
    <cellStyle name="40% - Accent3 2 2 2 2 6" xfId="9210" xr:uid="{B01C9413-827B-41B9-B545-314F943A1658}"/>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24427" xr:uid="{3550127B-AC05-4E6C-B87A-C866EDDA40F3}"/>
    <cellStyle name="40% - Accent3 2 2 2 3 2 2 3" xfId="32873" xr:uid="{103826AE-AFAC-4F11-BA64-2EC007EC81A8}"/>
    <cellStyle name="40% - Accent3 2 2 2 3 2 2 4" xfId="15986" xr:uid="{AFF0D91F-2D7E-4AEA-BDC3-EC57F0C519B0}"/>
    <cellStyle name="40% - Accent3 2 2 2 3 2 3" xfId="20209" xr:uid="{862803F7-1039-4564-872F-20F93B524FB9}"/>
    <cellStyle name="40% - Accent3 2 2 2 3 2 4" xfId="28656" xr:uid="{5E97071D-AD7F-4B66-995B-25DB18D3B90D}"/>
    <cellStyle name="40% - Accent3 2 2 2 3 2 5" xfId="11768" xr:uid="{ED1EC5F2-61C8-4DEF-921A-3BF7B19781CE}"/>
    <cellStyle name="40% - Accent3 2 2 2 3 3" xfId="5399" xr:uid="{00000000-0005-0000-0000-00000C050000}"/>
    <cellStyle name="40% - Accent3 2 2 2 3 3 2" xfId="22282" xr:uid="{9A34A4B4-F233-4232-8DCC-045C737B290B}"/>
    <cellStyle name="40% - Accent3 2 2 2 3 3 3" xfId="30728" xr:uid="{B183A8D4-59AB-42C9-AA58-452233ED8832}"/>
    <cellStyle name="40% - Accent3 2 2 2 3 3 4" xfId="13841" xr:uid="{900FA222-5E32-4CF1-9944-330CBBCA9577}"/>
    <cellStyle name="40% - Accent3 2 2 2 3 4" xfId="18064" xr:uid="{AD43407C-C412-497E-AD7F-91FA3F920490}"/>
    <cellStyle name="40% - Accent3 2 2 2 3 5" xfId="26509" xr:uid="{32FFC044-7510-451E-8144-8660C7FFD967}"/>
    <cellStyle name="40% - Accent3 2 2 2 3 6" xfId="9623" xr:uid="{37E8327B-A87C-4E74-8F56-2462B132878E}"/>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24840" xr:uid="{C17F2A76-E1A6-4587-80D7-ACE7CAD2A6D8}"/>
    <cellStyle name="40% - Accent3 2 2 2 4 2 2 3" xfId="33286" xr:uid="{0BA7FF7D-6D90-4719-8C73-2E0853D0AA92}"/>
    <cellStyle name="40% - Accent3 2 2 2 4 2 2 4" xfId="16399" xr:uid="{D820A440-97B8-40A4-BC5E-D437D21E90CD}"/>
    <cellStyle name="40% - Accent3 2 2 2 4 2 3" xfId="20622" xr:uid="{06BBA077-C01D-454A-A793-5F184C66AB06}"/>
    <cellStyle name="40% - Accent3 2 2 2 4 2 4" xfId="29069" xr:uid="{A9E48E32-7D62-49DC-BDE4-699C2CC987D4}"/>
    <cellStyle name="40% - Accent3 2 2 2 4 2 5" xfId="12181" xr:uid="{F2FC8789-7ADB-41F4-822E-FE114DC58C64}"/>
    <cellStyle name="40% - Accent3 2 2 2 4 3" xfId="5812" xr:uid="{00000000-0005-0000-0000-000010050000}"/>
    <cellStyle name="40% - Accent3 2 2 2 4 3 2" xfId="22695" xr:uid="{9D9FF27E-3A98-4CFE-80E3-8FFB1F34B8F6}"/>
    <cellStyle name="40% - Accent3 2 2 2 4 3 3" xfId="31141" xr:uid="{476860AA-7921-4C81-AD43-B8AD6A6307DF}"/>
    <cellStyle name="40% - Accent3 2 2 2 4 3 4" xfId="14254" xr:uid="{97354FAB-FD5C-4F7C-A812-0AC49452B31B}"/>
    <cellStyle name="40% - Accent3 2 2 2 4 4" xfId="18477" xr:uid="{64D52CCE-8A4D-4151-AFBC-EDE6142434D2}"/>
    <cellStyle name="40% - Accent3 2 2 2 4 5" xfId="26922" xr:uid="{ACDAF71C-516B-45E9-BA06-17B4151FA8E3}"/>
    <cellStyle name="40% - Accent3 2 2 2 4 6" xfId="10036" xr:uid="{FFC17F2A-7107-4263-A456-AA5E8E63DB4D}"/>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25253" xr:uid="{61AF5347-2250-4BDE-8B53-485FCD5667D1}"/>
    <cellStyle name="40% - Accent3 2 2 2 5 2 2 3" xfId="33699" xr:uid="{9F4152AA-9D90-4FF1-8DE2-00A7FFA123F3}"/>
    <cellStyle name="40% - Accent3 2 2 2 5 2 2 4" xfId="16812" xr:uid="{13ECCB9C-AC5F-4702-B4CC-E5A4F7E52C89}"/>
    <cellStyle name="40% - Accent3 2 2 2 5 2 3" xfId="21035" xr:uid="{9268BFC4-BFBD-4FB6-8E5D-E45ACFCE802D}"/>
    <cellStyle name="40% - Accent3 2 2 2 5 2 4" xfId="29482" xr:uid="{D959AF8E-8BDA-4803-AC35-398BB0E07420}"/>
    <cellStyle name="40% - Accent3 2 2 2 5 2 5" xfId="12594" xr:uid="{4627EDE4-E543-436F-BEFA-46C00B036164}"/>
    <cellStyle name="40% - Accent3 2 2 2 5 3" xfId="6225" xr:uid="{00000000-0005-0000-0000-000014050000}"/>
    <cellStyle name="40% - Accent3 2 2 2 5 3 2" xfId="23108" xr:uid="{426D833A-13F8-4E46-8555-B754A4C80638}"/>
    <cellStyle name="40% - Accent3 2 2 2 5 3 3" xfId="31554" xr:uid="{C6503684-8C03-4932-82D1-240CB04E0407}"/>
    <cellStyle name="40% - Accent3 2 2 2 5 3 4" xfId="14667" xr:uid="{38A0CD42-D02E-4E19-9ECF-0EBFE77344B4}"/>
    <cellStyle name="40% - Accent3 2 2 2 5 4" xfId="18890" xr:uid="{B2ADA086-7BF0-44AD-80DD-8A8D51DB99D0}"/>
    <cellStyle name="40% - Accent3 2 2 2 5 5" xfId="27335" xr:uid="{AEFCA4D0-BE02-4475-911A-F9A532B359F6}"/>
    <cellStyle name="40% - Accent3 2 2 2 5 6" xfId="10449" xr:uid="{154B4FBB-2D1F-4376-A1A0-4B458D60CABE}"/>
    <cellStyle name="40% - Accent3 2 2 2 6" xfId="2331" xr:uid="{00000000-0005-0000-0000-000015050000}"/>
    <cellStyle name="40% - Accent3 2 2 2 6 2" xfId="6638" xr:uid="{00000000-0005-0000-0000-000016050000}"/>
    <cellStyle name="40% - Accent3 2 2 2 6 2 2" xfId="23521" xr:uid="{92516926-7916-4CF7-A62E-462D7C8E025A}"/>
    <cellStyle name="40% - Accent3 2 2 2 6 2 3" xfId="31967" xr:uid="{4305DA0D-63B0-4499-80E1-E40FFC10F57B}"/>
    <cellStyle name="40% - Accent3 2 2 2 6 2 4" xfId="15080" xr:uid="{F35B7B94-3C14-461B-B0E6-8A713FFB5A11}"/>
    <cellStyle name="40% - Accent3 2 2 2 6 3" xfId="19303" xr:uid="{526A1AA4-F063-40FF-A914-61768F741908}"/>
    <cellStyle name="40% - Accent3 2 2 2 6 4" xfId="27748" xr:uid="{21F171EB-50DE-4364-B999-2881594875B8}"/>
    <cellStyle name="40% - Accent3 2 2 2 6 5" xfId="10862" xr:uid="{D5E1C308-7344-485A-9253-E60D59310955}"/>
    <cellStyle name="40% - Accent3 2 2 2 7" xfId="4572" xr:uid="{00000000-0005-0000-0000-000017050000}"/>
    <cellStyle name="40% - Accent3 2 2 2 7 2" xfId="21455" xr:uid="{15495F29-6FF8-444A-9A7C-09D7F1246F4E}"/>
    <cellStyle name="40% - Accent3 2 2 2 7 3" xfId="29901" xr:uid="{7C21D0A1-EF01-4745-B3A6-7850109C3003}"/>
    <cellStyle name="40% - Accent3 2 2 2 7 4" xfId="13014" xr:uid="{D07B5301-F212-4594-8E30-B50CFB2E489F}"/>
    <cellStyle name="40% - Accent3 2 2 2 8" xfId="17237" xr:uid="{846EA46D-E25D-43CB-B100-674BD547AA37}"/>
    <cellStyle name="40% - Accent3 2 2 2 9" xfId="25679" xr:uid="{E441E412-771B-42D9-AB66-91811F754B16}"/>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24013" xr:uid="{B74E2A1A-4B11-49C1-B537-2AE62DDC3D79}"/>
    <cellStyle name="40% - Accent3 2 2 3 2 2 3" xfId="32459" xr:uid="{B2F691A2-6C38-4321-8239-8B58F57B9626}"/>
    <cellStyle name="40% - Accent3 2 2 3 2 2 4" xfId="15572" xr:uid="{EBE2A3D6-821B-4A86-A91C-04FB88D5CB9B}"/>
    <cellStyle name="40% - Accent3 2 2 3 2 3" xfId="19795" xr:uid="{4E6EB3AE-8B53-4DA2-AEFD-C12045BF0C16}"/>
    <cellStyle name="40% - Accent3 2 2 3 2 4" xfId="28242" xr:uid="{5F35D4B1-CA8B-4D0E-A0CE-3704689AC3DF}"/>
    <cellStyle name="40% - Accent3 2 2 3 2 5" xfId="11354" xr:uid="{58F5A6FC-0E40-458D-9A30-E001D096B433}"/>
    <cellStyle name="40% - Accent3 2 2 3 3" xfId="4985" xr:uid="{00000000-0005-0000-0000-00001B050000}"/>
    <cellStyle name="40% - Accent3 2 2 3 3 2" xfId="21868" xr:uid="{F9B10EAD-62A4-4692-87A4-2E4B980EAF9E}"/>
    <cellStyle name="40% - Accent3 2 2 3 3 3" xfId="30314" xr:uid="{C9C94B24-2968-4D10-82A2-7BDAA84A01E5}"/>
    <cellStyle name="40% - Accent3 2 2 3 3 4" xfId="13427" xr:uid="{E0FC5EF6-53A0-4633-8193-4FC26F0C7A5E}"/>
    <cellStyle name="40% - Accent3 2 2 3 4" xfId="17650" xr:uid="{1D7763AD-E09A-4A61-A832-3FC3B4E7590A}"/>
    <cellStyle name="40% - Accent3 2 2 3 5" xfId="26095" xr:uid="{0EC7E056-A580-454A-9CF0-52DB5FE9C581}"/>
    <cellStyle name="40% - Accent3 2 2 3 6" xfId="9209" xr:uid="{B9A8D753-9AF8-4F4D-99C9-82FEE1C74954}"/>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24426" xr:uid="{FE3A167A-1BFA-4B4C-BDE9-2B5A5DD30F8C}"/>
    <cellStyle name="40% - Accent3 2 2 4 2 2 3" xfId="32872" xr:uid="{FC96E65A-EB1B-429F-8212-395BA15E4C7F}"/>
    <cellStyle name="40% - Accent3 2 2 4 2 2 4" xfId="15985" xr:uid="{B5234587-0123-462D-89CB-41B872BEA966}"/>
    <cellStyle name="40% - Accent3 2 2 4 2 3" xfId="20208" xr:uid="{5B4840F7-3DB5-459E-AB04-90C9F9E3FC1F}"/>
    <cellStyle name="40% - Accent3 2 2 4 2 4" xfId="28655" xr:uid="{010A7D44-7422-49FA-ADA1-424FF268FD63}"/>
    <cellStyle name="40% - Accent3 2 2 4 2 5" xfId="11767" xr:uid="{CB16447E-FDFB-4D9A-8183-41602EA76FBF}"/>
    <cellStyle name="40% - Accent3 2 2 4 3" xfId="5398" xr:uid="{00000000-0005-0000-0000-00001F050000}"/>
    <cellStyle name="40% - Accent3 2 2 4 3 2" xfId="22281" xr:uid="{B621F5CB-16A3-4EA3-9328-B93E8D45B647}"/>
    <cellStyle name="40% - Accent3 2 2 4 3 3" xfId="30727" xr:uid="{FD65435F-7A9E-40D6-998B-6D12B3D84493}"/>
    <cellStyle name="40% - Accent3 2 2 4 3 4" xfId="13840" xr:uid="{BA73EFAF-2E5D-4D86-A7FE-967D1EE643D8}"/>
    <cellStyle name="40% - Accent3 2 2 4 4" xfId="18063" xr:uid="{250EB288-C5F8-4397-9E29-97564C631070}"/>
    <cellStyle name="40% - Accent3 2 2 4 5" xfId="26508" xr:uid="{110162CF-0E76-4332-B2DB-6BCA4626C06F}"/>
    <cellStyle name="40% - Accent3 2 2 4 6" xfId="9622" xr:uid="{5DB3CFE6-3A99-4150-8E0A-A0B23440AB93}"/>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24839" xr:uid="{94370526-4021-45D2-9948-297E48AF6184}"/>
    <cellStyle name="40% - Accent3 2 2 5 2 2 3" xfId="33285" xr:uid="{A04ABE15-9C6D-4B13-93D1-941484D01BA1}"/>
    <cellStyle name="40% - Accent3 2 2 5 2 2 4" xfId="16398" xr:uid="{71E63A15-4FA9-4701-9D47-7193926DD39E}"/>
    <cellStyle name="40% - Accent3 2 2 5 2 3" xfId="20621" xr:uid="{021AF813-A65C-49BC-9919-D910EDD8561B}"/>
    <cellStyle name="40% - Accent3 2 2 5 2 4" xfId="29068" xr:uid="{F30233F3-0B3F-4BCE-98A9-85C3822D0AA0}"/>
    <cellStyle name="40% - Accent3 2 2 5 2 5" xfId="12180" xr:uid="{F2B4709B-5DC5-4E3E-9D7C-3C8E9A09F66A}"/>
    <cellStyle name="40% - Accent3 2 2 5 3" xfId="5811" xr:uid="{00000000-0005-0000-0000-000023050000}"/>
    <cellStyle name="40% - Accent3 2 2 5 3 2" xfId="22694" xr:uid="{C455F33E-08B3-4704-913F-F286C6046B4E}"/>
    <cellStyle name="40% - Accent3 2 2 5 3 3" xfId="31140" xr:uid="{524430DB-81DC-4698-AE7E-EB76FD11D99B}"/>
    <cellStyle name="40% - Accent3 2 2 5 3 4" xfId="14253" xr:uid="{115F96E5-317D-41F8-A112-D657F857B231}"/>
    <cellStyle name="40% - Accent3 2 2 5 4" xfId="18476" xr:uid="{1E13FF9E-D284-455C-9EBA-1F3B1DF3C9D3}"/>
    <cellStyle name="40% - Accent3 2 2 5 5" xfId="26921" xr:uid="{E7F6D073-8B17-4210-A333-6E7252D2DEE1}"/>
    <cellStyle name="40% - Accent3 2 2 5 6" xfId="10035" xr:uid="{CC5BFE26-1B86-4C5A-9054-93C36BF79C6C}"/>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25252" xr:uid="{105C9590-60FF-44CA-8A8B-9824720AB909}"/>
    <cellStyle name="40% - Accent3 2 2 6 2 2 3" xfId="33698" xr:uid="{22996350-E4D6-4C98-BF5B-B94C9BB38242}"/>
    <cellStyle name="40% - Accent3 2 2 6 2 2 4" xfId="16811" xr:uid="{C5717063-9AAC-477E-9765-0972542D8731}"/>
    <cellStyle name="40% - Accent3 2 2 6 2 3" xfId="21034" xr:uid="{32587487-AEDA-430B-9E19-BF8D8BA012D1}"/>
    <cellStyle name="40% - Accent3 2 2 6 2 4" xfId="29481" xr:uid="{20D1E30F-945C-4744-9EFA-E432DCCD2EC6}"/>
    <cellStyle name="40% - Accent3 2 2 6 2 5" xfId="12593" xr:uid="{93F4A9FC-BCA9-4CFD-B5DB-2BC7412FE226}"/>
    <cellStyle name="40% - Accent3 2 2 6 3" xfId="6224" xr:uid="{00000000-0005-0000-0000-000027050000}"/>
    <cellStyle name="40% - Accent3 2 2 6 3 2" xfId="23107" xr:uid="{1AA4878C-4C5B-46AC-BB3D-93B6BDF52AD4}"/>
    <cellStyle name="40% - Accent3 2 2 6 3 3" xfId="31553" xr:uid="{C5D90A4D-8324-4D47-8756-CDF17D3E2019}"/>
    <cellStyle name="40% - Accent3 2 2 6 3 4" xfId="14666" xr:uid="{F3A1F87D-7561-4B92-957A-E98D230C2C8F}"/>
    <cellStyle name="40% - Accent3 2 2 6 4" xfId="18889" xr:uid="{BF588115-CE52-4A76-9D3D-EE597BE827C8}"/>
    <cellStyle name="40% - Accent3 2 2 6 5" xfId="27334" xr:uid="{DBFA3E30-C921-4728-8723-731C639529B4}"/>
    <cellStyle name="40% - Accent3 2 2 6 6" xfId="10448" xr:uid="{1A564440-88DB-40F4-99EF-47ACAF42969E}"/>
    <cellStyle name="40% - Accent3 2 2 7" xfId="2330" xr:uid="{00000000-0005-0000-0000-000028050000}"/>
    <cellStyle name="40% - Accent3 2 2 7 2" xfId="6637" xr:uid="{00000000-0005-0000-0000-000029050000}"/>
    <cellStyle name="40% - Accent3 2 2 7 2 2" xfId="23520" xr:uid="{FF0F3453-680C-4C01-8D45-132C1B8290E4}"/>
    <cellStyle name="40% - Accent3 2 2 7 2 3" xfId="31966" xr:uid="{2428D288-6B4C-4A86-AAFE-233C0D6B2B91}"/>
    <cellStyle name="40% - Accent3 2 2 7 2 4" xfId="15079" xr:uid="{033EBB76-B934-4888-8C39-D212120225E7}"/>
    <cellStyle name="40% - Accent3 2 2 7 3" xfId="19302" xr:uid="{2D53A273-BAE1-4FF7-8D41-974ACCAEB15D}"/>
    <cellStyle name="40% - Accent3 2 2 7 4" xfId="27747" xr:uid="{DABEDC81-8726-401F-9F24-AD04B3CD0565}"/>
    <cellStyle name="40% - Accent3 2 2 7 5" xfId="10861" xr:uid="{4A9826E7-CB97-482E-87F4-854758CBDEAD}"/>
    <cellStyle name="40% - Accent3 2 2 8" xfId="4571" xr:uid="{00000000-0005-0000-0000-00002A050000}"/>
    <cellStyle name="40% - Accent3 2 2 8 2" xfId="21454" xr:uid="{33C08E57-4D39-446F-9912-A8FC9AD35FD4}"/>
    <cellStyle name="40% - Accent3 2 2 8 3" xfId="29900" xr:uid="{16DD9FA0-7E5A-4134-8CAD-667CC7449AF6}"/>
    <cellStyle name="40% - Accent3 2 2 8 4" xfId="13013" xr:uid="{7BB336CC-52C9-4411-858E-3C59C36601B3}"/>
    <cellStyle name="40% - Accent3 2 2 9" xfId="17236" xr:uid="{4B90699F-5481-423B-8FF2-9EF2CF1F7871}"/>
    <cellStyle name="40% - Accent3 2 3" xfId="69" xr:uid="{00000000-0005-0000-0000-00002B050000}"/>
    <cellStyle name="40% - Accent3 2 3 10" xfId="8797" xr:uid="{81E48B88-029F-483C-9DB5-8B4023AB4467}"/>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24015" xr:uid="{DB3718CE-6F9A-4AE1-9E8A-B547E53A3140}"/>
    <cellStyle name="40% - Accent3 2 3 2 2 2 3" xfId="32461" xr:uid="{D2B5D6B8-202F-47AA-80B7-0623099F8CE4}"/>
    <cellStyle name="40% - Accent3 2 3 2 2 2 4" xfId="15574" xr:uid="{C5EE406E-0BAD-479B-B86F-459E235E3700}"/>
    <cellStyle name="40% - Accent3 2 3 2 2 3" xfId="19797" xr:uid="{682024BB-07CD-4580-8337-9802D7E98F4D}"/>
    <cellStyle name="40% - Accent3 2 3 2 2 4" xfId="28244" xr:uid="{07379915-1E35-4152-9F36-6FB8B84B58F4}"/>
    <cellStyle name="40% - Accent3 2 3 2 2 5" xfId="11356" xr:uid="{7BB4C24C-0E3C-4858-834B-DB10EF8E83D7}"/>
    <cellStyle name="40% - Accent3 2 3 2 3" xfId="4987" xr:uid="{00000000-0005-0000-0000-00002F050000}"/>
    <cellStyle name="40% - Accent3 2 3 2 3 2" xfId="21870" xr:uid="{64841FE5-F2C2-4E4A-A84C-10D28978BDFF}"/>
    <cellStyle name="40% - Accent3 2 3 2 3 3" xfId="30316" xr:uid="{92CE64BB-250D-4129-A485-34A674DC1AE1}"/>
    <cellStyle name="40% - Accent3 2 3 2 3 4" xfId="13429" xr:uid="{D83F366D-AE59-45C0-90F9-AFF1ECA18E4B}"/>
    <cellStyle name="40% - Accent3 2 3 2 4" xfId="17652" xr:uid="{7728489A-284B-4810-A288-4CE730FB1897}"/>
    <cellStyle name="40% - Accent3 2 3 2 5" xfId="26097" xr:uid="{DFF376ED-8704-4B7A-818C-E8B98E8577C7}"/>
    <cellStyle name="40% - Accent3 2 3 2 6" xfId="9211" xr:uid="{53A642B9-E76C-4AA3-8431-381AFCD6A5E4}"/>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24428" xr:uid="{A14A46D7-F2CC-4A0A-B52D-DF418F853E47}"/>
    <cellStyle name="40% - Accent3 2 3 3 2 2 3" xfId="32874" xr:uid="{BED5DD30-14C6-4F69-8894-05421C926EA5}"/>
    <cellStyle name="40% - Accent3 2 3 3 2 2 4" xfId="15987" xr:uid="{11E50968-E6DD-4EE9-A1DB-DA3D1B07B3FF}"/>
    <cellStyle name="40% - Accent3 2 3 3 2 3" xfId="20210" xr:uid="{4C01497D-842B-4C2F-A112-28C7F31EE703}"/>
    <cellStyle name="40% - Accent3 2 3 3 2 4" xfId="28657" xr:uid="{70A915C7-2341-4274-9972-07425E52B511}"/>
    <cellStyle name="40% - Accent3 2 3 3 2 5" xfId="11769" xr:uid="{70955B63-CAD4-4CA4-8845-AF8016DC57AE}"/>
    <cellStyle name="40% - Accent3 2 3 3 3" xfId="5400" xr:uid="{00000000-0005-0000-0000-000033050000}"/>
    <cellStyle name="40% - Accent3 2 3 3 3 2" xfId="22283" xr:uid="{7873BB35-7364-4B66-8A0A-4961C9FDF877}"/>
    <cellStyle name="40% - Accent3 2 3 3 3 3" xfId="30729" xr:uid="{EE725B35-0852-42AB-AE11-4D1C0A901832}"/>
    <cellStyle name="40% - Accent3 2 3 3 3 4" xfId="13842" xr:uid="{37E583BD-B698-4A3F-915A-79AC00BF1B7A}"/>
    <cellStyle name="40% - Accent3 2 3 3 4" xfId="18065" xr:uid="{5BDFB182-0548-428E-AF49-4F8C364BB3BF}"/>
    <cellStyle name="40% - Accent3 2 3 3 5" xfId="26510" xr:uid="{99CFAD0B-0AF7-410F-BE46-F56AC90C54DE}"/>
    <cellStyle name="40% - Accent3 2 3 3 6" xfId="9624" xr:uid="{7D863D19-C67E-4456-9DF1-9D331060BCBB}"/>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24841" xr:uid="{470AD27D-59C0-472F-B7A8-2C1DDF47182D}"/>
    <cellStyle name="40% - Accent3 2 3 4 2 2 3" xfId="33287" xr:uid="{0F353906-30EC-4E65-8D6F-4FC88C16D74C}"/>
    <cellStyle name="40% - Accent3 2 3 4 2 2 4" xfId="16400" xr:uid="{A9E15E81-D27A-4549-891F-3BC846BC6E19}"/>
    <cellStyle name="40% - Accent3 2 3 4 2 3" xfId="20623" xr:uid="{BBEAA09A-6216-40D7-BDEC-B1C00D906868}"/>
    <cellStyle name="40% - Accent3 2 3 4 2 4" xfId="29070" xr:uid="{9893ADDC-4106-4F96-83E8-F6687BEA5A76}"/>
    <cellStyle name="40% - Accent3 2 3 4 2 5" xfId="12182" xr:uid="{F024BA14-53E8-4E88-9FB6-00BEE4C3CB70}"/>
    <cellStyle name="40% - Accent3 2 3 4 3" xfId="5813" xr:uid="{00000000-0005-0000-0000-000037050000}"/>
    <cellStyle name="40% - Accent3 2 3 4 3 2" xfId="22696" xr:uid="{FF6B8995-D74B-47A6-A398-76E05AC51416}"/>
    <cellStyle name="40% - Accent3 2 3 4 3 3" xfId="31142" xr:uid="{AAAC5653-0732-43EA-938B-02EE4AEC5062}"/>
    <cellStyle name="40% - Accent3 2 3 4 3 4" xfId="14255" xr:uid="{635C182B-55A1-46E4-8ED5-DE5BDFDB7D92}"/>
    <cellStyle name="40% - Accent3 2 3 4 4" xfId="18478" xr:uid="{ADBBC1F8-2DCF-4994-8F1F-8784828171F5}"/>
    <cellStyle name="40% - Accent3 2 3 4 5" xfId="26923" xr:uid="{3A34D7A9-8EDE-4A33-B81C-BF1F6593F90F}"/>
    <cellStyle name="40% - Accent3 2 3 4 6" xfId="10037" xr:uid="{5EFF1197-26DD-4F6B-A671-FB22E5705D4E}"/>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25254" xr:uid="{550CCD26-773D-4F00-BDCA-D62A570CAFE1}"/>
    <cellStyle name="40% - Accent3 2 3 5 2 2 3" xfId="33700" xr:uid="{8B82BDC5-FB85-431A-919E-9A5EEFDBD948}"/>
    <cellStyle name="40% - Accent3 2 3 5 2 2 4" xfId="16813" xr:uid="{F228BEC9-063A-4CEB-B5B2-6B9348800B87}"/>
    <cellStyle name="40% - Accent3 2 3 5 2 3" xfId="21036" xr:uid="{296BACEF-6915-4476-B7F3-EB9994AA4EB7}"/>
    <cellStyle name="40% - Accent3 2 3 5 2 4" xfId="29483" xr:uid="{D80174BD-0E6A-4ABF-847C-59A2E5A2D29F}"/>
    <cellStyle name="40% - Accent3 2 3 5 2 5" xfId="12595" xr:uid="{F8A7B98E-C6A2-48AB-89DF-81EB5300C8A3}"/>
    <cellStyle name="40% - Accent3 2 3 5 3" xfId="6226" xr:uid="{00000000-0005-0000-0000-00003B050000}"/>
    <cellStyle name="40% - Accent3 2 3 5 3 2" xfId="23109" xr:uid="{0AD5C9BE-8220-4670-B9F0-6D9E55238190}"/>
    <cellStyle name="40% - Accent3 2 3 5 3 3" xfId="31555" xr:uid="{E3F38B11-E8AE-4AE2-968A-898A7AD1E411}"/>
    <cellStyle name="40% - Accent3 2 3 5 3 4" xfId="14668" xr:uid="{C06F4483-EDD0-49C5-BF4B-049AF3A03BA3}"/>
    <cellStyle name="40% - Accent3 2 3 5 4" xfId="18891" xr:uid="{3AF620D9-037F-46E9-8F81-618412E481E2}"/>
    <cellStyle name="40% - Accent3 2 3 5 5" xfId="27336" xr:uid="{F75286D6-941B-4DAE-9356-7A5A59EB63C8}"/>
    <cellStyle name="40% - Accent3 2 3 5 6" xfId="10450" xr:uid="{59946607-CCAF-47DC-ACDB-5D9C75316688}"/>
    <cellStyle name="40% - Accent3 2 3 6" xfId="2332" xr:uid="{00000000-0005-0000-0000-00003C050000}"/>
    <cellStyle name="40% - Accent3 2 3 6 2" xfId="6639" xr:uid="{00000000-0005-0000-0000-00003D050000}"/>
    <cellStyle name="40% - Accent3 2 3 6 2 2" xfId="23522" xr:uid="{3A315D22-31D6-400A-84AF-E4AD58D679C2}"/>
    <cellStyle name="40% - Accent3 2 3 6 2 3" xfId="31968" xr:uid="{711BD128-E2EE-4E56-B196-97884D55D160}"/>
    <cellStyle name="40% - Accent3 2 3 6 2 4" xfId="15081" xr:uid="{2340E44E-9AED-4552-A063-7455C06CBDD0}"/>
    <cellStyle name="40% - Accent3 2 3 6 3" xfId="19304" xr:uid="{8086462B-AE68-40E9-A465-07C985EC240B}"/>
    <cellStyle name="40% - Accent3 2 3 6 4" xfId="27749" xr:uid="{E41161E7-0254-4B24-8F0B-0FC986787EA1}"/>
    <cellStyle name="40% - Accent3 2 3 6 5" xfId="10863" xr:uid="{0CF3A889-E2AE-44D6-B236-391EC6717950}"/>
    <cellStyle name="40% - Accent3 2 3 7" xfId="4573" xr:uid="{00000000-0005-0000-0000-00003E050000}"/>
    <cellStyle name="40% - Accent3 2 3 7 2" xfId="21456" xr:uid="{AD265110-F50D-4022-AE4C-221BFA75A191}"/>
    <cellStyle name="40% - Accent3 2 3 7 3" xfId="29902" xr:uid="{9BD63BAF-96A3-407D-B5EE-96A8DF0E6F04}"/>
    <cellStyle name="40% - Accent3 2 3 7 4" xfId="13015" xr:uid="{D6D49837-DEDC-4E83-B9CD-64B18316F34E}"/>
    <cellStyle name="40% - Accent3 2 3 8" xfId="17238" xr:uid="{201DF015-C91A-427D-BE16-79A76072BA36}"/>
    <cellStyle name="40% - Accent3 2 3 9" xfId="25680" xr:uid="{94C532C9-A9A1-4209-8021-C827E891B7C6}"/>
    <cellStyle name="40% - Accent3 2 4" xfId="635" xr:uid="{00000000-0005-0000-0000-00003F050000}"/>
    <cellStyle name="40% - Accent3 2 4 2" xfId="2906" xr:uid="{00000000-0005-0000-0000-000040050000}"/>
    <cellStyle name="40% - Accent3 2 4 2 2" xfId="7129" xr:uid="{00000000-0005-0000-0000-000041050000}"/>
    <cellStyle name="40% - Accent3 2 4 2 2 2" xfId="24012" xr:uid="{19898F99-472B-49B5-B0DC-0BEDBA68D052}"/>
    <cellStyle name="40% - Accent3 2 4 2 2 3" xfId="32458" xr:uid="{928EBCD1-9302-4F14-9F3D-2FB680B5C4EE}"/>
    <cellStyle name="40% - Accent3 2 4 2 2 4" xfId="15571" xr:uid="{74F3C93B-F9FA-4032-BFB6-D6749B774913}"/>
    <cellStyle name="40% - Accent3 2 4 2 3" xfId="19794" xr:uid="{26372EBE-50BF-4B04-AD6B-65F4B46016BC}"/>
    <cellStyle name="40% - Accent3 2 4 2 4" xfId="28241" xr:uid="{B19AF06E-3974-4ACB-A7CB-D6ED67440428}"/>
    <cellStyle name="40% - Accent3 2 4 2 5" xfId="11353" xr:uid="{E7A36943-6A47-4AD0-B8ED-844E21F1D958}"/>
    <cellStyle name="40% - Accent3 2 4 3" xfId="4984" xr:uid="{00000000-0005-0000-0000-000042050000}"/>
    <cellStyle name="40% - Accent3 2 4 3 2" xfId="21867" xr:uid="{79AAE6EE-C727-4765-AAB4-44DD93A7A9A2}"/>
    <cellStyle name="40% - Accent3 2 4 3 3" xfId="30313" xr:uid="{F9E12FF7-8BF5-4119-BF0A-1FC16E35CC46}"/>
    <cellStyle name="40% - Accent3 2 4 3 4" xfId="13426" xr:uid="{1804814F-8A7A-4EB4-8B36-3AA841833DA3}"/>
    <cellStyle name="40% - Accent3 2 4 4" xfId="17649" xr:uid="{8E07D693-EBEF-435A-9B58-4975831BEFB1}"/>
    <cellStyle name="40% - Accent3 2 4 5" xfId="26094" xr:uid="{23568BD0-CAEB-4EED-8932-B1D617BE31B3}"/>
    <cellStyle name="40% - Accent3 2 4 6" xfId="9208" xr:uid="{923E1B49-86F8-4309-810A-EC0C7AFE2C11}"/>
    <cellStyle name="40% - Accent3 2 5" xfId="1088" xr:uid="{00000000-0005-0000-0000-000043050000}"/>
    <cellStyle name="40% - Accent3 2 5 2" xfId="3319" xr:uid="{00000000-0005-0000-0000-000044050000}"/>
    <cellStyle name="40% - Accent3 2 5 2 2" xfId="7542" xr:uid="{00000000-0005-0000-0000-000045050000}"/>
    <cellStyle name="40% - Accent3 2 5 2 2 2" xfId="24425" xr:uid="{AF37BA7D-1772-43BE-B1B0-26857AFE735E}"/>
    <cellStyle name="40% - Accent3 2 5 2 2 3" xfId="32871" xr:uid="{A649ECB0-C5E1-4FF4-BB9D-A8A01EE7E3D0}"/>
    <cellStyle name="40% - Accent3 2 5 2 2 4" xfId="15984" xr:uid="{3AA75612-5CD7-4404-93B8-8168423B7E13}"/>
    <cellStyle name="40% - Accent3 2 5 2 3" xfId="20207" xr:uid="{277AFE54-8401-4B12-A841-1683E81415E5}"/>
    <cellStyle name="40% - Accent3 2 5 2 4" xfId="28654" xr:uid="{1D636EC2-168C-4366-876A-91C0DE98FA05}"/>
    <cellStyle name="40% - Accent3 2 5 2 5" xfId="11766" xr:uid="{0344C094-48F7-4A06-A127-5BAF54211146}"/>
    <cellStyle name="40% - Accent3 2 5 3" xfId="5397" xr:uid="{00000000-0005-0000-0000-000046050000}"/>
    <cellStyle name="40% - Accent3 2 5 3 2" xfId="22280" xr:uid="{CF922514-F8F8-45C9-9586-8587D50ABE68}"/>
    <cellStyle name="40% - Accent3 2 5 3 3" xfId="30726" xr:uid="{586F9BC4-9CC9-4DDD-8C41-3F6124C0AB94}"/>
    <cellStyle name="40% - Accent3 2 5 3 4" xfId="13839" xr:uid="{9ECA7417-9B6A-4DC8-AE7A-663E88C35CBA}"/>
    <cellStyle name="40% - Accent3 2 5 4" xfId="18062" xr:uid="{FE4D1F52-22A9-4A31-84E6-B81A5100C3F8}"/>
    <cellStyle name="40% - Accent3 2 5 5" xfId="26507" xr:uid="{39B7CB62-AC19-46FF-A222-DB6953988724}"/>
    <cellStyle name="40% - Accent3 2 5 6" xfId="9621" xr:uid="{CD5BA9F4-1FA9-4508-BAA1-E3CC493B45D8}"/>
    <cellStyle name="40% - Accent3 2 6" xfId="1502" xr:uid="{00000000-0005-0000-0000-000047050000}"/>
    <cellStyle name="40% - Accent3 2 6 2" xfId="3732" xr:uid="{00000000-0005-0000-0000-000048050000}"/>
    <cellStyle name="40% - Accent3 2 6 2 2" xfId="7955" xr:uid="{00000000-0005-0000-0000-000049050000}"/>
    <cellStyle name="40% - Accent3 2 6 2 2 2" xfId="24838" xr:uid="{8EA0E3FD-C718-405F-B536-BD768E66FFF7}"/>
    <cellStyle name="40% - Accent3 2 6 2 2 3" xfId="33284" xr:uid="{A6527C65-DFBC-4091-BC5E-F7BD41D0A3A3}"/>
    <cellStyle name="40% - Accent3 2 6 2 2 4" xfId="16397" xr:uid="{53B8476A-FEE4-4046-9400-8831A95DF3F3}"/>
    <cellStyle name="40% - Accent3 2 6 2 3" xfId="20620" xr:uid="{A4044F93-BCFA-4C5F-A03A-D70338486DB2}"/>
    <cellStyle name="40% - Accent3 2 6 2 4" xfId="29067" xr:uid="{AD78E7E8-BE5E-4C1B-B768-F933A35B4FFB}"/>
    <cellStyle name="40% - Accent3 2 6 2 5" xfId="12179" xr:uid="{EA8248E0-59F0-4758-A7A8-A66905730855}"/>
    <cellStyle name="40% - Accent3 2 6 3" xfId="5810" xr:uid="{00000000-0005-0000-0000-00004A050000}"/>
    <cellStyle name="40% - Accent3 2 6 3 2" xfId="22693" xr:uid="{6C078C64-9A72-4DB2-BA3C-3A810F1FEFD3}"/>
    <cellStyle name="40% - Accent3 2 6 3 3" xfId="31139" xr:uid="{51A58F4B-B784-4ED4-892E-E10F0622C84C}"/>
    <cellStyle name="40% - Accent3 2 6 3 4" xfId="14252" xr:uid="{5913985B-4148-49F3-8EE1-66243B6EB7DA}"/>
    <cellStyle name="40% - Accent3 2 6 4" xfId="18475" xr:uid="{77AAB040-5105-40EF-9985-D503FB3002C9}"/>
    <cellStyle name="40% - Accent3 2 6 5" xfId="26920" xr:uid="{BA7B9C67-603C-4DB7-8D08-F11873CB7AC6}"/>
    <cellStyle name="40% - Accent3 2 6 6" xfId="10034" xr:uid="{C6307C29-2662-4DAC-A41E-68A4BDF93437}"/>
    <cellStyle name="40% - Accent3 2 7" xfId="1916" xr:uid="{00000000-0005-0000-0000-00004B050000}"/>
    <cellStyle name="40% - Accent3 2 7 2" xfId="4145" xr:uid="{00000000-0005-0000-0000-00004C050000}"/>
    <cellStyle name="40% - Accent3 2 7 2 2" xfId="8368" xr:uid="{00000000-0005-0000-0000-00004D050000}"/>
    <cellStyle name="40% - Accent3 2 7 2 2 2" xfId="25251" xr:uid="{BCA935CD-2C6C-4F17-A417-6A7B702DD234}"/>
    <cellStyle name="40% - Accent3 2 7 2 2 3" xfId="33697" xr:uid="{EA8E617F-B82D-481D-A794-00428F840FC0}"/>
    <cellStyle name="40% - Accent3 2 7 2 2 4" xfId="16810" xr:uid="{F9C7F7C7-C2F6-411B-A202-0D621E807712}"/>
    <cellStyle name="40% - Accent3 2 7 2 3" xfId="21033" xr:uid="{B58623E7-CFBE-478F-90BC-EC4C3AC50BB5}"/>
    <cellStyle name="40% - Accent3 2 7 2 4" xfId="29480" xr:uid="{6C51033B-8CBA-4D9E-8305-288D23BB4EED}"/>
    <cellStyle name="40% - Accent3 2 7 2 5" xfId="12592" xr:uid="{E6E9A70B-A37F-4B41-A6FB-E7DE2D540DB8}"/>
    <cellStyle name="40% - Accent3 2 7 3" xfId="6223" xr:uid="{00000000-0005-0000-0000-00004E050000}"/>
    <cellStyle name="40% - Accent3 2 7 3 2" xfId="23106" xr:uid="{55E3238E-AA9F-400C-8C7E-1C9DE1937099}"/>
    <cellStyle name="40% - Accent3 2 7 3 3" xfId="31552" xr:uid="{CED3311A-6B86-43D4-95BE-D820C6E7D266}"/>
    <cellStyle name="40% - Accent3 2 7 3 4" xfId="14665" xr:uid="{348AEEB0-347B-42D2-9B30-2C0CBD855917}"/>
    <cellStyle name="40% - Accent3 2 7 4" xfId="18888" xr:uid="{8D36EB29-3746-4A58-BB5A-9CD7A8C40279}"/>
    <cellStyle name="40% - Accent3 2 7 5" xfId="27333" xr:uid="{BF967D1A-DAC4-46D1-A3C4-687F6E06A380}"/>
    <cellStyle name="40% - Accent3 2 7 6" xfId="10447" xr:uid="{659A676B-301F-4112-B89E-1978FE68A7B5}"/>
    <cellStyle name="40% - Accent3 2 8" xfId="2329" xr:uid="{00000000-0005-0000-0000-00004F050000}"/>
    <cellStyle name="40% - Accent3 2 8 2" xfId="6636" xr:uid="{00000000-0005-0000-0000-000050050000}"/>
    <cellStyle name="40% - Accent3 2 8 2 2" xfId="23519" xr:uid="{11A0146B-2078-4983-925B-1E8A02558FA5}"/>
    <cellStyle name="40% - Accent3 2 8 2 3" xfId="31965" xr:uid="{A090CEB7-D1FD-4733-BB48-EDE15B5A5CFD}"/>
    <cellStyle name="40% - Accent3 2 8 2 4" xfId="15078" xr:uid="{A19585B0-E7D9-4BD2-853D-5EBEF57090F1}"/>
    <cellStyle name="40% - Accent3 2 8 3" xfId="19301" xr:uid="{FFF478CB-412E-4455-937C-A28CE292A0F5}"/>
    <cellStyle name="40% - Accent3 2 8 4" xfId="27746" xr:uid="{6BF34148-CB6A-441D-A2BF-1D5950D422A2}"/>
    <cellStyle name="40% - Accent3 2 8 5" xfId="10860" xr:uid="{08475DE5-F1B2-42DE-BF14-DDA355846795}"/>
    <cellStyle name="40% - Accent3 2 9" xfId="4570" xr:uid="{00000000-0005-0000-0000-000051050000}"/>
    <cellStyle name="40% - Accent3 2 9 2" xfId="21453" xr:uid="{FBA94B78-1F2A-458F-9122-4876184F2162}"/>
    <cellStyle name="40% - Accent3 2 9 3" xfId="29899" xr:uid="{3D727FA1-4846-4B0D-B17C-513CB42904BD}"/>
    <cellStyle name="40% - Accent3 2 9 4" xfId="13012" xr:uid="{7004ADC1-9173-454B-86B5-9056FA0FB5A8}"/>
    <cellStyle name="40% - Accent3 3" xfId="70" xr:uid="{00000000-0005-0000-0000-000052050000}"/>
    <cellStyle name="40% - Accent3 3 10" xfId="25681" xr:uid="{D87DDA72-5B44-4A5B-8FF6-494AC6CD691F}"/>
    <cellStyle name="40% - Accent3 3 11" xfId="8798" xr:uid="{427A26A0-8AF4-40A7-9249-63465D91A23F}"/>
    <cellStyle name="40% - Accent3 3 2" xfId="71" xr:uid="{00000000-0005-0000-0000-000053050000}"/>
    <cellStyle name="40% - Accent3 3 2 10" xfId="8799" xr:uid="{0B42787C-6026-4BD4-BA81-020D0E08EA98}"/>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24017" xr:uid="{905D18B2-DE3A-4A83-812D-5E914C71D0CC}"/>
    <cellStyle name="40% - Accent3 3 2 2 2 2 3" xfId="32463" xr:uid="{FE785064-6F6F-49C3-8444-BC3D86A7AD90}"/>
    <cellStyle name="40% - Accent3 3 2 2 2 2 4" xfId="15576" xr:uid="{8A6FAB81-6607-4837-9093-03BC38151303}"/>
    <cellStyle name="40% - Accent3 3 2 2 2 3" xfId="19799" xr:uid="{21B6F0BC-B0C1-4DD0-B96A-480686FB0514}"/>
    <cellStyle name="40% - Accent3 3 2 2 2 4" xfId="28246" xr:uid="{0D26DCE1-E371-4F00-82BF-ABB396787EBC}"/>
    <cellStyle name="40% - Accent3 3 2 2 2 5" xfId="11358" xr:uid="{A467C276-32CD-49C1-B2CF-E4CFA7611839}"/>
    <cellStyle name="40% - Accent3 3 2 2 3" xfId="4989" xr:uid="{00000000-0005-0000-0000-000057050000}"/>
    <cellStyle name="40% - Accent3 3 2 2 3 2" xfId="21872" xr:uid="{D6A1EA5C-E567-47D0-81BD-5981AAC0C0F1}"/>
    <cellStyle name="40% - Accent3 3 2 2 3 3" xfId="30318" xr:uid="{E3FFEC58-88C4-46BE-992C-AB88942924C2}"/>
    <cellStyle name="40% - Accent3 3 2 2 3 4" xfId="13431" xr:uid="{B3BCD575-D93F-45BA-880F-FA4B5837F4E6}"/>
    <cellStyle name="40% - Accent3 3 2 2 4" xfId="17654" xr:uid="{7563FEB5-5239-4BAF-9A9A-69BC910D9DD7}"/>
    <cellStyle name="40% - Accent3 3 2 2 5" xfId="26099" xr:uid="{415523D7-725D-4E1B-9DFF-C5683A9F6CF1}"/>
    <cellStyle name="40% - Accent3 3 2 2 6" xfId="9213" xr:uid="{D954F48B-0FB3-4299-B16D-2485ACD94000}"/>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24430" xr:uid="{095DF997-BCD2-4091-9C41-AEA7423223F7}"/>
    <cellStyle name="40% - Accent3 3 2 3 2 2 3" xfId="32876" xr:uid="{D33E8173-B62D-40F1-B5A8-BD4E8E08531B}"/>
    <cellStyle name="40% - Accent3 3 2 3 2 2 4" xfId="15989" xr:uid="{D7480B6F-E3B7-4036-82AC-223E27F9C193}"/>
    <cellStyle name="40% - Accent3 3 2 3 2 3" xfId="20212" xr:uid="{8D77CA0A-E157-47BF-A894-6EFD2712D04E}"/>
    <cellStyle name="40% - Accent3 3 2 3 2 4" xfId="28659" xr:uid="{1DB58934-1585-4C67-A0E3-7C978249B227}"/>
    <cellStyle name="40% - Accent3 3 2 3 2 5" xfId="11771" xr:uid="{54546447-69FE-4522-A96F-097E7143555D}"/>
    <cellStyle name="40% - Accent3 3 2 3 3" xfId="5402" xr:uid="{00000000-0005-0000-0000-00005B050000}"/>
    <cellStyle name="40% - Accent3 3 2 3 3 2" xfId="22285" xr:uid="{92D07826-FE10-4721-9309-09286D2085E0}"/>
    <cellStyle name="40% - Accent3 3 2 3 3 3" xfId="30731" xr:uid="{560BEC30-3321-4695-BF9F-DCCBD8FDD238}"/>
    <cellStyle name="40% - Accent3 3 2 3 3 4" xfId="13844" xr:uid="{E769713E-ACCC-4C86-920F-916F0BDDA7E1}"/>
    <cellStyle name="40% - Accent3 3 2 3 4" xfId="18067" xr:uid="{867C1C41-BF6A-4ECE-BA0B-F1BAD79B3446}"/>
    <cellStyle name="40% - Accent3 3 2 3 5" xfId="26512" xr:uid="{AC479767-047D-4FDD-9794-699168064757}"/>
    <cellStyle name="40% - Accent3 3 2 3 6" xfId="9626" xr:uid="{7C813898-D7E7-4045-8278-1F9FCE37FAB3}"/>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24843" xr:uid="{997D443B-319D-4016-B53D-7261CB0BDAF4}"/>
    <cellStyle name="40% - Accent3 3 2 4 2 2 3" xfId="33289" xr:uid="{6E080D88-85B5-49CF-9099-03A7FEECA54E}"/>
    <cellStyle name="40% - Accent3 3 2 4 2 2 4" xfId="16402" xr:uid="{F7E1624C-8BB4-4033-8C77-7617DE2C1F81}"/>
    <cellStyle name="40% - Accent3 3 2 4 2 3" xfId="20625" xr:uid="{9372BC2D-28D7-4AD2-A43A-3688EFA46694}"/>
    <cellStyle name="40% - Accent3 3 2 4 2 4" xfId="29072" xr:uid="{3EA92076-1CB3-4FE4-AD13-5C53ED9136B3}"/>
    <cellStyle name="40% - Accent3 3 2 4 2 5" xfId="12184" xr:uid="{3BCFE954-E62E-4940-99B6-0F48EF3F2AFF}"/>
    <cellStyle name="40% - Accent3 3 2 4 3" xfId="5815" xr:uid="{00000000-0005-0000-0000-00005F050000}"/>
    <cellStyle name="40% - Accent3 3 2 4 3 2" xfId="22698" xr:uid="{DB1F7DBD-F655-4743-A62B-BFD88A98EF95}"/>
    <cellStyle name="40% - Accent3 3 2 4 3 3" xfId="31144" xr:uid="{46B8DE9E-7540-46ED-A1BD-6E54444365F2}"/>
    <cellStyle name="40% - Accent3 3 2 4 3 4" xfId="14257" xr:uid="{A0B7BBD7-42AC-473E-BDD7-1630D0E6E9B8}"/>
    <cellStyle name="40% - Accent3 3 2 4 4" xfId="18480" xr:uid="{C0BF31A5-0D87-4B68-BD62-2F23CBB3D18A}"/>
    <cellStyle name="40% - Accent3 3 2 4 5" xfId="26925" xr:uid="{D5FD7D07-A4CC-46C2-91AF-7B4F17EC13F2}"/>
    <cellStyle name="40% - Accent3 3 2 4 6" xfId="10039" xr:uid="{EAE3FB62-3531-4535-9B8C-C91ACAB1C87A}"/>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25256" xr:uid="{372CD1EB-6B58-4BE5-82DB-D4853BD1F3E4}"/>
    <cellStyle name="40% - Accent3 3 2 5 2 2 3" xfId="33702" xr:uid="{6BEFE3B9-EABE-4663-80E0-7A7D266B32F4}"/>
    <cellStyle name="40% - Accent3 3 2 5 2 2 4" xfId="16815" xr:uid="{9508263A-B5AA-41D9-8467-C8E52FFCD5C2}"/>
    <cellStyle name="40% - Accent3 3 2 5 2 3" xfId="21038" xr:uid="{DF5B3046-62F0-4C24-8F1D-881CA3052F1A}"/>
    <cellStyle name="40% - Accent3 3 2 5 2 4" xfId="29485" xr:uid="{F294BB5A-8E98-490B-BE2F-77B612132ADD}"/>
    <cellStyle name="40% - Accent3 3 2 5 2 5" xfId="12597" xr:uid="{90258501-1F04-4EC0-BCB5-72ECD799D205}"/>
    <cellStyle name="40% - Accent3 3 2 5 3" xfId="6228" xr:uid="{00000000-0005-0000-0000-000063050000}"/>
    <cellStyle name="40% - Accent3 3 2 5 3 2" xfId="23111" xr:uid="{F97501E0-2013-4954-9478-268F12095575}"/>
    <cellStyle name="40% - Accent3 3 2 5 3 3" xfId="31557" xr:uid="{5BD6778B-B5D0-445B-9C26-5A6068BDC243}"/>
    <cellStyle name="40% - Accent3 3 2 5 3 4" xfId="14670" xr:uid="{3BD67598-9CAA-43E5-B240-1E0757F3997B}"/>
    <cellStyle name="40% - Accent3 3 2 5 4" xfId="18893" xr:uid="{3CA07F7C-1468-4135-8269-E57AE6B84752}"/>
    <cellStyle name="40% - Accent3 3 2 5 5" xfId="27338" xr:uid="{1E5E3ECB-CCD1-4E96-93F9-10EF5392B588}"/>
    <cellStyle name="40% - Accent3 3 2 5 6" xfId="10452" xr:uid="{D7522948-EB62-4204-BAEE-20E3EA636576}"/>
    <cellStyle name="40% - Accent3 3 2 6" xfId="2334" xr:uid="{00000000-0005-0000-0000-000064050000}"/>
    <cellStyle name="40% - Accent3 3 2 6 2" xfId="6641" xr:uid="{00000000-0005-0000-0000-000065050000}"/>
    <cellStyle name="40% - Accent3 3 2 6 2 2" xfId="23524" xr:uid="{919C9365-47A7-49E4-A370-FDFCE8561C1D}"/>
    <cellStyle name="40% - Accent3 3 2 6 2 3" xfId="31970" xr:uid="{2768682B-63E0-4674-B471-742EC5FD08FD}"/>
    <cellStyle name="40% - Accent3 3 2 6 2 4" xfId="15083" xr:uid="{FAFBD9C7-FBAF-4CA3-9D44-DF2E57E85A38}"/>
    <cellStyle name="40% - Accent3 3 2 6 3" xfId="19306" xr:uid="{B1F7B3EE-288C-4570-A4A9-F22A03778E4A}"/>
    <cellStyle name="40% - Accent3 3 2 6 4" xfId="27751" xr:uid="{702B9E61-31F3-46D3-8663-14AF6C73803B}"/>
    <cellStyle name="40% - Accent3 3 2 6 5" xfId="10865" xr:uid="{6FA86AD9-5303-4C5F-9495-69B1E9BF1B98}"/>
    <cellStyle name="40% - Accent3 3 2 7" xfId="4575" xr:uid="{00000000-0005-0000-0000-000066050000}"/>
    <cellStyle name="40% - Accent3 3 2 7 2" xfId="21458" xr:uid="{AFDCAEC5-20E8-4922-A071-C3BE84AAE8AB}"/>
    <cellStyle name="40% - Accent3 3 2 7 3" xfId="29904" xr:uid="{0B920E2E-2212-43ED-BD60-EAEC8D1EB632}"/>
    <cellStyle name="40% - Accent3 3 2 7 4" xfId="13017" xr:uid="{3664E9BA-DAE6-419B-8A10-DB31958E749C}"/>
    <cellStyle name="40% - Accent3 3 2 8" xfId="17240" xr:uid="{6FB1F791-E506-4AE0-9FDB-D0101D7EA592}"/>
    <cellStyle name="40% - Accent3 3 2 9" xfId="25682" xr:uid="{B705A4F5-3D65-4480-9882-39F76E831AD9}"/>
    <cellStyle name="40% - Accent3 3 3" xfId="639" xr:uid="{00000000-0005-0000-0000-000067050000}"/>
    <cellStyle name="40% - Accent3 3 3 2" xfId="2910" xr:uid="{00000000-0005-0000-0000-000068050000}"/>
    <cellStyle name="40% - Accent3 3 3 2 2" xfId="7133" xr:uid="{00000000-0005-0000-0000-000069050000}"/>
    <cellStyle name="40% - Accent3 3 3 2 2 2" xfId="24016" xr:uid="{93E4EB60-70B8-4A95-B9A0-BECE44A15886}"/>
    <cellStyle name="40% - Accent3 3 3 2 2 3" xfId="32462" xr:uid="{BCE1EA8B-24AE-4680-8C7A-1814BBAF944D}"/>
    <cellStyle name="40% - Accent3 3 3 2 2 4" xfId="15575" xr:uid="{AD73B287-E307-4A1F-8A3D-76A44B91F70B}"/>
    <cellStyle name="40% - Accent3 3 3 2 3" xfId="19798" xr:uid="{3E031D58-5637-43B3-9E24-71D70FE9BF4E}"/>
    <cellStyle name="40% - Accent3 3 3 2 4" xfId="28245" xr:uid="{9AA564E7-F975-45FC-A153-3B78ED535342}"/>
    <cellStyle name="40% - Accent3 3 3 2 5" xfId="11357" xr:uid="{DDD0ADAA-2734-461E-A283-BBF6E7E3136F}"/>
    <cellStyle name="40% - Accent3 3 3 3" xfId="4988" xr:uid="{00000000-0005-0000-0000-00006A050000}"/>
    <cellStyle name="40% - Accent3 3 3 3 2" xfId="21871" xr:uid="{4BB5E1F9-8632-4B90-895A-6C7434CB2C26}"/>
    <cellStyle name="40% - Accent3 3 3 3 3" xfId="30317" xr:uid="{AD47336A-271B-4EBB-9A8A-EE0D7AB02732}"/>
    <cellStyle name="40% - Accent3 3 3 3 4" xfId="13430" xr:uid="{A8D154EC-7005-4C28-9F40-5AA9D48D1AB6}"/>
    <cellStyle name="40% - Accent3 3 3 4" xfId="17653" xr:uid="{122D3D68-7BE3-45CD-887A-00FB83E03479}"/>
    <cellStyle name="40% - Accent3 3 3 5" xfId="26098" xr:uid="{40375F6D-E1D4-4E12-8D10-6CBA40A477BE}"/>
    <cellStyle name="40% - Accent3 3 3 6" xfId="9212" xr:uid="{F8B3FBDE-B968-459E-A7C9-EF46C5919A13}"/>
    <cellStyle name="40% - Accent3 3 4" xfId="1092" xr:uid="{00000000-0005-0000-0000-00006B050000}"/>
    <cellStyle name="40% - Accent3 3 4 2" xfId="3323" xr:uid="{00000000-0005-0000-0000-00006C050000}"/>
    <cellStyle name="40% - Accent3 3 4 2 2" xfId="7546" xr:uid="{00000000-0005-0000-0000-00006D050000}"/>
    <cellStyle name="40% - Accent3 3 4 2 2 2" xfId="24429" xr:uid="{DD55E90A-07B6-4C5B-B8B2-35EA11CD54D6}"/>
    <cellStyle name="40% - Accent3 3 4 2 2 3" xfId="32875" xr:uid="{3EAE1E8B-2CCB-4B18-BE7D-B7A719F10D17}"/>
    <cellStyle name="40% - Accent3 3 4 2 2 4" xfId="15988" xr:uid="{A593E35D-37ED-4ABD-A2E0-58A8D1C1FF5A}"/>
    <cellStyle name="40% - Accent3 3 4 2 3" xfId="20211" xr:uid="{45D9ABE3-AE3F-42EE-B341-15D2307CC082}"/>
    <cellStyle name="40% - Accent3 3 4 2 4" xfId="28658" xr:uid="{A414E5EC-D46B-4960-B825-DC87AB3475F6}"/>
    <cellStyle name="40% - Accent3 3 4 2 5" xfId="11770" xr:uid="{BDC9ECCC-3D40-4BAD-8D6F-B7AAAC283D7F}"/>
    <cellStyle name="40% - Accent3 3 4 3" xfId="5401" xr:uid="{00000000-0005-0000-0000-00006E050000}"/>
    <cellStyle name="40% - Accent3 3 4 3 2" xfId="22284" xr:uid="{5E1C97FD-74FD-465B-B088-F83333B471E8}"/>
    <cellStyle name="40% - Accent3 3 4 3 3" xfId="30730" xr:uid="{A3D4B90E-E6E5-4F02-9110-3602CD8BB0F0}"/>
    <cellStyle name="40% - Accent3 3 4 3 4" xfId="13843" xr:uid="{1141795D-83C7-4EA2-B33D-4178BABE2F80}"/>
    <cellStyle name="40% - Accent3 3 4 4" xfId="18066" xr:uid="{E3189B34-3356-4B8B-8AEA-F2D0ED2D0723}"/>
    <cellStyle name="40% - Accent3 3 4 5" xfId="26511" xr:uid="{A2551C07-BC26-40E0-817F-FBD9BB666D0E}"/>
    <cellStyle name="40% - Accent3 3 4 6" xfId="9625" xr:uid="{6CE51A62-1D47-44C4-83C9-7F7F7BE33531}"/>
    <cellStyle name="40% - Accent3 3 5" xfId="1506" xr:uid="{00000000-0005-0000-0000-00006F050000}"/>
    <cellStyle name="40% - Accent3 3 5 2" xfId="3736" xr:uid="{00000000-0005-0000-0000-000070050000}"/>
    <cellStyle name="40% - Accent3 3 5 2 2" xfId="7959" xr:uid="{00000000-0005-0000-0000-000071050000}"/>
    <cellStyle name="40% - Accent3 3 5 2 2 2" xfId="24842" xr:uid="{1C83E168-8157-48E8-94CA-424C5A91E539}"/>
    <cellStyle name="40% - Accent3 3 5 2 2 3" xfId="33288" xr:uid="{C4C8235B-20DA-4033-B44B-4E5980857DE4}"/>
    <cellStyle name="40% - Accent3 3 5 2 2 4" xfId="16401" xr:uid="{DBAE1E2F-FB55-4B1F-BFE9-D23CEB769C30}"/>
    <cellStyle name="40% - Accent3 3 5 2 3" xfId="20624" xr:uid="{66140A47-FF1F-4843-86ED-5E38A4A0F0BD}"/>
    <cellStyle name="40% - Accent3 3 5 2 4" xfId="29071" xr:uid="{54BA43F5-7C17-428F-941E-3B1E25A61FCE}"/>
    <cellStyle name="40% - Accent3 3 5 2 5" xfId="12183" xr:uid="{8C74C580-B933-4EC8-A28A-F0C196AA6353}"/>
    <cellStyle name="40% - Accent3 3 5 3" xfId="5814" xr:uid="{00000000-0005-0000-0000-000072050000}"/>
    <cellStyle name="40% - Accent3 3 5 3 2" xfId="22697" xr:uid="{BEC3921D-4B51-498E-911B-8834BB60E8B3}"/>
    <cellStyle name="40% - Accent3 3 5 3 3" xfId="31143" xr:uid="{021A0901-34CB-4AAC-BD67-C641ADE86DB8}"/>
    <cellStyle name="40% - Accent3 3 5 3 4" xfId="14256" xr:uid="{361304A9-2FC6-4CF4-AF2A-6C72CA3A294D}"/>
    <cellStyle name="40% - Accent3 3 5 4" xfId="18479" xr:uid="{69F4242C-ED91-4BF4-9696-D1F883219709}"/>
    <cellStyle name="40% - Accent3 3 5 5" xfId="26924" xr:uid="{EA97A3CB-14C0-45A6-9F34-35766826CBB5}"/>
    <cellStyle name="40% - Accent3 3 5 6" xfId="10038" xr:uid="{5313289C-81F0-4C1C-9524-6B7091396FE0}"/>
    <cellStyle name="40% - Accent3 3 6" xfId="1920" xr:uid="{00000000-0005-0000-0000-000073050000}"/>
    <cellStyle name="40% - Accent3 3 6 2" xfId="4149" xr:uid="{00000000-0005-0000-0000-000074050000}"/>
    <cellStyle name="40% - Accent3 3 6 2 2" xfId="8372" xr:uid="{00000000-0005-0000-0000-000075050000}"/>
    <cellStyle name="40% - Accent3 3 6 2 2 2" xfId="25255" xr:uid="{7CB285B8-1897-4E18-8FBF-E04B0235E767}"/>
    <cellStyle name="40% - Accent3 3 6 2 2 3" xfId="33701" xr:uid="{34B47B53-98B8-4DE6-B4F9-5B19C2EF5CA1}"/>
    <cellStyle name="40% - Accent3 3 6 2 2 4" xfId="16814" xr:uid="{764448AA-3CD2-4605-93B6-FA732E28FF31}"/>
    <cellStyle name="40% - Accent3 3 6 2 3" xfId="21037" xr:uid="{F5F7FCE8-83B5-4E34-86AE-490F5F73B1DB}"/>
    <cellStyle name="40% - Accent3 3 6 2 4" xfId="29484" xr:uid="{78873D0E-CB68-42FF-A9C3-29A8E7763CA9}"/>
    <cellStyle name="40% - Accent3 3 6 2 5" xfId="12596" xr:uid="{27204D45-1B9D-4896-8D4A-39122C72577C}"/>
    <cellStyle name="40% - Accent3 3 6 3" xfId="6227" xr:uid="{00000000-0005-0000-0000-000076050000}"/>
    <cellStyle name="40% - Accent3 3 6 3 2" xfId="23110" xr:uid="{303997BA-DD25-4DD3-8710-B0691A79F98A}"/>
    <cellStyle name="40% - Accent3 3 6 3 3" xfId="31556" xr:uid="{AA3B7A5A-F6D6-47C1-A089-C89E8A9325B5}"/>
    <cellStyle name="40% - Accent3 3 6 3 4" xfId="14669" xr:uid="{6600D189-BB3B-44AA-9B2E-85536854E2C8}"/>
    <cellStyle name="40% - Accent3 3 6 4" xfId="18892" xr:uid="{4E03F512-069C-42AF-B2FD-2A8535047F92}"/>
    <cellStyle name="40% - Accent3 3 6 5" xfId="27337" xr:uid="{A59DD6CE-3286-4EA6-8E35-22F8BBC8E86E}"/>
    <cellStyle name="40% - Accent3 3 6 6" xfId="10451" xr:uid="{62DDACC5-DCC9-4E1B-86C9-838966FF8DEC}"/>
    <cellStyle name="40% - Accent3 3 7" xfId="2333" xr:uid="{00000000-0005-0000-0000-000077050000}"/>
    <cellStyle name="40% - Accent3 3 7 2" xfId="6640" xr:uid="{00000000-0005-0000-0000-000078050000}"/>
    <cellStyle name="40% - Accent3 3 7 2 2" xfId="23523" xr:uid="{0DFF2BA1-BCCB-4905-A00E-A00E5D94B9B6}"/>
    <cellStyle name="40% - Accent3 3 7 2 3" xfId="31969" xr:uid="{3FDBF89E-936A-4460-B0DB-FC02005AB5B3}"/>
    <cellStyle name="40% - Accent3 3 7 2 4" xfId="15082" xr:uid="{DFDDE126-616D-4C70-AE34-56C24D53C986}"/>
    <cellStyle name="40% - Accent3 3 7 3" xfId="19305" xr:uid="{CF76AF83-02FF-433F-8C0A-704B4AAC72DC}"/>
    <cellStyle name="40% - Accent3 3 7 4" xfId="27750" xr:uid="{D44D5712-600E-45F2-9155-6291BC55FA5B}"/>
    <cellStyle name="40% - Accent3 3 7 5" xfId="10864" xr:uid="{2D2EE4E4-B5A1-4863-8BE3-F8E0CF20B6B1}"/>
    <cellStyle name="40% - Accent3 3 8" xfId="4574" xr:uid="{00000000-0005-0000-0000-000079050000}"/>
    <cellStyle name="40% - Accent3 3 8 2" xfId="21457" xr:uid="{0460817A-BC0E-4A28-822B-4738337C6DA2}"/>
    <cellStyle name="40% - Accent3 3 8 3" xfId="29903" xr:uid="{5F3041DB-093C-46C9-90CD-7C74515144D5}"/>
    <cellStyle name="40% - Accent3 3 8 4" xfId="13016" xr:uid="{76641FBE-588D-4641-A386-30BA221676F1}"/>
    <cellStyle name="40% - Accent3 3 9" xfId="17239" xr:uid="{374F5069-7FFF-4245-8C8A-ED602E0242B3}"/>
    <cellStyle name="40% - Accent3 4" xfId="72" xr:uid="{00000000-0005-0000-0000-00007A050000}"/>
    <cellStyle name="40% - Accent3 4 10" xfId="8800" xr:uid="{778B7321-2F92-46A2-A76E-428D4DCF5C1F}"/>
    <cellStyle name="40% - Accent3 4 2" xfId="641" xr:uid="{00000000-0005-0000-0000-00007B050000}"/>
    <cellStyle name="40% - Accent3 4 2 2" xfId="2912" xr:uid="{00000000-0005-0000-0000-00007C050000}"/>
    <cellStyle name="40% - Accent3 4 2 2 2" xfId="7135" xr:uid="{00000000-0005-0000-0000-00007D050000}"/>
    <cellStyle name="40% - Accent3 4 2 2 2 2" xfId="24018" xr:uid="{EAB53B0A-6F8F-411C-A460-74F766A8ADA6}"/>
    <cellStyle name="40% - Accent3 4 2 2 2 3" xfId="32464" xr:uid="{9B74DA73-0A5E-48A1-80FD-AE964BDFD89C}"/>
    <cellStyle name="40% - Accent3 4 2 2 2 4" xfId="15577" xr:uid="{39F9A3F4-B3F4-4BE3-8CC7-BE6CFFEC1D5D}"/>
    <cellStyle name="40% - Accent3 4 2 2 3" xfId="19800" xr:uid="{11D66203-4C53-48CD-A024-4EE089BD3504}"/>
    <cellStyle name="40% - Accent3 4 2 2 4" xfId="28247" xr:uid="{4951A667-68DD-4306-B511-52FC82B442CB}"/>
    <cellStyle name="40% - Accent3 4 2 2 5" xfId="11359" xr:uid="{7CEB9E81-8815-48AC-9007-FDD0064D09BC}"/>
    <cellStyle name="40% - Accent3 4 2 3" xfId="4990" xr:uid="{00000000-0005-0000-0000-00007E050000}"/>
    <cellStyle name="40% - Accent3 4 2 3 2" xfId="21873" xr:uid="{C2E3498A-7885-4518-8BD0-6C3DB0A8B61D}"/>
    <cellStyle name="40% - Accent3 4 2 3 3" xfId="30319" xr:uid="{EDCD558D-F7A3-484B-B690-FFA6E927228A}"/>
    <cellStyle name="40% - Accent3 4 2 3 4" xfId="13432" xr:uid="{CC682CEA-0099-4944-A21C-6ECA5AD9B51A}"/>
    <cellStyle name="40% - Accent3 4 2 4" xfId="17655" xr:uid="{F96F1EF6-1F06-4A16-8B8F-B711CA02695A}"/>
    <cellStyle name="40% - Accent3 4 2 5" xfId="26100" xr:uid="{2335F3A8-0FB3-4E5E-AF06-4A7E938E5FEC}"/>
    <cellStyle name="40% - Accent3 4 2 6" xfId="9214" xr:uid="{41838A26-1EEE-44A2-93EE-B65E1D7CF7C9}"/>
    <cellStyle name="40% - Accent3 4 3" xfId="1094" xr:uid="{00000000-0005-0000-0000-00007F050000}"/>
    <cellStyle name="40% - Accent3 4 3 2" xfId="3325" xr:uid="{00000000-0005-0000-0000-000080050000}"/>
    <cellStyle name="40% - Accent3 4 3 2 2" xfId="7548" xr:uid="{00000000-0005-0000-0000-000081050000}"/>
    <cellStyle name="40% - Accent3 4 3 2 2 2" xfId="24431" xr:uid="{6699338C-2250-497F-8582-D565A97B7A99}"/>
    <cellStyle name="40% - Accent3 4 3 2 2 3" xfId="32877" xr:uid="{257BE652-6E1C-4977-BE6E-3CEA95C20084}"/>
    <cellStyle name="40% - Accent3 4 3 2 2 4" xfId="15990" xr:uid="{A6B13DF3-EDF6-4B34-8CAE-C1C0657BFD7C}"/>
    <cellStyle name="40% - Accent3 4 3 2 3" xfId="20213" xr:uid="{6266F886-EB6E-4708-9B5C-DB46C3FAAAB3}"/>
    <cellStyle name="40% - Accent3 4 3 2 4" xfId="28660" xr:uid="{5B3ED6E6-DF87-4E1E-9082-40B3DB927BD4}"/>
    <cellStyle name="40% - Accent3 4 3 2 5" xfId="11772" xr:uid="{A5A0134E-5F27-4F7A-96AE-B40CC3513A1E}"/>
    <cellStyle name="40% - Accent3 4 3 3" xfId="5403" xr:uid="{00000000-0005-0000-0000-000082050000}"/>
    <cellStyle name="40% - Accent3 4 3 3 2" xfId="22286" xr:uid="{75E929C6-2AFD-4867-A373-4B079C0DEAE2}"/>
    <cellStyle name="40% - Accent3 4 3 3 3" xfId="30732" xr:uid="{4D219B21-875A-4A21-A5B9-5BC655F93ECF}"/>
    <cellStyle name="40% - Accent3 4 3 3 4" xfId="13845" xr:uid="{7385F76C-A0D8-4DB8-9D07-6FA40AB8FBA1}"/>
    <cellStyle name="40% - Accent3 4 3 4" xfId="18068" xr:uid="{8F1732D7-5739-4501-9247-63D17224F9FA}"/>
    <cellStyle name="40% - Accent3 4 3 5" xfId="26513" xr:uid="{2F0A7CB3-4CB7-4D9F-BA06-9BDC254A87EE}"/>
    <cellStyle name="40% - Accent3 4 3 6" xfId="9627" xr:uid="{29DB6381-BF1B-4E59-8A4E-5EE458BF83AB}"/>
    <cellStyle name="40% - Accent3 4 4" xfId="1508" xr:uid="{00000000-0005-0000-0000-000083050000}"/>
    <cellStyle name="40% - Accent3 4 4 2" xfId="3738" xr:uid="{00000000-0005-0000-0000-000084050000}"/>
    <cellStyle name="40% - Accent3 4 4 2 2" xfId="7961" xr:uid="{00000000-0005-0000-0000-000085050000}"/>
    <cellStyle name="40% - Accent3 4 4 2 2 2" xfId="24844" xr:uid="{28202740-A616-48B9-8F52-E780FB1362E0}"/>
    <cellStyle name="40% - Accent3 4 4 2 2 3" xfId="33290" xr:uid="{15A4A5F2-A454-4A66-972B-01A8E50F119C}"/>
    <cellStyle name="40% - Accent3 4 4 2 2 4" xfId="16403" xr:uid="{EDEA3B7D-B8AC-426C-B336-E03DC6DFC196}"/>
    <cellStyle name="40% - Accent3 4 4 2 3" xfId="20626" xr:uid="{D15A0A9D-EC2A-4262-8002-CABCEE91114B}"/>
    <cellStyle name="40% - Accent3 4 4 2 4" xfId="29073" xr:uid="{EC2B2378-29AE-4146-B0B0-77A4A6EE804B}"/>
    <cellStyle name="40% - Accent3 4 4 2 5" xfId="12185" xr:uid="{C2916ECD-9AA7-45B7-9BFA-B5EC24C33F6F}"/>
    <cellStyle name="40% - Accent3 4 4 3" xfId="5816" xr:uid="{00000000-0005-0000-0000-000086050000}"/>
    <cellStyle name="40% - Accent3 4 4 3 2" xfId="22699" xr:uid="{8D60176B-9589-43EF-AE40-E86F154AC38A}"/>
    <cellStyle name="40% - Accent3 4 4 3 3" xfId="31145" xr:uid="{6272BD61-61FF-491B-A3E0-22EE8C1916FA}"/>
    <cellStyle name="40% - Accent3 4 4 3 4" xfId="14258" xr:uid="{E2C39598-90C9-463F-B051-4919D44B8D4D}"/>
    <cellStyle name="40% - Accent3 4 4 4" xfId="18481" xr:uid="{225478BC-20B6-43FD-A443-E1F29D88E7F3}"/>
    <cellStyle name="40% - Accent3 4 4 5" xfId="26926" xr:uid="{DDB326FD-FBA8-4CAD-AAD3-6445E46B77EF}"/>
    <cellStyle name="40% - Accent3 4 4 6" xfId="10040" xr:uid="{4A521372-5547-4835-95FF-83769A718EE0}"/>
    <cellStyle name="40% - Accent3 4 5" xfId="1922" xr:uid="{00000000-0005-0000-0000-000087050000}"/>
    <cellStyle name="40% - Accent3 4 5 2" xfId="4151" xr:uid="{00000000-0005-0000-0000-000088050000}"/>
    <cellStyle name="40% - Accent3 4 5 2 2" xfId="8374" xr:uid="{00000000-0005-0000-0000-000089050000}"/>
    <cellStyle name="40% - Accent3 4 5 2 2 2" xfId="25257" xr:uid="{23DD8AE8-C9BB-4003-8888-71CCC143A108}"/>
    <cellStyle name="40% - Accent3 4 5 2 2 3" xfId="33703" xr:uid="{02296358-B85A-4889-91F4-0BE5F17C001A}"/>
    <cellStyle name="40% - Accent3 4 5 2 2 4" xfId="16816" xr:uid="{DFD2ABD1-6536-4DDF-9A0B-4687E4547948}"/>
    <cellStyle name="40% - Accent3 4 5 2 3" xfId="21039" xr:uid="{9AF4A698-A936-42FD-B97F-B469EC03E93E}"/>
    <cellStyle name="40% - Accent3 4 5 2 4" xfId="29486" xr:uid="{9F0115E0-8227-4E9E-9B0A-9E9EABC0029A}"/>
    <cellStyle name="40% - Accent3 4 5 2 5" xfId="12598" xr:uid="{07C5F916-3BC1-4B45-B254-67AE25FA797B}"/>
    <cellStyle name="40% - Accent3 4 5 3" xfId="6229" xr:uid="{00000000-0005-0000-0000-00008A050000}"/>
    <cellStyle name="40% - Accent3 4 5 3 2" xfId="23112" xr:uid="{163099EB-7FF3-43D7-AA31-772BA7C2685A}"/>
    <cellStyle name="40% - Accent3 4 5 3 3" xfId="31558" xr:uid="{E1FB4425-DFDD-456E-A393-A7605654827D}"/>
    <cellStyle name="40% - Accent3 4 5 3 4" xfId="14671" xr:uid="{CE2C9619-EE92-4E9B-B1A5-7AB97FA167EB}"/>
    <cellStyle name="40% - Accent3 4 5 4" xfId="18894" xr:uid="{71162DC2-31FF-488E-9AA2-15BD1732DF77}"/>
    <cellStyle name="40% - Accent3 4 5 5" xfId="27339" xr:uid="{2A865CF9-8867-407D-A634-3E1B4196CBC3}"/>
    <cellStyle name="40% - Accent3 4 5 6" xfId="10453" xr:uid="{E0098646-DFC5-4B24-AEAB-17DC8FC370DE}"/>
    <cellStyle name="40% - Accent3 4 6" xfId="2335" xr:uid="{00000000-0005-0000-0000-00008B050000}"/>
    <cellStyle name="40% - Accent3 4 6 2" xfId="6642" xr:uid="{00000000-0005-0000-0000-00008C050000}"/>
    <cellStyle name="40% - Accent3 4 6 2 2" xfId="23525" xr:uid="{3680EB5C-2AC9-4A9A-AEA5-9F0F34782B0B}"/>
    <cellStyle name="40% - Accent3 4 6 2 3" xfId="31971" xr:uid="{FD6393A9-710C-4DDC-895E-C9B25FB0AE6D}"/>
    <cellStyle name="40% - Accent3 4 6 2 4" xfId="15084" xr:uid="{DC07CFE5-7FAC-4494-B87B-FFD4FAE196BD}"/>
    <cellStyle name="40% - Accent3 4 6 3" xfId="19307" xr:uid="{3B1F8804-D7BC-49B5-8DA7-E80086357BD4}"/>
    <cellStyle name="40% - Accent3 4 6 4" xfId="27752" xr:uid="{9E03F30F-B2B2-48F9-AFA4-52FAA0790F27}"/>
    <cellStyle name="40% - Accent3 4 6 5" xfId="10866" xr:uid="{F13B9C1F-2B46-4F7D-93D8-A2037283FA1F}"/>
    <cellStyle name="40% - Accent3 4 7" xfId="4576" xr:uid="{00000000-0005-0000-0000-00008D050000}"/>
    <cellStyle name="40% - Accent3 4 7 2" xfId="21459" xr:uid="{ADFF049A-8939-46FF-89FC-1E438E3B4087}"/>
    <cellStyle name="40% - Accent3 4 7 3" xfId="29905" xr:uid="{BE6B7B5D-59B4-48F5-BA9D-D8F630EB9115}"/>
    <cellStyle name="40% - Accent3 4 7 4" xfId="13018" xr:uid="{428ECA1D-74E6-4739-8DD4-56D45189CCC5}"/>
    <cellStyle name="40% - Accent3 4 8" xfId="17241" xr:uid="{ED7181D1-B32D-432B-A754-B525E7F8E920}"/>
    <cellStyle name="40% - Accent3 4 9" xfId="25683" xr:uid="{2A7D41EC-CD0C-4AB1-8DA5-FCA2C656676E}"/>
    <cellStyle name="40% - Accent3 5" xfId="634" xr:uid="{00000000-0005-0000-0000-00008E050000}"/>
    <cellStyle name="40% - Accent3 5 2" xfId="2905" xr:uid="{00000000-0005-0000-0000-00008F050000}"/>
    <cellStyle name="40% - Accent3 5 2 2" xfId="7128" xr:uid="{00000000-0005-0000-0000-000090050000}"/>
    <cellStyle name="40% - Accent3 5 2 2 2" xfId="24011" xr:uid="{A3DD5DF1-4158-43EA-92FD-021AAB0BBE5D}"/>
    <cellStyle name="40% - Accent3 5 2 2 3" xfId="32457" xr:uid="{C9F2E678-4F31-4CD6-AE6B-0EEC125331A7}"/>
    <cellStyle name="40% - Accent3 5 2 2 4" xfId="15570" xr:uid="{C53299F6-004A-4B44-8360-2C97F7FDC5C8}"/>
    <cellStyle name="40% - Accent3 5 2 3" xfId="19793" xr:uid="{BC76FD40-0C5A-4DCC-8EC4-47B013AF52A8}"/>
    <cellStyle name="40% - Accent3 5 2 4" xfId="28240" xr:uid="{E21F3073-46F2-4BF1-9F12-4B81AE94D8E9}"/>
    <cellStyle name="40% - Accent3 5 2 5" xfId="11352" xr:uid="{1A799726-CA0D-49CC-AD3F-0AC70D1D959E}"/>
    <cellStyle name="40% - Accent3 5 3" xfId="4983" xr:uid="{00000000-0005-0000-0000-000091050000}"/>
    <cellStyle name="40% - Accent3 5 3 2" xfId="21866" xr:uid="{12FAC1BE-9576-406B-82B6-A47C4E5BBE2B}"/>
    <cellStyle name="40% - Accent3 5 3 3" xfId="30312" xr:uid="{219E7141-C545-4164-AD7A-AE1EC5D8F98D}"/>
    <cellStyle name="40% - Accent3 5 3 4" xfId="13425" xr:uid="{7883988C-4B83-4376-9877-642B53AC4CDE}"/>
    <cellStyle name="40% - Accent3 5 4" xfId="17648" xr:uid="{1182FFAD-FDA6-414B-A5C8-0815190006E5}"/>
    <cellStyle name="40% - Accent3 5 5" xfId="26093" xr:uid="{82D76BD1-CFA3-4A30-9FCB-04EE6BE852D0}"/>
    <cellStyle name="40% - Accent3 5 6" xfId="9207" xr:uid="{4841F5C6-8785-4980-896C-AFBCCFB87408}"/>
    <cellStyle name="40% - Accent3 6" xfId="1087" xr:uid="{00000000-0005-0000-0000-000092050000}"/>
    <cellStyle name="40% - Accent3 6 2" xfId="3318" xr:uid="{00000000-0005-0000-0000-000093050000}"/>
    <cellStyle name="40% - Accent3 6 2 2" xfId="7541" xr:uid="{00000000-0005-0000-0000-000094050000}"/>
    <cellStyle name="40% - Accent3 6 2 2 2" xfId="24424" xr:uid="{3C646954-7A25-4D52-9864-4FD710AFBE22}"/>
    <cellStyle name="40% - Accent3 6 2 2 3" xfId="32870" xr:uid="{3FEF90C0-A5D3-4A5D-81D6-0326BF105334}"/>
    <cellStyle name="40% - Accent3 6 2 2 4" xfId="15983" xr:uid="{A9DACBCD-C3D2-4D98-B5A6-CE27232A05A4}"/>
    <cellStyle name="40% - Accent3 6 2 3" xfId="20206" xr:uid="{E0A527B3-2AE3-4813-89AD-90DA06D212FA}"/>
    <cellStyle name="40% - Accent3 6 2 4" xfId="28653" xr:uid="{2EA2F4FC-A80D-4AFD-9B01-36F45A005A62}"/>
    <cellStyle name="40% - Accent3 6 2 5" xfId="11765" xr:uid="{07CFA96E-D4FA-47DD-B68F-880D8EE62650}"/>
    <cellStyle name="40% - Accent3 6 3" xfId="5396" xr:uid="{00000000-0005-0000-0000-000095050000}"/>
    <cellStyle name="40% - Accent3 6 3 2" xfId="22279" xr:uid="{53EC4E03-4879-4834-84D2-2355FDA0D45E}"/>
    <cellStyle name="40% - Accent3 6 3 3" xfId="30725" xr:uid="{22D10BEB-A842-4B5B-985C-9B70D11ECBF6}"/>
    <cellStyle name="40% - Accent3 6 3 4" xfId="13838" xr:uid="{6AB7381F-20D3-481B-8245-7B06C9DBC60D}"/>
    <cellStyle name="40% - Accent3 6 4" xfId="18061" xr:uid="{99D8E336-F81A-4969-ADB7-AC04AF0DFBEC}"/>
    <cellStyle name="40% - Accent3 6 5" xfId="26506" xr:uid="{BE515976-0C9A-4919-93D7-EE40E488DFB9}"/>
    <cellStyle name="40% - Accent3 6 6" xfId="9620" xr:uid="{18EB2283-B4F2-4CAB-9E79-47FCB0EBDEBD}"/>
    <cellStyle name="40% - Accent3 7" xfId="1501" xr:uid="{00000000-0005-0000-0000-000096050000}"/>
    <cellStyle name="40% - Accent3 7 2" xfId="3731" xr:uid="{00000000-0005-0000-0000-000097050000}"/>
    <cellStyle name="40% - Accent3 7 2 2" xfId="7954" xr:uid="{00000000-0005-0000-0000-000098050000}"/>
    <cellStyle name="40% - Accent3 7 2 2 2" xfId="24837" xr:uid="{3ACEB828-14FD-4232-A0DC-92233DFE49EB}"/>
    <cellStyle name="40% - Accent3 7 2 2 3" xfId="33283" xr:uid="{5FF053D6-DB8D-4DDE-B264-17A1617B7409}"/>
    <cellStyle name="40% - Accent3 7 2 2 4" xfId="16396" xr:uid="{263E3E76-0A6E-49D4-BFA0-F46556F23D17}"/>
    <cellStyle name="40% - Accent3 7 2 3" xfId="20619" xr:uid="{F7EDB587-612D-46A3-81C2-4C290151918E}"/>
    <cellStyle name="40% - Accent3 7 2 4" xfId="29066" xr:uid="{61F44D61-BA24-43DA-BFEB-F4E2AD3FBF39}"/>
    <cellStyle name="40% - Accent3 7 2 5" xfId="12178" xr:uid="{570A7D10-7969-4285-B4A4-1EB1869FC03D}"/>
    <cellStyle name="40% - Accent3 7 3" xfId="5809" xr:uid="{00000000-0005-0000-0000-000099050000}"/>
    <cellStyle name="40% - Accent3 7 3 2" xfId="22692" xr:uid="{A09D70A9-FDEA-40F2-8F2E-E79C202982DE}"/>
    <cellStyle name="40% - Accent3 7 3 3" xfId="31138" xr:uid="{0BD35CA4-64BF-4B26-918F-993FE54ACBA1}"/>
    <cellStyle name="40% - Accent3 7 3 4" xfId="14251" xr:uid="{278276A9-B22B-4610-B30D-3008FE8925AF}"/>
    <cellStyle name="40% - Accent3 7 4" xfId="18474" xr:uid="{135D1B7D-DF76-446F-8D6A-44AB7A225A7D}"/>
    <cellStyle name="40% - Accent3 7 5" xfId="26919" xr:uid="{D1C508AB-B79A-48C8-980E-75478BBF6207}"/>
    <cellStyle name="40% - Accent3 7 6" xfId="10033" xr:uid="{6316EA1F-FFA6-49F3-BB64-EE3A431C1FBD}"/>
    <cellStyle name="40% - Accent3 8" xfId="1915" xr:uid="{00000000-0005-0000-0000-00009A050000}"/>
    <cellStyle name="40% - Accent3 8 2" xfId="4144" xr:uid="{00000000-0005-0000-0000-00009B050000}"/>
    <cellStyle name="40% - Accent3 8 2 2" xfId="8367" xr:uid="{00000000-0005-0000-0000-00009C050000}"/>
    <cellStyle name="40% - Accent3 8 2 2 2" xfId="25250" xr:uid="{EAE762E4-A988-4B78-B78A-EA1DCBEF3330}"/>
    <cellStyle name="40% - Accent3 8 2 2 3" xfId="33696" xr:uid="{2E7556A7-EC6B-467A-BD81-61A71AD7C0D7}"/>
    <cellStyle name="40% - Accent3 8 2 2 4" xfId="16809" xr:uid="{6CCDB9BC-1B39-4BE1-B384-BF530BFCD61B}"/>
    <cellStyle name="40% - Accent3 8 2 3" xfId="21032" xr:uid="{1F392691-FB40-44FF-95CD-8DEEA766D767}"/>
    <cellStyle name="40% - Accent3 8 2 4" xfId="29479" xr:uid="{D0935C5F-2D08-4C3F-B86F-E4A86FCEDA6B}"/>
    <cellStyle name="40% - Accent3 8 2 5" xfId="12591" xr:uid="{5C825209-F4A5-4A0A-90B5-658F51F50273}"/>
    <cellStyle name="40% - Accent3 8 3" xfId="6222" xr:uid="{00000000-0005-0000-0000-00009D050000}"/>
    <cellStyle name="40% - Accent3 8 3 2" xfId="23105" xr:uid="{15199800-EA9C-4105-92AB-4DA7561DEB1F}"/>
    <cellStyle name="40% - Accent3 8 3 3" xfId="31551" xr:uid="{11F6F14F-BE76-492A-8A96-997FBE489E00}"/>
    <cellStyle name="40% - Accent3 8 3 4" xfId="14664" xr:uid="{591EF21F-C89D-4784-9A89-18569EA0E9B7}"/>
    <cellStyle name="40% - Accent3 8 4" xfId="18887" xr:uid="{5BA7EEDA-F5E2-4810-9335-EB9DFAEF3289}"/>
    <cellStyle name="40% - Accent3 8 5" xfId="27332" xr:uid="{AD1BFEBC-FF3F-407E-9BE4-667E1F77E4E6}"/>
    <cellStyle name="40% - Accent3 8 6" xfId="10446" xr:uid="{12EAABED-00B2-4BFD-A0BB-E815E0C2D97A}"/>
    <cellStyle name="40% - Accent3 9" xfId="2328" xr:uid="{00000000-0005-0000-0000-00009E050000}"/>
    <cellStyle name="40% - Accent3 9 2" xfId="6635" xr:uid="{00000000-0005-0000-0000-00009F050000}"/>
    <cellStyle name="40% - Accent3 9 2 2" xfId="23518" xr:uid="{FD991ED3-E264-4FC4-9180-5549C48FF1EC}"/>
    <cellStyle name="40% - Accent3 9 2 3" xfId="31964" xr:uid="{02641B37-6756-4848-A12A-412A02F8092F}"/>
    <cellStyle name="40% - Accent3 9 2 4" xfId="15077" xr:uid="{123474B6-6085-41A5-9293-A36A6204814F}"/>
    <cellStyle name="40% - Accent3 9 3" xfId="19300" xr:uid="{25055AC6-46FD-4E62-841B-DC4D93E2B81A}"/>
    <cellStyle name="40% - Accent3 9 4" xfId="27745" xr:uid="{A88FEBA0-7A44-4A00-B924-0ED891D9F624}"/>
    <cellStyle name="40% - Accent3 9 5" xfId="10859" xr:uid="{199D058A-577B-47E4-A449-BC56678F5F4C}"/>
    <cellStyle name="40% - Accent4" xfId="73" builtinId="43" customBuiltin="1"/>
    <cellStyle name="40% - Accent4 10" xfId="4577" xr:uid="{00000000-0005-0000-0000-0000A1050000}"/>
    <cellStyle name="40% - Accent4 10 2" xfId="21460" xr:uid="{7E2AA2EC-B5E6-4E40-9680-3484458FD700}"/>
    <cellStyle name="40% - Accent4 10 3" xfId="29906" xr:uid="{8038BD8C-2F54-40CE-B3A5-8F4243B95645}"/>
    <cellStyle name="40% - Accent4 10 4" xfId="13019" xr:uid="{232DB310-7E69-43E0-A20C-29460E6EE176}"/>
    <cellStyle name="40% - Accent4 11" xfId="17242" xr:uid="{2BDE89DC-B0F5-4696-AC09-F3916E76B26A}"/>
    <cellStyle name="40% - Accent4 12" xfId="25684" xr:uid="{74E3D4BC-ED5D-479D-A9DF-DE79F45054D6}"/>
    <cellStyle name="40% - Accent4 13" xfId="8801" xr:uid="{D80B3F86-59EF-4F38-8F24-0A754715D36F}"/>
    <cellStyle name="40% - Accent4 2" xfId="74" xr:uid="{00000000-0005-0000-0000-0000A2050000}"/>
    <cellStyle name="40% - Accent4 2 10" xfId="17243" xr:uid="{45B37B91-C34E-4E03-A4D3-057A1DCC8D9E}"/>
    <cellStyle name="40% - Accent4 2 11" xfId="25685" xr:uid="{643CA929-8E1E-42D4-BC92-51840A7A4836}"/>
    <cellStyle name="40% - Accent4 2 12" xfId="8802" xr:uid="{4763F5A3-E620-4921-BD82-C42BF46510DD}"/>
    <cellStyle name="40% - Accent4 2 2" xfId="75" xr:uid="{00000000-0005-0000-0000-0000A3050000}"/>
    <cellStyle name="40% - Accent4 2 2 10" xfId="25686" xr:uid="{F9525E2B-3B49-44D7-ABBA-BAB9D7B66E65}"/>
    <cellStyle name="40% - Accent4 2 2 11" xfId="8803" xr:uid="{316034D8-7F46-41E8-BF5D-2DB4CF4AFF69}"/>
    <cellStyle name="40% - Accent4 2 2 2" xfId="76" xr:uid="{00000000-0005-0000-0000-0000A4050000}"/>
    <cellStyle name="40% - Accent4 2 2 2 10" xfId="8804" xr:uid="{4E3116D9-8D1F-47DA-AC76-23A2D97B4B6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24022" xr:uid="{AE2CF883-E56D-41ED-9CC5-79969C59CBF4}"/>
    <cellStyle name="40% - Accent4 2 2 2 2 2 2 3" xfId="32468" xr:uid="{496737F7-B2E9-4D50-9A7A-2EBC69735044}"/>
    <cellStyle name="40% - Accent4 2 2 2 2 2 2 4" xfId="15581" xr:uid="{71FF50F1-46BE-447B-8BCC-D9599A6886C4}"/>
    <cellStyle name="40% - Accent4 2 2 2 2 2 3" xfId="19804" xr:uid="{C5989816-4E56-4EDA-B6FC-81134B2B1EE6}"/>
    <cellStyle name="40% - Accent4 2 2 2 2 2 4" xfId="28251" xr:uid="{5CE75C1E-8393-4F0B-B766-4DB6D6E916C7}"/>
    <cellStyle name="40% - Accent4 2 2 2 2 2 5" xfId="11363" xr:uid="{17977A16-A180-49E3-8E91-EB18E1AD193A}"/>
    <cellStyle name="40% - Accent4 2 2 2 2 3" xfId="4994" xr:uid="{00000000-0005-0000-0000-0000A8050000}"/>
    <cellStyle name="40% - Accent4 2 2 2 2 3 2" xfId="21877" xr:uid="{913B5F6B-0585-40BB-942C-78FB4E7295CA}"/>
    <cellStyle name="40% - Accent4 2 2 2 2 3 3" xfId="30323" xr:uid="{22B9B4A9-542C-432F-AA92-C4BAF1081591}"/>
    <cellStyle name="40% - Accent4 2 2 2 2 3 4" xfId="13436" xr:uid="{4FAF1F85-7669-4E5D-B1A6-7F106AA7FD45}"/>
    <cellStyle name="40% - Accent4 2 2 2 2 4" xfId="17659" xr:uid="{751E158F-5D5D-43AA-8D41-6C74AC9EF760}"/>
    <cellStyle name="40% - Accent4 2 2 2 2 5" xfId="26104" xr:uid="{7E191320-606D-40DD-979E-FFC55BAC1ACE}"/>
    <cellStyle name="40% - Accent4 2 2 2 2 6" xfId="9218" xr:uid="{56B8DD2D-FA0F-46F3-8545-C73DB238081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24435" xr:uid="{C6B29CF3-40EA-446E-AC52-2C61C8A4FEA6}"/>
    <cellStyle name="40% - Accent4 2 2 2 3 2 2 3" xfId="32881" xr:uid="{2520AFA2-8C0D-4B2B-B018-D112719A276C}"/>
    <cellStyle name="40% - Accent4 2 2 2 3 2 2 4" xfId="15994" xr:uid="{59220B52-EF39-4D7C-A99A-1CCD44027A8C}"/>
    <cellStyle name="40% - Accent4 2 2 2 3 2 3" xfId="20217" xr:uid="{CFB8D1F5-8E85-4E62-9131-C5C5D7D549DC}"/>
    <cellStyle name="40% - Accent4 2 2 2 3 2 4" xfId="28664" xr:uid="{8FB0624A-2DBB-4520-A17E-E802FFC66A79}"/>
    <cellStyle name="40% - Accent4 2 2 2 3 2 5" xfId="11776" xr:uid="{07684873-7378-4586-A240-EDF7C00B7224}"/>
    <cellStyle name="40% - Accent4 2 2 2 3 3" xfId="5407" xr:uid="{00000000-0005-0000-0000-0000AC050000}"/>
    <cellStyle name="40% - Accent4 2 2 2 3 3 2" xfId="22290" xr:uid="{AEF2E2AC-B885-4C90-95F6-2AB697283401}"/>
    <cellStyle name="40% - Accent4 2 2 2 3 3 3" xfId="30736" xr:uid="{3913D944-0F7C-4209-8D03-C3950174952F}"/>
    <cellStyle name="40% - Accent4 2 2 2 3 3 4" xfId="13849" xr:uid="{1330A167-ACB2-4365-880B-463A73F0CBFD}"/>
    <cellStyle name="40% - Accent4 2 2 2 3 4" xfId="18072" xr:uid="{B1C99DA1-662F-40CA-8208-7194F85A2EED}"/>
    <cellStyle name="40% - Accent4 2 2 2 3 5" xfId="26517" xr:uid="{2C372E40-70FB-4657-8334-48BD2077C1F8}"/>
    <cellStyle name="40% - Accent4 2 2 2 3 6" xfId="9631" xr:uid="{05298F8F-E1F1-4842-9C8A-ACB0EE184BF2}"/>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24848" xr:uid="{E16D6A1E-446A-40C5-9E54-FA342C50EDE8}"/>
    <cellStyle name="40% - Accent4 2 2 2 4 2 2 3" xfId="33294" xr:uid="{BB8236E8-1D93-4B6F-BB66-B06C8279602B}"/>
    <cellStyle name="40% - Accent4 2 2 2 4 2 2 4" xfId="16407" xr:uid="{AE6D099B-9012-4897-81FB-817427ACAEAA}"/>
    <cellStyle name="40% - Accent4 2 2 2 4 2 3" xfId="20630" xr:uid="{239C047F-DAD3-44EB-8580-A0B74D08FCE5}"/>
    <cellStyle name="40% - Accent4 2 2 2 4 2 4" xfId="29077" xr:uid="{B7171CFB-8F14-4473-8DE1-BB45972CE4B0}"/>
    <cellStyle name="40% - Accent4 2 2 2 4 2 5" xfId="12189" xr:uid="{1F4B6308-599F-47F4-B859-A4F2C74A5E41}"/>
    <cellStyle name="40% - Accent4 2 2 2 4 3" xfId="5820" xr:uid="{00000000-0005-0000-0000-0000B0050000}"/>
    <cellStyle name="40% - Accent4 2 2 2 4 3 2" xfId="22703" xr:uid="{05E49810-878F-4CEC-9473-9EB87BB9130C}"/>
    <cellStyle name="40% - Accent4 2 2 2 4 3 3" xfId="31149" xr:uid="{685981C8-3F49-49D4-B157-A28DD0D59323}"/>
    <cellStyle name="40% - Accent4 2 2 2 4 3 4" xfId="14262" xr:uid="{ED077847-0569-42A2-A45A-D2EEA324A725}"/>
    <cellStyle name="40% - Accent4 2 2 2 4 4" xfId="18485" xr:uid="{59172D6A-41D7-4FFF-8B44-D5919D902361}"/>
    <cellStyle name="40% - Accent4 2 2 2 4 5" xfId="26930" xr:uid="{E3120E26-1624-4D36-8682-D07384A8C1B7}"/>
    <cellStyle name="40% - Accent4 2 2 2 4 6" xfId="10044" xr:uid="{0271BBAE-2699-4E9C-BADB-58C4195973B1}"/>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25261" xr:uid="{FD016992-AFE5-45CA-999A-A2532A5B6568}"/>
    <cellStyle name="40% - Accent4 2 2 2 5 2 2 3" xfId="33707" xr:uid="{00431F51-2784-4D08-A1EC-A1141A8C440A}"/>
    <cellStyle name="40% - Accent4 2 2 2 5 2 2 4" xfId="16820" xr:uid="{F1243AAF-943C-4327-A03B-B9D066E3C75A}"/>
    <cellStyle name="40% - Accent4 2 2 2 5 2 3" xfId="21043" xr:uid="{BB333A31-D431-45FD-BF99-37C1AE6E1237}"/>
    <cellStyle name="40% - Accent4 2 2 2 5 2 4" xfId="29490" xr:uid="{50BDCF43-E9C7-4757-907A-1BAEAC62A0BB}"/>
    <cellStyle name="40% - Accent4 2 2 2 5 2 5" xfId="12602" xr:uid="{CF1DFCB9-05C5-453C-BA24-BEB9CE0EC6E1}"/>
    <cellStyle name="40% - Accent4 2 2 2 5 3" xfId="6233" xr:uid="{00000000-0005-0000-0000-0000B4050000}"/>
    <cellStyle name="40% - Accent4 2 2 2 5 3 2" xfId="23116" xr:uid="{BB087FE6-AF78-4E81-8FEA-AC08D5DB8F37}"/>
    <cellStyle name="40% - Accent4 2 2 2 5 3 3" xfId="31562" xr:uid="{5C3823F6-0583-4689-B24E-B614DBEC1B90}"/>
    <cellStyle name="40% - Accent4 2 2 2 5 3 4" xfId="14675" xr:uid="{5588348D-F1BF-4940-BB50-C364EB252AEF}"/>
    <cellStyle name="40% - Accent4 2 2 2 5 4" xfId="18898" xr:uid="{1EE49F81-7820-489C-AD22-010B02604EAC}"/>
    <cellStyle name="40% - Accent4 2 2 2 5 5" xfId="27343" xr:uid="{869CD26D-3D00-46E3-965B-E24EFA28877F}"/>
    <cellStyle name="40% - Accent4 2 2 2 5 6" xfId="10457" xr:uid="{05E92D71-D6C4-4E9D-874C-D20D046E6959}"/>
    <cellStyle name="40% - Accent4 2 2 2 6" xfId="2339" xr:uid="{00000000-0005-0000-0000-0000B5050000}"/>
    <cellStyle name="40% - Accent4 2 2 2 6 2" xfId="6646" xr:uid="{00000000-0005-0000-0000-0000B6050000}"/>
    <cellStyle name="40% - Accent4 2 2 2 6 2 2" xfId="23529" xr:uid="{D1DB52A5-6112-4AAA-9BBC-2D978EF44734}"/>
    <cellStyle name="40% - Accent4 2 2 2 6 2 3" xfId="31975" xr:uid="{5F39BB84-1FF2-4CB6-8347-1EEAE7CCA93E}"/>
    <cellStyle name="40% - Accent4 2 2 2 6 2 4" xfId="15088" xr:uid="{3B0D449B-726B-4E1C-9985-0FB83C44B4CF}"/>
    <cellStyle name="40% - Accent4 2 2 2 6 3" xfId="19311" xr:uid="{E6839927-037E-43DB-A4E8-33D3AFA21554}"/>
    <cellStyle name="40% - Accent4 2 2 2 6 4" xfId="27756" xr:uid="{F6B59D97-26DA-4A3E-87D1-73EC0393800D}"/>
    <cellStyle name="40% - Accent4 2 2 2 6 5" xfId="10870" xr:uid="{22875BCB-7E2F-48F2-AB16-5C8F608B45AE}"/>
    <cellStyle name="40% - Accent4 2 2 2 7" xfId="4580" xr:uid="{00000000-0005-0000-0000-0000B7050000}"/>
    <cellStyle name="40% - Accent4 2 2 2 7 2" xfId="21463" xr:uid="{378C6FC4-FE85-438F-A72D-0736D095C0A0}"/>
    <cellStyle name="40% - Accent4 2 2 2 7 3" xfId="29909" xr:uid="{3AE00A4C-84CF-48D4-8379-7021C17382C5}"/>
    <cellStyle name="40% - Accent4 2 2 2 7 4" xfId="13022" xr:uid="{FFEDA664-48CF-4D15-A6E4-CC3AF40167F4}"/>
    <cellStyle name="40% - Accent4 2 2 2 8" xfId="17245" xr:uid="{BC20B0DF-731B-4158-9D36-B303BF347D2B}"/>
    <cellStyle name="40% - Accent4 2 2 2 9" xfId="25687" xr:uid="{40ABFADA-9E62-4F23-96A1-7D0EF0305164}"/>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24021" xr:uid="{ED3A6594-C96C-4ABA-B501-0571A669B3A3}"/>
    <cellStyle name="40% - Accent4 2 2 3 2 2 3" xfId="32467" xr:uid="{60650B28-D5D6-46AA-B355-0CC4FE28106A}"/>
    <cellStyle name="40% - Accent4 2 2 3 2 2 4" xfId="15580" xr:uid="{2B358066-4DC1-48F9-AE08-0CE0D563F001}"/>
    <cellStyle name="40% - Accent4 2 2 3 2 3" xfId="19803" xr:uid="{08F50327-7FC6-4D0C-BEB5-A2321D77CC63}"/>
    <cellStyle name="40% - Accent4 2 2 3 2 4" xfId="28250" xr:uid="{946AF824-E6BF-4993-92AF-5395D9FBEF78}"/>
    <cellStyle name="40% - Accent4 2 2 3 2 5" xfId="11362" xr:uid="{954C502B-7F4E-471D-9187-042B40D3C1EE}"/>
    <cellStyle name="40% - Accent4 2 2 3 3" xfId="4993" xr:uid="{00000000-0005-0000-0000-0000BB050000}"/>
    <cellStyle name="40% - Accent4 2 2 3 3 2" xfId="21876" xr:uid="{42D52569-783F-4C9F-BF06-59FE6B3ACA39}"/>
    <cellStyle name="40% - Accent4 2 2 3 3 3" xfId="30322" xr:uid="{D6856DDC-42DE-4FB4-BFE2-962BA36E1385}"/>
    <cellStyle name="40% - Accent4 2 2 3 3 4" xfId="13435" xr:uid="{D4E6FA37-4BEE-45F3-9270-C85E90A0D6BB}"/>
    <cellStyle name="40% - Accent4 2 2 3 4" xfId="17658" xr:uid="{25BEA208-A096-4FEE-802C-4412519B2FCC}"/>
    <cellStyle name="40% - Accent4 2 2 3 5" xfId="26103" xr:uid="{848D9CE1-035F-4F76-B588-0D8EF9F23D85}"/>
    <cellStyle name="40% - Accent4 2 2 3 6" xfId="9217" xr:uid="{5EABADEA-F6E4-4DD4-B56C-9C400E51117A}"/>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24434" xr:uid="{C54D78B5-8AD2-4848-9484-951AEDF39B65}"/>
    <cellStyle name="40% - Accent4 2 2 4 2 2 3" xfId="32880" xr:uid="{FA093600-8DDA-4E41-8489-0E3FAD10436A}"/>
    <cellStyle name="40% - Accent4 2 2 4 2 2 4" xfId="15993" xr:uid="{E065F315-D5CC-4BD0-9E3D-75F7C5AF9C33}"/>
    <cellStyle name="40% - Accent4 2 2 4 2 3" xfId="20216" xr:uid="{477E6503-1BCE-4D05-A51C-A4134FFC4328}"/>
    <cellStyle name="40% - Accent4 2 2 4 2 4" xfId="28663" xr:uid="{0F1F61C0-03AD-4FE8-8B1B-5CEBE3BC7118}"/>
    <cellStyle name="40% - Accent4 2 2 4 2 5" xfId="11775" xr:uid="{8E5D8119-E542-45CC-9C77-60B23365AA4C}"/>
    <cellStyle name="40% - Accent4 2 2 4 3" xfId="5406" xr:uid="{00000000-0005-0000-0000-0000BF050000}"/>
    <cellStyle name="40% - Accent4 2 2 4 3 2" xfId="22289" xr:uid="{4A9AFBF6-C860-40F5-ADA2-164C62B42FDD}"/>
    <cellStyle name="40% - Accent4 2 2 4 3 3" xfId="30735" xr:uid="{AC172A40-DC73-4295-B538-C537A0AD5F76}"/>
    <cellStyle name="40% - Accent4 2 2 4 3 4" xfId="13848" xr:uid="{47883FD2-8897-43CF-B29D-4231802C6558}"/>
    <cellStyle name="40% - Accent4 2 2 4 4" xfId="18071" xr:uid="{CDC502D1-59FE-486D-A63D-D6F2471631FE}"/>
    <cellStyle name="40% - Accent4 2 2 4 5" xfId="26516" xr:uid="{70EFE3CF-69EA-4C02-8180-38185EBBE76E}"/>
    <cellStyle name="40% - Accent4 2 2 4 6" xfId="9630" xr:uid="{71101207-D423-4799-82E6-F3E054248D0D}"/>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24847" xr:uid="{13FD2F04-F613-4951-9E88-763F70408555}"/>
    <cellStyle name="40% - Accent4 2 2 5 2 2 3" xfId="33293" xr:uid="{799F1F09-1042-422F-A9B2-82714138350B}"/>
    <cellStyle name="40% - Accent4 2 2 5 2 2 4" xfId="16406" xr:uid="{108B7A81-2C43-4641-86AC-489A285298CE}"/>
    <cellStyle name="40% - Accent4 2 2 5 2 3" xfId="20629" xr:uid="{0C65C5D8-429B-430A-AC80-FE1007DCACA8}"/>
    <cellStyle name="40% - Accent4 2 2 5 2 4" xfId="29076" xr:uid="{4CF66B7E-4E60-4400-AC15-5F5D09971F08}"/>
    <cellStyle name="40% - Accent4 2 2 5 2 5" xfId="12188" xr:uid="{F8F26340-5571-4BFD-8CB3-06B8D0C14AFC}"/>
    <cellStyle name="40% - Accent4 2 2 5 3" xfId="5819" xr:uid="{00000000-0005-0000-0000-0000C3050000}"/>
    <cellStyle name="40% - Accent4 2 2 5 3 2" xfId="22702" xr:uid="{6EBBCA74-8C95-450C-AC53-129ADF055CD9}"/>
    <cellStyle name="40% - Accent4 2 2 5 3 3" xfId="31148" xr:uid="{FE8BDEDF-F3DE-43B9-A6BE-464244369D8B}"/>
    <cellStyle name="40% - Accent4 2 2 5 3 4" xfId="14261" xr:uid="{6457DFED-F722-4DF8-9E53-165243E5AD32}"/>
    <cellStyle name="40% - Accent4 2 2 5 4" xfId="18484" xr:uid="{2DA62AE8-2B25-4E2B-8ECC-581AA7B979E1}"/>
    <cellStyle name="40% - Accent4 2 2 5 5" xfId="26929" xr:uid="{332EEC22-1D4D-4414-8879-B6F6F172ECB2}"/>
    <cellStyle name="40% - Accent4 2 2 5 6" xfId="10043" xr:uid="{882B3FA0-4FA2-45C3-A7FD-765EAC2CB2C3}"/>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25260" xr:uid="{B2882542-DE29-4804-A45B-D2666C5E9800}"/>
    <cellStyle name="40% - Accent4 2 2 6 2 2 3" xfId="33706" xr:uid="{B310FEA5-7645-484A-9BE2-8AFA72F20312}"/>
    <cellStyle name="40% - Accent4 2 2 6 2 2 4" xfId="16819" xr:uid="{A30023B0-20F7-484B-A79A-BE345E9EF4D7}"/>
    <cellStyle name="40% - Accent4 2 2 6 2 3" xfId="21042" xr:uid="{4DF908F7-E30A-4485-979E-F2FCED6C88A5}"/>
    <cellStyle name="40% - Accent4 2 2 6 2 4" xfId="29489" xr:uid="{644DA6CD-0519-4BD7-A80D-82F8AA9D01D7}"/>
    <cellStyle name="40% - Accent4 2 2 6 2 5" xfId="12601" xr:uid="{DE9F57C0-1EFF-4443-A890-97829CFDD965}"/>
    <cellStyle name="40% - Accent4 2 2 6 3" xfId="6232" xr:uid="{00000000-0005-0000-0000-0000C7050000}"/>
    <cellStyle name="40% - Accent4 2 2 6 3 2" xfId="23115" xr:uid="{4B955B59-990E-430D-8D3B-5259CE37163B}"/>
    <cellStyle name="40% - Accent4 2 2 6 3 3" xfId="31561" xr:uid="{1FAFF319-7183-4ACC-93DB-5326E3490DDA}"/>
    <cellStyle name="40% - Accent4 2 2 6 3 4" xfId="14674" xr:uid="{0FE9BFB6-D2C6-4FB3-8956-A822B4AD804D}"/>
    <cellStyle name="40% - Accent4 2 2 6 4" xfId="18897" xr:uid="{3A676DCA-490D-4029-86E3-4EEC0585C104}"/>
    <cellStyle name="40% - Accent4 2 2 6 5" xfId="27342" xr:uid="{84147C97-96E4-467A-B033-939D9378181C}"/>
    <cellStyle name="40% - Accent4 2 2 6 6" xfId="10456" xr:uid="{E8F992CE-C715-401F-94AD-E9F65D6F42A8}"/>
    <cellStyle name="40% - Accent4 2 2 7" xfId="2338" xr:uid="{00000000-0005-0000-0000-0000C8050000}"/>
    <cellStyle name="40% - Accent4 2 2 7 2" xfId="6645" xr:uid="{00000000-0005-0000-0000-0000C9050000}"/>
    <cellStyle name="40% - Accent4 2 2 7 2 2" xfId="23528" xr:uid="{2D723DC1-D2EA-4F68-81CA-9FA329A4A283}"/>
    <cellStyle name="40% - Accent4 2 2 7 2 3" xfId="31974" xr:uid="{084F866D-335E-44E3-9DE3-AD516A29383B}"/>
    <cellStyle name="40% - Accent4 2 2 7 2 4" xfId="15087" xr:uid="{F1CB6988-EAEE-4CB3-B57D-252A58A063F5}"/>
    <cellStyle name="40% - Accent4 2 2 7 3" xfId="19310" xr:uid="{898065B4-33C2-4BDE-B3EF-E820011C15F7}"/>
    <cellStyle name="40% - Accent4 2 2 7 4" xfId="27755" xr:uid="{E0EB140B-CC48-4228-B996-18ECB5BC4A1E}"/>
    <cellStyle name="40% - Accent4 2 2 7 5" xfId="10869" xr:uid="{6CA7471C-CDDE-445A-A57A-F61E88DC1FDA}"/>
    <cellStyle name="40% - Accent4 2 2 8" xfId="4579" xr:uid="{00000000-0005-0000-0000-0000CA050000}"/>
    <cellStyle name="40% - Accent4 2 2 8 2" xfId="21462" xr:uid="{C2257B05-78A1-4CA3-B59D-19FEF36C7CAA}"/>
    <cellStyle name="40% - Accent4 2 2 8 3" xfId="29908" xr:uid="{7594CB21-2586-4382-BF25-7C6C2EF04515}"/>
    <cellStyle name="40% - Accent4 2 2 8 4" xfId="13021" xr:uid="{B6785091-BCEC-4168-BB87-E7ABB7340700}"/>
    <cellStyle name="40% - Accent4 2 2 9" xfId="17244" xr:uid="{DF5B459B-02E2-4D4D-BB9C-11E1114CF9DF}"/>
    <cellStyle name="40% - Accent4 2 3" xfId="77" xr:uid="{00000000-0005-0000-0000-0000CB050000}"/>
    <cellStyle name="40% - Accent4 2 3 10" xfId="8805" xr:uid="{36A27B25-FFE1-44CA-A49D-6747B486066F}"/>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24023" xr:uid="{88781289-068E-4EA8-8B19-2365AE156263}"/>
    <cellStyle name="40% - Accent4 2 3 2 2 2 3" xfId="32469" xr:uid="{9F1D6570-6B49-4D20-9468-43E27AA6CDEB}"/>
    <cellStyle name="40% - Accent4 2 3 2 2 2 4" xfId="15582" xr:uid="{F1742604-6E9C-40DF-B620-7991142DB521}"/>
    <cellStyle name="40% - Accent4 2 3 2 2 3" xfId="19805" xr:uid="{418BAE71-F88C-40C6-8467-A734674EDDF7}"/>
    <cellStyle name="40% - Accent4 2 3 2 2 4" xfId="28252" xr:uid="{0CD55EB7-6727-4FD8-8239-5A940EAACE75}"/>
    <cellStyle name="40% - Accent4 2 3 2 2 5" xfId="11364" xr:uid="{39F4F001-A7E5-42B1-AB03-D23A376A93D1}"/>
    <cellStyle name="40% - Accent4 2 3 2 3" xfId="4995" xr:uid="{00000000-0005-0000-0000-0000CF050000}"/>
    <cellStyle name="40% - Accent4 2 3 2 3 2" xfId="21878" xr:uid="{6F9E159C-BAC2-4EAE-9E9A-9BF686A2A7C3}"/>
    <cellStyle name="40% - Accent4 2 3 2 3 3" xfId="30324" xr:uid="{2F47F6B6-BD3D-49FA-8CB4-F19159BB22BF}"/>
    <cellStyle name="40% - Accent4 2 3 2 3 4" xfId="13437" xr:uid="{D71F81C5-A6A6-41BF-BB31-8397C37976C5}"/>
    <cellStyle name="40% - Accent4 2 3 2 4" xfId="17660" xr:uid="{B2DF206D-42F2-4C65-9D73-B4743620B045}"/>
    <cellStyle name="40% - Accent4 2 3 2 5" xfId="26105" xr:uid="{8A7273BE-D6C5-4F90-B2F6-103BC418AEA1}"/>
    <cellStyle name="40% - Accent4 2 3 2 6" xfId="9219" xr:uid="{CF07E57F-100A-4ABB-8F81-C0EB9FD60314}"/>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24436" xr:uid="{EDB0F3CE-E256-4157-A27B-3FF8C8DFCA52}"/>
    <cellStyle name="40% - Accent4 2 3 3 2 2 3" xfId="32882" xr:uid="{3CB2C834-6135-4064-95A8-82123A5D7B58}"/>
    <cellStyle name="40% - Accent4 2 3 3 2 2 4" xfId="15995" xr:uid="{6D6C3666-26B2-4FD7-836E-102BFB23525C}"/>
    <cellStyle name="40% - Accent4 2 3 3 2 3" xfId="20218" xr:uid="{89D10019-8A72-4108-9E3A-4B59804557A8}"/>
    <cellStyle name="40% - Accent4 2 3 3 2 4" xfId="28665" xr:uid="{DCA6A001-AF29-4A06-BB9A-73474E13ABDC}"/>
    <cellStyle name="40% - Accent4 2 3 3 2 5" xfId="11777" xr:uid="{C2B0FC49-5CE0-4AA1-AF38-014336B7B8B1}"/>
    <cellStyle name="40% - Accent4 2 3 3 3" xfId="5408" xr:uid="{00000000-0005-0000-0000-0000D3050000}"/>
    <cellStyle name="40% - Accent4 2 3 3 3 2" xfId="22291" xr:uid="{0035951C-E57E-4895-A946-089C7CA71774}"/>
    <cellStyle name="40% - Accent4 2 3 3 3 3" xfId="30737" xr:uid="{6635FB08-9832-4B3D-A85A-E362489073AB}"/>
    <cellStyle name="40% - Accent4 2 3 3 3 4" xfId="13850" xr:uid="{ACB34D0C-43E4-42A8-9C81-BFF9E2F8DA3C}"/>
    <cellStyle name="40% - Accent4 2 3 3 4" xfId="18073" xr:uid="{A359E4FA-AD6C-4A6F-8EFE-713388F697A3}"/>
    <cellStyle name="40% - Accent4 2 3 3 5" xfId="26518" xr:uid="{45204ECC-1D99-45A1-9EEF-A4943835B50A}"/>
    <cellStyle name="40% - Accent4 2 3 3 6" xfId="9632" xr:uid="{667281A4-013A-46AF-92A2-294884207778}"/>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24849" xr:uid="{350A5560-861B-4CF2-971C-3C674C6F893F}"/>
    <cellStyle name="40% - Accent4 2 3 4 2 2 3" xfId="33295" xr:uid="{58F7B59A-2425-4560-AAE6-93CA7A3B9125}"/>
    <cellStyle name="40% - Accent4 2 3 4 2 2 4" xfId="16408" xr:uid="{28042AE3-D346-4F35-B1DA-24A780B6A3AF}"/>
    <cellStyle name="40% - Accent4 2 3 4 2 3" xfId="20631" xr:uid="{76B514F3-8CAA-4189-8B5B-4076385AA896}"/>
    <cellStyle name="40% - Accent4 2 3 4 2 4" xfId="29078" xr:uid="{C71BA76B-A873-4B3B-A665-CF41FC2E512C}"/>
    <cellStyle name="40% - Accent4 2 3 4 2 5" xfId="12190" xr:uid="{A3FDDFD5-78D0-4618-972C-DEF0770BDA8D}"/>
    <cellStyle name="40% - Accent4 2 3 4 3" xfId="5821" xr:uid="{00000000-0005-0000-0000-0000D7050000}"/>
    <cellStyle name="40% - Accent4 2 3 4 3 2" xfId="22704" xr:uid="{A7407502-D04C-47EF-BC84-F468B3D651B7}"/>
    <cellStyle name="40% - Accent4 2 3 4 3 3" xfId="31150" xr:uid="{9B449FA4-4DDB-4B01-907C-20FA282C4304}"/>
    <cellStyle name="40% - Accent4 2 3 4 3 4" xfId="14263" xr:uid="{879679ED-B4CB-4D1B-AB36-2BCE91AA40C3}"/>
    <cellStyle name="40% - Accent4 2 3 4 4" xfId="18486" xr:uid="{3B039878-7EF6-4134-A2B5-92AC5380A5E9}"/>
    <cellStyle name="40% - Accent4 2 3 4 5" xfId="26931" xr:uid="{374BAFFC-6231-47BE-9415-1457CA3A47FF}"/>
    <cellStyle name="40% - Accent4 2 3 4 6" xfId="10045" xr:uid="{935963BC-0FA4-4F8A-BF6C-93F65F09707E}"/>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25262" xr:uid="{74E91C69-EF71-442B-89D7-ADBC060448B7}"/>
    <cellStyle name="40% - Accent4 2 3 5 2 2 3" xfId="33708" xr:uid="{2914D25A-7FAE-404D-B7D5-4E6CC2AD785C}"/>
    <cellStyle name="40% - Accent4 2 3 5 2 2 4" xfId="16821" xr:uid="{14D15C2D-9E85-41AA-A0DF-3A257BBB74DA}"/>
    <cellStyle name="40% - Accent4 2 3 5 2 3" xfId="21044" xr:uid="{B868C6B7-0B47-47ED-990C-7E9BBCC91832}"/>
    <cellStyle name="40% - Accent4 2 3 5 2 4" xfId="29491" xr:uid="{0AAC0321-08CF-46C9-A94C-C71ABA876678}"/>
    <cellStyle name="40% - Accent4 2 3 5 2 5" xfId="12603" xr:uid="{4AA585DB-A803-449B-9C36-9161B79CD97A}"/>
    <cellStyle name="40% - Accent4 2 3 5 3" xfId="6234" xr:uid="{00000000-0005-0000-0000-0000DB050000}"/>
    <cellStyle name="40% - Accent4 2 3 5 3 2" xfId="23117" xr:uid="{3F11DCE5-0B6E-4647-A9B2-3EA9B6DF026C}"/>
    <cellStyle name="40% - Accent4 2 3 5 3 3" xfId="31563" xr:uid="{F653B177-EA3C-457B-BEFB-338323E4FB07}"/>
    <cellStyle name="40% - Accent4 2 3 5 3 4" xfId="14676" xr:uid="{62CC3B4F-248B-4D12-B4BB-3936C0A2F789}"/>
    <cellStyle name="40% - Accent4 2 3 5 4" xfId="18899" xr:uid="{53B9C2D8-03B7-4A90-A3F7-28A358987615}"/>
    <cellStyle name="40% - Accent4 2 3 5 5" xfId="27344" xr:uid="{DE7BEBEE-4EF1-4BE8-B0B1-CAB97AED2A5F}"/>
    <cellStyle name="40% - Accent4 2 3 5 6" xfId="10458" xr:uid="{E8C02683-DBFC-4950-92F3-69DEB50465C8}"/>
    <cellStyle name="40% - Accent4 2 3 6" xfId="2340" xr:uid="{00000000-0005-0000-0000-0000DC050000}"/>
    <cellStyle name="40% - Accent4 2 3 6 2" xfId="6647" xr:uid="{00000000-0005-0000-0000-0000DD050000}"/>
    <cellStyle name="40% - Accent4 2 3 6 2 2" xfId="23530" xr:uid="{59E4B38B-7E9D-4D30-9AA0-4C26EBE97508}"/>
    <cellStyle name="40% - Accent4 2 3 6 2 3" xfId="31976" xr:uid="{8C9921AB-E35B-4301-A9D2-25F222F1BE73}"/>
    <cellStyle name="40% - Accent4 2 3 6 2 4" xfId="15089" xr:uid="{E9771A7B-9C00-40B9-B590-2B4579FCCC6F}"/>
    <cellStyle name="40% - Accent4 2 3 6 3" xfId="19312" xr:uid="{A5C74399-4CFD-486D-BB99-169EAD125A0C}"/>
    <cellStyle name="40% - Accent4 2 3 6 4" xfId="27757" xr:uid="{EED52A59-9A12-4566-8933-7702CD50D1B1}"/>
    <cellStyle name="40% - Accent4 2 3 6 5" xfId="10871" xr:uid="{8211D234-CAE2-4FBB-8372-D4BE006EF932}"/>
    <cellStyle name="40% - Accent4 2 3 7" xfId="4581" xr:uid="{00000000-0005-0000-0000-0000DE050000}"/>
    <cellStyle name="40% - Accent4 2 3 7 2" xfId="21464" xr:uid="{4EFE90F7-02FF-4F70-B4A4-0041C757CC0E}"/>
    <cellStyle name="40% - Accent4 2 3 7 3" xfId="29910" xr:uid="{BBA74DC0-A8B2-4FAA-8DB2-C1FA6409CC3C}"/>
    <cellStyle name="40% - Accent4 2 3 7 4" xfId="13023" xr:uid="{EE5717A8-C7E6-4C53-A70A-A734BE4B04E9}"/>
    <cellStyle name="40% - Accent4 2 3 8" xfId="17246" xr:uid="{42B645B8-8E15-423B-ADCA-FE302E12FDA8}"/>
    <cellStyle name="40% - Accent4 2 3 9" xfId="25688" xr:uid="{D01B28F3-4999-47F4-9BB2-FA2FC43061C4}"/>
    <cellStyle name="40% - Accent4 2 4" xfId="643" xr:uid="{00000000-0005-0000-0000-0000DF050000}"/>
    <cellStyle name="40% - Accent4 2 4 2" xfId="2914" xr:uid="{00000000-0005-0000-0000-0000E0050000}"/>
    <cellStyle name="40% - Accent4 2 4 2 2" xfId="7137" xr:uid="{00000000-0005-0000-0000-0000E1050000}"/>
    <cellStyle name="40% - Accent4 2 4 2 2 2" xfId="24020" xr:uid="{3DDFE7A1-FF35-431B-A72D-741B8BC29EE3}"/>
    <cellStyle name="40% - Accent4 2 4 2 2 3" xfId="32466" xr:uid="{040FF6F5-D5E9-40FD-9B25-1A3251428DA9}"/>
    <cellStyle name="40% - Accent4 2 4 2 2 4" xfId="15579" xr:uid="{9DB1F195-A29B-4C73-8663-DD6381AB4F64}"/>
    <cellStyle name="40% - Accent4 2 4 2 3" xfId="19802" xr:uid="{D61C633D-3943-41AF-BDC8-88D885C502E6}"/>
    <cellStyle name="40% - Accent4 2 4 2 4" xfId="28249" xr:uid="{DB8B0C05-6730-4A90-BB92-D0D6476DFEC2}"/>
    <cellStyle name="40% - Accent4 2 4 2 5" xfId="11361" xr:uid="{82C8508B-E47A-4C4C-A2B6-7750CB52EA7B}"/>
    <cellStyle name="40% - Accent4 2 4 3" xfId="4992" xr:uid="{00000000-0005-0000-0000-0000E2050000}"/>
    <cellStyle name="40% - Accent4 2 4 3 2" xfId="21875" xr:uid="{CA611F8A-8EAA-4042-8092-38F79D664F06}"/>
    <cellStyle name="40% - Accent4 2 4 3 3" xfId="30321" xr:uid="{2EBAED20-EF1E-4788-8350-27E8E7B6DA03}"/>
    <cellStyle name="40% - Accent4 2 4 3 4" xfId="13434" xr:uid="{92DABA25-F426-4930-912E-DEE66CBEFAE9}"/>
    <cellStyle name="40% - Accent4 2 4 4" xfId="17657" xr:uid="{EBF1327F-9511-4E58-B4BB-729D02D0D3CD}"/>
    <cellStyle name="40% - Accent4 2 4 5" xfId="26102" xr:uid="{84D9180A-6442-4189-BE77-264E6014FB54}"/>
    <cellStyle name="40% - Accent4 2 4 6" xfId="9216" xr:uid="{C8C83048-2C18-49B8-9A42-63584D75B54B}"/>
    <cellStyle name="40% - Accent4 2 5" xfId="1096" xr:uid="{00000000-0005-0000-0000-0000E3050000}"/>
    <cellStyle name="40% - Accent4 2 5 2" xfId="3327" xr:uid="{00000000-0005-0000-0000-0000E4050000}"/>
    <cellStyle name="40% - Accent4 2 5 2 2" xfId="7550" xr:uid="{00000000-0005-0000-0000-0000E5050000}"/>
    <cellStyle name="40% - Accent4 2 5 2 2 2" xfId="24433" xr:uid="{EEDA5D14-23B8-4BEF-8390-F684519E30EA}"/>
    <cellStyle name="40% - Accent4 2 5 2 2 3" xfId="32879" xr:uid="{9D4239CE-FFB7-4E24-A19C-626481F6F374}"/>
    <cellStyle name="40% - Accent4 2 5 2 2 4" xfId="15992" xr:uid="{5FD07529-B269-4E5B-BFA4-06FD0D2368DE}"/>
    <cellStyle name="40% - Accent4 2 5 2 3" xfId="20215" xr:uid="{A7F1AA8E-5B46-4421-98C5-36332ECFB497}"/>
    <cellStyle name="40% - Accent4 2 5 2 4" xfId="28662" xr:uid="{D6259705-A3CC-4397-AAE3-BB18E3339C66}"/>
    <cellStyle name="40% - Accent4 2 5 2 5" xfId="11774" xr:uid="{20F384E6-7484-47F2-9362-8868B4A15878}"/>
    <cellStyle name="40% - Accent4 2 5 3" xfId="5405" xr:uid="{00000000-0005-0000-0000-0000E6050000}"/>
    <cellStyle name="40% - Accent4 2 5 3 2" xfId="22288" xr:uid="{B8577207-2A55-4A57-98DA-7249A32F5182}"/>
    <cellStyle name="40% - Accent4 2 5 3 3" xfId="30734" xr:uid="{786D1632-9014-43D6-B415-CA0EEF9E5D83}"/>
    <cellStyle name="40% - Accent4 2 5 3 4" xfId="13847" xr:uid="{665EC9F9-D9F6-4733-82EC-635DCCA580C5}"/>
    <cellStyle name="40% - Accent4 2 5 4" xfId="18070" xr:uid="{B0E0EEBE-0018-4A64-AD85-C1DE95FCB9B6}"/>
    <cellStyle name="40% - Accent4 2 5 5" xfId="26515" xr:uid="{D8856F78-B7FF-42C3-8E5A-10772870F177}"/>
    <cellStyle name="40% - Accent4 2 5 6" xfId="9629" xr:uid="{8F00FB68-F3C7-4E78-8DCD-817CF2FD7688}"/>
    <cellStyle name="40% - Accent4 2 6" xfId="1510" xr:uid="{00000000-0005-0000-0000-0000E7050000}"/>
    <cellStyle name="40% - Accent4 2 6 2" xfId="3740" xr:uid="{00000000-0005-0000-0000-0000E8050000}"/>
    <cellStyle name="40% - Accent4 2 6 2 2" xfId="7963" xr:uid="{00000000-0005-0000-0000-0000E9050000}"/>
    <cellStyle name="40% - Accent4 2 6 2 2 2" xfId="24846" xr:uid="{08DABE91-0CC0-4622-A8CE-F35AA2F3DF77}"/>
    <cellStyle name="40% - Accent4 2 6 2 2 3" xfId="33292" xr:uid="{8B735476-F3D4-4E41-A79F-C9D70F571E1D}"/>
    <cellStyle name="40% - Accent4 2 6 2 2 4" xfId="16405" xr:uid="{22B55A95-E942-4F47-B6E2-435F11332672}"/>
    <cellStyle name="40% - Accent4 2 6 2 3" xfId="20628" xr:uid="{2A2A17D6-A2CD-4233-A842-F753E012AE7E}"/>
    <cellStyle name="40% - Accent4 2 6 2 4" xfId="29075" xr:uid="{6642B18A-1E4D-4B6C-8CB1-6ACD7C7FA1EC}"/>
    <cellStyle name="40% - Accent4 2 6 2 5" xfId="12187" xr:uid="{653EDF48-16C1-4A84-B5BB-1578980A908C}"/>
    <cellStyle name="40% - Accent4 2 6 3" xfId="5818" xr:uid="{00000000-0005-0000-0000-0000EA050000}"/>
    <cellStyle name="40% - Accent4 2 6 3 2" xfId="22701" xr:uid="{B06C3534-8446-4AA8-8BAE-009A7163AA9B}"/>
    <cellStyle name="40% - Accent4 2 6 3 3" xfId="31147" xr:uid="{FD1B100E-0076-46E6-AAD5-B772F95F48ED}"/>
    <cellStyle name="40% - Accent4 2 6 3 4" xfId="14260" xr:uid="{461494BF-3D5D-44A9-A214-406C795A59FC}"/>
    <cellStyle name="40% - Accent4 2 6 4" xfId="18483" xr:uid="{E3CB9ADA-B694-4D6C-89E6-C3FFEBD38BEC}"/>
    <cellStyle name="40% - Accent4 2 6 5" xfId="26928" xr:uid="{FF7DE853-97AA-4C38-9AF5-EE8AD6020B6C}"/>
    <cellStyle name="40% - Accent4 2 6 6" xfId="10042" xr:uid="{3AF82B2F-C43E-4375-BE0F-42E4548694D7}"/>
    <cellStyle name="40% - Accent4 2 7" xfId="1924" xr:uid="{00000000-0005-0000-0000-0000EB050000}"/>
    <cellStyle name="40% - Accent4 2 7 2" xfId="4153" xr:uid="{00000000-0005-0000-0000-0000EC050000}"/>
    <cellStyle name="40% - Accent4 2 7 2 2" xfId="8376" xr:uid="{00000000-0005-0000-0000-0000ED050000}"/>
    <cellStyle name="40% - Accent4 2 7 2 2 2" xfId="25259" xr:uid="{FB8A2098-8188-4C3D-A424-37D850CDBD5F}"/>
    <cellStyle name="40% - Accent4 2 7 2 2 3" xfId="33705" xr:uid="{57119C97-FC9F-4F87-9163-2C985DA727B7}"/>
    <cellStyle name="40% - Accent4 2 7 2 2 4" xfId="16818" xr:uid="{3882801B-587F-4B4B-98D6-A7F2C77CA30E}"/>
    <cellStyle name="40% - Accent4 2 7 2 3" xfId="21041" xr:uid="{8825E9D9-F38A-4771-BAE1-D5D315551863}"/>
    <cellStyle name="40% - Accent4 2 7 2 4" xfId="29488" xr:uid="{AB0C055E-57FA-4ACC-BE28-BDED9395C261}"/>
    <cellStyle name="40% - Accent4 2 7 2 5" xfId="12600" xr:uid="{35E5688B-6CD9-4791-A980-B6454AD0B94B}"/>
    <cellStyle name="40% - Accent4 2 7 3" xfId="6231" xr:uid="{00000000-0005-0000-0000-0000EE050000}"/>
    <cellStyle name="40% - Accent4 2 7 3 2" xfId="23114" xr:uid="{9CCBBA5E-6DBA-4817-AF73-E34A79139A05}"/>
    <cellStyle name="40% - Accent4 2 7 3 3" xfId="31560" xr:uid="{2FCA1997-8C02-4B78-B501-6CC8572CBA7D}"/>
    <cellStyle name="40% - Accent4 2 7 3 4" xfId="14673" xr:uid="{E6F1FA2D-D7F2-459A-B913-7C5671EDFA16}"/>
    <cellStyle name="40% - Accent4 2 7 4" xfId="18896" xr:uid="{9CFB94B7-9F22-4081-B7EB-78D92B3CD253}"/>
    <cellStyle name="40% - Accent4 2 7 5" xfId="27341" xr:uid="{631AB7A3-6599-4CC2-AECB-CD07F7E25180}"/>
    <cellStyle name="40% - Accent4 2 7 6" xfId="10455" xr:uid="{F43CAD4B-687A-4284-B9CF-37D499731FC6}"/>
    <cellStyle name="40% - Accent4 2 8" xfId="2337" xr:uid="{00000000-0005-0000-0000-0000EF050000}"/>
    <cellStyle name="40% - Accent4 2 8 2" xfId="6644" xr:uid="{00000000-0005-0000-0000-0000F0050000}"/>
    <cellStyle name="40% - Accent4 2 8 2 2" xfId="23527" xr:uid="{7F41A1BB-F970-4A07-A5AA-3DD65946B881}"/>
    <cellStyle name="40% - Accent4 2 8 2 3" xfId="31973" xr:uid="{C285C229-A562-4672-A625-19B8B8DC9122}"/>
    <cellStyle name="40% - Accent4 2 8 2 4" xfId="15086" xr:uid="{DBBEAD61-1CC7-4A29-B2A4-990A09EF1665}"/>
    <cellStyle name="40% - Accent4 2 8 3" xfId="19309" xr:uid="{AB0E3040-05FF-457D-897A-0CCD81EC458E}"/>
    <cellStyle name="40% - Accent4 2 8 4" xfId="27754" xr:uid="{346D05B5-68D2-4A6B-9F36-0C59AA168F1D}"/>
    <cellStyle name="40% - Accent4 2 8 5" xfId="10868" xr:uid="{A6ABA3EC-E21D-40CD-B33D-DD8C99FF507E}"/>
    <cellStyle name="40% - Accent4 2 9" xfId="4578" xr:uid="{00000000-0005-0000-0000-0000F1050000}"/>
    <cellStyle name="40% - Accent4 2 9 2" xfId="21461" xr:uid="{30084EF5-CC76-4178-A0FD-E90FD45DB3F3}"/>
    <cellStyle name="40% - Accent4 2 9 3" xfId="29907" xr:uid="{E0459855-042F-48AE-B57D-3CC40026B2CA}"/>
    <cellStyle name="40% - Accent4 2 9 4" xfId="13020" xr:uid="{AC66910F-C000-4645-AD89-E9BF1FE75ADC}"/>
    <cellStyle name="40% - Accent4 3" xfId="78" xr:uid="{00000000-0005-0000-0000-0000F2050000}"/>
    <cellStyle name="40% - Accent4 3 10" xfId="25689" xr:uid="{BC762880-19D4-4D12-AD62-6C6E87ED0518}"/>
    <cellStyle name="40% - Accent4 3 11" xfId="8806" xr:uid="{C6D6D4A8-15F9-4279-8689-CD9CF9A5C80C}"/>
    <cellStyle name="40% - Accent4 3 2" xfId="79" xr:uid="{00000000-0005-0000-0000-0000F3050000}"/>
    <cellStyle name="40% - Accent4 3 2 10" xfId="8807" xr:uid="{A635A379-53A1-42B6-B80F-7F474E0DF17E}"/>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24025" xr:uid="{1A33988F-33FB-4C7A-8D50-C1F6E9490A59}"/>
    <cellStyle name="40% - Accent4 3 2 2 2 2 3" xfId="32471" xr:uid="{312F6398-7CEC-464D-A53E-1C750B148140}"/>
    <cellStyle name="40% - Accent4 3 2 2 2 2 4" xfId="15584" xr:uid="{B1A55B8F-270E-47EC-9104-AC3259C019F4}"/>
    <cellStyle name="40% - Accent4 3 2 2 2 3" xfId="19807" xr:uid="{F6BED373-BF86-4286-8311-7C59271C2DD8}"/>
    <cellStyle name="40% - Accent4 3 2 2 2 4" xfId="28254" xr:uid="{45BD64BF-2953-4E5B-A423-BFEFFC5E2CF2}"/>
    <cellStyle name="40% - Accent4 3 2 2 2 5" xfId="11366" xr:uid="{1D37F2A2-0909-4792-A3C5-8412079C0949}"/>
    <cellStyle name="40% - Accent4 3 2 2 3" xfId="4997" xr:uid="{00000000-0005-0000-0000-0000F7050000}"/>
    <cellStyle name="40% - Accent4 3 2 2 3 2" xfId="21880" xr:uid="{EA5410A0-0705-46D3-8D74-C596F4B77B63}"/>
    <cellStyle name="40% - Accent4 3 2 2 3 3" xfId="30326" xr:uid="{8A9AD5DA-169F-4DFB-B52C-6DC5B4E8EE2B}"/>
    <cellStyle name="40% - Accent4 3 2 2 3 4" xfId="13439" xr:uid="{F9E4A1B7-9556-4321-B03D-283F9C49E367}"/>
    <cellStyle name="40% - Accent4 3 2 2 4" xfId="17662" xr:uid="{DD19E1DF-D3F5-4E37-A4FC-3D974F9D5642}"/>
    <cellStyle name="40% - Accent4 3 2 2 5" xfId="26107" xr:uid="{A47265E0-F556-43DD-BFEE-B55617B915A6}"/>
    <cellStyle name="40% - Accent4 3 2 2 6" xfId="9221" xr:uid="{DD5A0D0A-C6E1-40E3-9E12-AC5F198FCF6A}"/>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24438" xr:uid="{A4F3941A-B7CF-4F01-B842-3A49B7E8A28B}"/>
    <cellStyle name="40% - Accent4 3 2 3 2 2 3" xfId="32884" xr:uid="{59D6481D-35CF-4C09-B54E-084C42ED65EA}"/>
    <cellStyle name="40% - Accent4 3 2 3 2 2 4" xfId="15997" xr:uid="{B3952584-9EEC-4331-B66C-B709948830EF}"/>
    <cellStyle name="40% - Accent4 3 2 3 2 3" xfId="20220" xr:uid="{D41D6B6F-F6D9-415E-9BAF-F0F7276637FC}"/>
    <cellStyle name="40% - Accent4 3 2 3 2 4" xfId="28667" xr:uid="{8A8895E8-F6E2-4611-A92C-386E8435FF6E}"/>
    <cellStyle name="40% - Accent4 3 2 3 2 5" xfId="11779" xr:uid="{B5681C5C-5C8E-44EC-BF9E-54808CE44351}"/>
    <cellStyle name="40% - Accent4 3 2 3 3" xfId="5410" xr:uid="{00000000-0005-0000-0000-0000FB050000}"/>
    <cellStyle name="40% - Accent4 3 2 3 3 2" xfId="22293" xr:uid="{D2BA173A-9DF2-4E79-8F17-13B11FF893F4}"/>
    <cellStyle name="40% - Accent4 3 2 3 3 3" xfId="30739" xr:uid="{A1D5B50B-29BF-43D4-BF4E-ACA3A4F20352}"/>
    <cellStyle name="40% - Accent4 3 2 3 3 4" xfId="13852" xr:uid="{2E63C238-E98C-45F9-B006-00CC43E629ED}"/>
    <cellStyle name="40% - Accent4 3 2 3 4" xfId="18075" xr:uid="{A5B4335B-D70C-47CE-AF89-4D5F8707D315}"/>
    <cellStyle name="40% - Accent4 3 2 3 5" xfId="26520" xr:uid="{D7D118E1-8775-4C4E-B7CD-365F9335BF79}"/>
    <cellStyle name="40% - Accent4 3 2 3 6" xfId="9634" xr:uid="{76947A5D-9D75-4973-82F9-F17C1B09983D}"/>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24851" xr:uid="{AF5F59D8-30A0-454E-90CB-051ACD2913C9}"/>
    <cellStyle name="40% - Accent4 3 2 4 2 2 3" xfId="33297" xr:uid="{1F572615-02DB-420A-825C-2B191D956FA7}"/>
    <cellStyle name="40% - Accent4 3 2 4 2 2 4" xfId="16410" xr:uid="{62CB6722-697E-4A9A-92BF-4D5BF011F807}"/>
    <cellStyle name="40% - Accent4 3 2 4 2 3" xfId="20633" xr:uid="{161019A3-E935-4420-9454-1878B800AC80}"/>
    <cellStyle name="40% - Accent4 3 2 4 2 4" xfId="29080" xr:uid="{B51393B8-2CC5-4E81-B09E-9A8DF1C64B85}"/>
    <cellStyle name="40% - Accent4 3 2 4 2 5" xfId="12192" xr:uid="{D979A05F-B4CC-484E-BF55-4B1B48027625}"/>
    <cellStyle name="40% - Accent4 3 2 4 3" xfId="5823" xr:uid="{00000000-0005-0000-0000-0000FF050000}"/>
    <cellStyle name="40% - Accent4 3 2 4 3 2" xfId="22706" xr:uid="{A23A7B7B-5EB1-4CEA-8700-2D5CB8B61EBE}"/>
    <cellStyle name="40% - Accent4 3 2 4 3 3" xfId="31152" xr:uid="{D104C902-F25E-45D1-BADC-FABDE6864B94}"/>
    <cellStyle name="40% - Accent4 3 2 4 3 4" xfId="14265" xr:uid="{4514EB07-1905-48E5-A559-D74F9A5B705E}"/>
    <cellStyle name="40% - Accent4 3 2 4 4" xfId="18488" xr:uid="{AA16E3D3-3454-46E7-9E1A-8F075B2422ED}"/>
    <cellStyle name="40% - Accent4 3 2 4 5" xfId="26933" xr:uid="{8896C881-062D-4CCB-87B8-514D62112F37}"/>
    <cellStyle name="40% - Accent4 3 2 4 6" xfId="10047" xr:uid="{F967DCF6-0113-4CC3-A713-2D17E4A8BB49}"/>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25264" xr:uid="{F9C6B989-A912-4389-8268-DA65A8A27D12}"/>
    <cellStyle name="40% - Accent4 3 2 5 2 2 3" xfId="33710" xr:uid="{7AF1E798-C394-4DB6-86B9-A77A0D894572}"/>
    <cellStyle name="40% - Accent4 3 2 5 2 2 4" xfId="16823" xr:uid="{CAB1BBFE-ABA2-4A20-920B-EEF4767C9E1E}"/>
    <cellStyle name="40% - Accent4 3 2 5 2 3" xfId="21046" xr:uid="{8FF49A4A-3A3D-4D63-9E6C-0B37DCCA7C64}"/>
    <cellStyle name="40% - Accent4 3 2 5 2 4" xfId="29493" xr:uid="{23AEC818-2350-4F49-9ACD-D5C98CA45938}"/>
    <cellStyle name="40% - Accent4 3 2 5 2 5" xfId="12605" xr:uid="{AA144768-75C2-4298-9633-704DA7182E31}"/>
    <cellStyle name="40% - Accent4 3 2 5 3" xfId="6236" xr:uid="{00000000-0005-0000-0000-000003060000}"/>
    <cellStyle name="40% - Accent4 3 2 5 3 2" xfId="23119" xr:uid="{B35D0844-B9C4-465C-BC9D-DAD0176A1B83}"/>
    <cellStyle name="40% - Accent4 3 2 5 3 3" xfId="31565" xr:uid="{80335337-8D92-45B3-9E65-EA45B31655AF}"/>
    <cellStyle name="40% - Accent4 3 2 5 3 4" xfId="14678" xr:uid="{4BA007AD-9D7B-4D49-AC31-8D611A069054}"/>
    <cellStyle name="40% - Accent4 3 2 5 4" xfId="18901" xr:uid="{DC2E2F6C-D861-4FDF-911D-BEA29B8D1CB5}"/>
    <cellStyle name="40% - Accent4 3 2 5 5" xfId="27346" xr:uid="{792A2418-AAB7-4E2F-B730-5FE237CC3021}"/>
    <cellStyle name="40% - Accent4 3 2 5 6" xfId="10460" xr:uid="{CC061405-D4FC-4914-84F0-F3EAF6101167}"/>
    <cellStyle name="40% - Accent4 3 2 6" xfId="2342" xr:uid="{00000000-0005-0000-0000-000004060000}"/>
    <cellStyle name="40% - Accent4 3 2 6 2" xfId="6649" xr:uid="{00000000-0005-0000-0000-000005060000}"/>
    <cellStyle name="40% - Accent4 3 2 6 2 2" xfId="23532" xr:uid="{26278EC5-8D1F-494B-AC11-43C79D4A3EAE}"/>
    <cellStyle name="40% - Accent4 3 2 6 2 3" xfId="31978" xr:uid="{A1848EC4-786C-4EE1-BBE6-BB0C842AC7AB}"/>
    <cellStyle name="40% - Accent4 3 2 6 2 4" xfId="15091" xr:uid="{33A880D0-0B74-4998-AD6D-FB3505A0FA1C}"/>
    <cellStyle name="40% - Accent4 3 2 6 3" xfId="19314" xr:uid="{AF012F28-6782-4758-A7E4-7580580446FE}"/>
    <cellStyle name="40% - Accent4 3 2 6 4" xfId="27759" xr:uid="{79EEA744-4E33-4159-91EB-78AD89F0B04D}"/>
    <cellStyle name="40% - Accent4 3 2 6 5" xfId="10873" xr:uid="{0053B4BC-5C2A-484E-B1DA-07B772A52C9C}"/>
    <cellStyle name="40% - Accent4 3 2 7" xfId="4583" xr:uid="{00000000-0005-0000-0000-000006060000}"/>
    <cellStyle name="40% - Accent4 3 2 7 2" xfId="21466" xr:uid="{EBAD5064-66EE-47A1-9C53-0AEE09AE586E}"/>
    <cellStyle name="40% - Accent4 3 2 7 3" xfId="29912" xr:uid="{3314797C-7B67-4EC1-907F-D43C165B3860}"/>
    <cellStyle name="40% - Accent4 3 2 7 4" xfId="13025" xr:uid="{6FA63A4C-BAD9-4E0F-AFCF-EF9FBC011BE0}"/>
    <cellStyle name="40% - Accent4 3 2 8" xfId="17248" xr:uid="{BFD5138F-1026-45CA-B5DC-91A59546F010}"/>
    <cellStyle name="40% - Accent4 3 2 9" xfId="25690" xr:uid="{708E9DAC-C8B8-4D01-8D7E-D463FF195CC9}"/>
    <cellStyle name="40% - Accent4 3 3" xfId="647" xr:uid="{00000000-0005-0000-0000-000007060000}"/>
    <cellStyle name="40% - Accent4 3 3 2" xfId="2918" xr:uid="{00000000-0005-0000-0000-000008060000}"/>
    <cellStyle name="40% - Accent4 3 3 2 2" xfId="7141" xr:uid="{00000000-0005-0000-0000-000009060000}"/>
    <cellStyle name="40% - Accent4 3 3 2 2 2" xfId="24024" xr:uid="{89A90CDC-B934-4577-B4E0-5FE177926820}"/>
    <cellStyle name="40% - Accent4 3 3 2 2 3" xfId="32470" xr:uid="{792E245E-A42E-4D8D-983C-29459B900B05}"/>
    <cellStyle name="40% - Accent4 3 3 2 2 4" xfId="15583" xr:uid="{9103E10C-99AD-4F46-95B4-D6E1018B4F9E}"/>
    <cellStyle name="40% - Accent4 3 3 2 3" xfId="19806" xr:uid="{FAA69B0D-36FF-4C89-AEE0-18944CD291E4}"/>
    <cellStyle name="40% - Accent4 3 3 2 4" xfId="28253" xr:uid="{1CDB3931-C27D-4404-93CD-49CF44D665A5}"/>
    <cellStyle name="40% - Accent4 3 3 2 5" xfId="11365" xr:uid="{FFF0C5A3-F6B1-4D88-B87C-3F76268C14E5}"/>
    <cellStyle name="40% - Accent4 3 3 3" xfId="4996" xr:uid="{00000000-0005-0000-0000-00000A060000}"/>
    <cellStyle name="40% - Accent4 3 3 3 2" xfId="21879" xr:uid="{F3DD84EF-BC29-4D15-84E8-37B8DBFD07AF}"/>
    <cellStyle name="40% - Accent4 3 3 3 3" xfId="30325" xr:uid="{9F152CDD-BD4A-4138-AA88-8F1DE26557D2}"/>
    <cellStyle name="40% - Accent4 3 3 3 4" xfId="13438" xr:uid="{C1B9C44C-BEAE-4941-8121-0A839F138359}"/>
    <cellStyle name="40% - Accent4 3 3 4" xfId="17661" xr:uid="{9CE2EDDC-834C-4979-9F7B-87887C32DEFE}"/>
    <cellStyle name="40% - Accent4 3 3 5" xfId="26106" xr:uid="{1B068760-7262-49CA-98D4-83AB0ACF6AF6}"/>
    <cellStyle name="40% - Accent4 3 3 6" xfId="9220" xr:uid="{58B829DF-E546-4342-9C2E-4F4358658B1A}"/>
    <cellStyle name="40% - Accent4 3 4" xfId="1100" xr:uid="{00000000-0005-0000-0000-00000B060000}"/>
    <cellStyle name="40% - Accent4 3 4 2" xfId="3331" xr:uid="{00000000-0005-0000-0000-00000C060000}"/>
    <cellStyle name="40% - Accent4 3 4 2 2" xfId="7554" xr:uid="{00000000-0005-0000-0000-00000D060000}"/>
    <cellStyle name="40% - Accent4 3 4 2 2 2" xfId="24437" xr:uid="{E1737F3E-C696-4CDA-8B88-4FAE79EC84E3}"/>
    <cellStyle name="40% - Accent4 3 4 2 2 3" xfId="32883" xr:uid="{AFA2588A-D615-4A19-B46B-C35C1BC9374B}"/>
    <cellStyle name="40% - Accent4 3 4 2 2 4" xfId="15996" xr:uid="{22EF49FB-1997-4286-B6A2-43409596C5CF}"/>
    <cellStyle name="40% - Accent4 3 4 2 3" xfId="20219" xr:uid="{222B4953-406B-4958-9419-C8D6773832CC}"/>
    <cellStyle name="40% - Accent4 3 4 2 4" xfId="28666" xr:uid="{0299682D-14F3-4B52-AD16-1297E993D40C}"/>
    <cellStyle name="40% - Accent4 3 4 2 5" xfId="11778" xr:uid="{A00C7AE2-987D-49E8-9C91-19FC6FDB9B5B}"/>
    <cellStyle name="40% - Accent4 3 4 3" xfId="5409" xr:uid="{00000000-0005-0000-0000-00000E060000}"/>
    <cellStyle name="40% - Accent4 3 4 3 2" xfId="22292" xr:uid="{2EF9A7D6-C028-4D02-9237-E4ACB1E49AAB}"/>
    <cellStyle name="40% - Accent4 3 4 3 3" xfId="30738" xr:uid="{A3A1F840-CB84-4869-9DFA-D61A20208490}"/>
    <cellStyle name="40% - Accent4 3 4 3 4" xfId="13851" xr:uid="{7D0D8B3C-1479-4CEB-9539-DC9BC2BDD5D5}"/>
    <cellStyle name="40% - Accent4 3 4 4" xfId="18074" xr:uid="{F894A490-2F8B-440D-82F9-FDEA47F1C600}"/>
    <cellStyle name="40% - Accent4 3 4 5" xfId="26519" xr:uid="{1B938AAA-D346-4712-BD65-BCFD33E6B865}"/>
    <cellStyle name="40% - Accent4 3 4 6" xfId="9633" xr:uid="{08CC1A82-D651-4DB9-861C-160D888AE546}"/>
    <cellStyle name="40% - Accent4 3 5" xfId="1514" xr:uid="{00000000-0005-0000-0000-00000F060000}"/>
    <cellStyle name="40% - Accent4 3 5 2" xfId="3744" xr:uid="{00000000-0005-0000-0000-000010060000}"/>
    <cellStyle name="40% - Accent4 3 5 2 2" xfId="7967" xr:uid="{00000000-0005-0000-0000-000011060000}"/>
    <cellStyle name="40% - Accent4 3 5 2 2 2" xfId="24850" xr:uid="{D87538DF-A12A-4BDC-9651-FC06E980C376}"/>
    <cellStyle name="40% - Accent4 3 5 2 2 3" xfId="33296" xr:uid="{36318543-0903-4512-966C-210D3B215C72}"/>
    <cellStyle name="40% - Accent4 3 5 2 2 4" xfId="16409" xr:uid="{969B48F7-0BB0-4064-82FB-8F48EC6F6B21}"/>
    <cellStyle name="40% - Accent4 3 5 2 3" xfId="20632" xr:uid="{EB75704D-B103-4A52-BA9C-2B3AAC36E067}"/>
    <cellStyle name="40% - Accent4 3 5 2 4" xfId="29079" xr:uid="{EF9E278D-0F73-4E8E-89AB-7DD1F35EE660}"/>
    <cellStyle name="40% - Accent4 3 5 2 5" xfId="12191" xr:uid="{FE57B36B-827A-4857-B631-12AE3735EC57}"/>
    <cellStyle name="40% - Accent4 3 5 3" xfId="5822" xr:uid="{00000000-0005-0000-0000-000012060000}"/>
    <cellStyle name="40% - Accent4 3 5 3 2" xfId="22705" xr:uid="{68C7097D-0B5A-4550-A414-FE15CA7DCA5E}"/>
    <cellStyle name="40% - Accent4 3 5 3 3" xfId="31151" xr:uid="{95FA719F-4EDC-4CED-AC9F-4067135CE115}"/>
    <cellStyle name="40% - Accent4 3 5 3 4" xfId="14264" xr:uid="{04068B72-AA3E-43FC-98BF-312E4ABC2477}"/>
    <cellStyle name="40% - Accent4 3 5 4" xfId="18487" xr:uid="{DD1F53F1-7059-4131-AE51-4DDD0CA291FF}"/>
    <cellStyle name="40% - Accent4 3 5 5" xfId="26932" xr:uid="{C172D2F6-8DC3-4BE7-8131-D9034B56B616}"/>
    <cellStyle name="40% - Accent4 3 5 6" xfId="10046" xr:uid="{451943A1-842C-4DC4-B9FB-9D4FAE711EC5}"/>
    <cellStyle name="40% - Accent4 3 6" xfId="1928" xr:uid="{00000000-0005-0000-0000-000013060000}"/>
    <cellStyle name="40% - Accent4 3 6 2" xfId="4157" xr:uid="{00000000-0005-0000-0000-000014060000}"/>
    <cellStyle name="40% - Accent4 3 6 2 2" xfId="8380" xr:uid="{00000000-0005-0000-0000-000015060000}"/>
    <cellStyle name="40% - Accent4 3 6 2 2 2" xfId="25263" xr:uid="{7A33AA34-8ABE-4032-B02A-D1D1A5AE58AA}"/>
    <cellStyle name="40% - Accent4 3 6 2 2 3" xfId="33709" xr:uid="{189B9726-8890-4178-BB08-800A460D89DA}"/>
    <cellStyle name="40% - Accent4 3 6 2 2 4" xfId="16822" xr:uid="{A96452DF-F630-43C7-87AA-C4A4807BFA2F}"/>
    <cellStyle name="40% - Accent4 3 6 2 3" xfId="21045" xr:uid="{5FAF2511-E4AF-411B-A2C9-5F3E90EF312D}"/>
    <cellStyle name="40% - Accent4 3 6 2 4" xfId="29492" xr:uid="{B610F82E-483D-4AEE-BCA4-65EF1D83FC9E}"/>
    <cellStyle name="40% - Accent4 3 6 2 5" xfId="12604" xr:uid="{0B7542E0-2283-400D-901F-18A19D5310CD}"/>
    <cellStyle name="40% - Accent4 3 6 3" xfId="6235" xr:uid="{00000000-0005-0000-0000-000016060000}"/>
    <cellStyle name="40% - Accent4 3 6 3 2" xfId="23118" xr:uid="{A011AB9F-D57F-4230-B69B-406DE6467E42}"/>
    <cellStyle name="40% - Accent4 3 6 3 3" xfId="31564" xr:uid="{2D8FF2D6-D293-424A-8700-CF13CB3FFCD5}"/>
    <cellStyle name="40% - Accent4 3 6 3 4" xfId="14677" xr:uid="{16169ABF-AB4D-4B50-B925-4499722F5EF1}"/>
    <cellStyle name="40% - Accent4 3 6 4" xfId="18900" xr:uid="{68EA5BC0-3AA0-4B00-B7C3-8C5E40EE08D7}"/>
    <cellStyle name="40% - Accent4 3 6 5" xfId="27345" xr:uid="{E4A1779D-E508-4CFF-B2B6-762AFCC0868F}"/>
    <cellStyle name="40% - Accent4 3 6 6" xfId="10459" xr:uid="{EBA3122A-85FA-47B1-BB61-26224B9065C8}"/>
    <cellStyle name="40% - Accent4 3 7" xfId="2341" xr:uid="{00000000-0005-0000-0000-000017060000}"/>
    <cellStyle name="40% - Accent4 3 7 2" xfId="6648" xr:uid="{00000000-0005-0000-0000-000018060000}"/>
    <cellStyle name="40% - Accent4 3 7 2 2" xfId="23531" xr:uid="{ABF221BF-0FE8-4975-A05A-551798AAD43F}"/>
    <cellStyle name="40% - Accent4 3 7 2 3" xfId="31977" xr:uid="{F29E190F-D100-4C67-AA1D-386CFBA45C3B}"/>
    <cellStyle name="40% - Accent4 3 7 2 4" xfId="15090" xr:uid="{525E7FD7-BDB8-45F4-B4C6-CB0A16378E8F}"/>
    <cellStyle name="40% - Accent4 3 7 3" xfId="19313" xr:uid="{A7EDC466-1758-485B-912D-CCD2641FC1A0}"/>
    <cellStyle name="40% - Accent4 3 7 4" xfId="27758" xr:uid="{D46AA58F-68FE-4E2E-9AD5-79BD9963A032}"/>
    <cellStyle name="40% - Accent4 3 7 5" xfId="10872" xr:uid="{8C9C21BE-798D-4ECA-A668-B44BBB762F5E}"/>
    <cellStyle name="40% - Accent4 3 8" xfId="4582" xr:uid="{00000000-0005-0000-0000-000019060000}"/>
    <cellStyle name="40% - Accent4 3 8 2" xfId="21465" xr:uid="{AC8BFADD-004A-4C0C-8CA2-36EBD0BE2006}"/>
    <cellStyle name="40% - Accent4 3 8 3" xfId="29911" xr:uid="{F8A30698-E781-44E1-A0AE-B22E5A559F50}"/>
    <cellStyle name="40% - Accent4 3 8 4" xfId="13024" xr:uid="{6B8FFC38-334D-4B97-85AC-A2EC76CD7568}"/>
    <cellStyle name="40% - Accent4 3 9" xfId="17247" xr:uid="{C0B7015F-95C0-4FD7-B08A-790F81CF0189}"/>
    <cellStyle name="40% - Accent4 4" xfId="80" xr:uid="{00000000-0005-0000-0000-00001A060000}"/>
    <cellStyle name="40% - Accent4 4 10" xfId="8808" xr:uid="{F77F2BE4-0DF0-4488-8E59-8BE94BF42A5C}"/>
    <cellStyle name="40% - Accent4 4 2" xfId="649" xr:uid="{00000000-0005-0000-0000-00001B060000}"/>
    <cellStyle name="40% - Accent4 4 2 2" xfId="2920" xr:uid="{00000000-0005-0000-0000-00001C060000}"/>
    <cellStyle name="40% - Accent4 4 2 2 2" xfId="7143" xr:uid="{00000000-0005-0000-0000-00001D060000}"/>
    <cellStyle name="40% - Accent4 4 2 2 2 2" xfId="24026" xr:uid="{C1EF738D-BE07-4131-8D13-F9D95936EC84}"/>
    <cellStyle name="40% - Accent4 4 2 2 2 3" xfId="32472" xr:uid="{A9CD7FBA-FFB5-4B8C-A3AB-38BDBEC1FDFE}"/>
    <cellStyle name="40% - Accent4 4 2 2 2 4" xfId="15585" xr:uid="{55994073-7A08-44AF-94C8-912D32BFC0DF}"/>
    <cellStyle name="40% - Accent4 4 2 2 3" xfId="19808" xr:uid="{EF77AA81-6B68-4485-92AA-4D058BA37D1C}"/>
    <cellStyle name="40% - Accent4 4 2 2 4" xfId="28255" xr:uid="{0E4647DC-7A64-4942-8A11-C5AF8D60DF79}"/>
    <cellStyle name="40% - Accent4 4 2 2 5" xfId="11367" xr:uid="{4E434D60-CD1E-4D2D-A3F3-98A3FAF0FA05}"/>
    <cellStyle name="40% - Accent4 4 2 3" xfId="4998" xr:uid="{00000000-0005-0000-0000-00001E060000}"/>
    <cellStyle name="40% - Accent4 4 2 3 2" xfId="21881" xr:uid="{2EA19321-0CA2-4460-A2D5-417C02C77786}"/>
    <cellStyle name="40% - Accent4 4 2 3 3" xfId="30327" xr:uid="{D71D9E00-CE01-4C56-8C85-808B0CDF59EB}"/>
    <cellStyle name="40% - Accent4 4 2 3 4" xfId="13440" xr:uid="{41DF9913-6BF4-4FA5-8BB3-45D1A791CB77}"/>
    <cellStyle name="40% - Accent4 4 2 4" xfId="17663" xr:uid="{25F41502-447E-4D0D-A065-5B0231E2812A}"/>
    <cellStyle name="40% - Accent4 4 2 5" xfId="26108" xr:uid="{EDE3C1E5-F9C5-4889-ADD6-89A03204DDDB}"/>
    <cellStyle name="40% - Accent4 4 2 6" xfId="9222" xr:uid="{4682B762-4A25-4B68-8772-A3A71E226BDA}"/>
    <cellStyle name="40% - Accent4 4 3" xfId="1102" xr:uid="{00000000-0005-0000-0000-00001F060000}"/>
    <cellStyle name="40% - Accent4 4 3 2" xfId="3333" xr:uid="{00000000-0005-0000-0000-000020060000}"/>
    <cellStyle name="40% - Accent4 4 3 2 2" xfId="7556" xr:uid="{00000000-0005-0000-0000-000021060000}"/>
    <cellStyle name="40% - Accent4 4 3 2 2 2" xfId="24439" xr:uid="{B3D39B3B-684A-41B8-A249-F32A5D693393}"/>
    <cellStyle name="40% - Accent4 4 3 2 2 3" xfId="32885" xr:uid="{03044A15-B65D-4FA6-B111-3922803C5ED0}"/>
    <cellStyle name="40% - Accent4 4 3 2 2 4" xfId="15998" xr:uid="{0F409CA1-1E6D-4E18-B996-86BF86CDEC95}"/>
    <cellStyle name="40% - Accent4 4 3 2 3" xfId="20221" xr:uid="{EB350140-4B18-4350-98EC-21A9E432F210}"/>
    <cellStyle name="40% - Accent4 4 3 2 4" xfId="28668" xr:uid="{9740521F-8E90-486D-B2DF-7BA8D011D709}"/>
    <cellStyle name="40% - Accent4 4 3 2 5" xfId="11780" xr:uid="{741AA3CF-B528-42A3-A2F8-9BBB1AB8F0A1}"/>
    <cellStyle name="40% - Accent4 4 3 3" xfId="5411" xr:uid="{00000000-0005-0000-0000-000022060000}"/>
    <cellStyle name="40% - Accent4 4 3 3 2" xfId="22294" xr:uid="{D1EFBC26-1F5D-4B2B-9F09-07688C9E0C6D}"/>
    <cellStyle name="40% - Accent4 4 3 3 3" xfId="30740" xr:uid="{1C8A22ED-1032-495C-B8DC-021034247BE9}"/>
    <cellStyle name="40% - Accent4 4 3 3 4" xfId="13853" xr:uid="{C869CC72-8A22-45E1-B467-C89A95BB7BC3}"/>
    <cellStyle name="40% - Accent4 4 3 4" xfId="18076" xr:uid="{21A8AFB3-2180-40EF-A378-2713181E34CC}"/>
    <cellStyle name="40% - Accent4 4 3 5" xfId="26521" xr:uid="{84D6EDFE-1F80-4EBA-AF33-727F49337214}"/>
    <cellStyle name="40% - Accent4 4 3 6" xfId="9635" xr:uid="{2D2A4960-60BF-48F0-ACF7-FD7ACB45BDC7}"/>
    <cellStyle name="40% - Accent4 4 4" xfId="1516" xr:uid="{00000000-0005-0000-0000-000023060000}"/>
    <cellStyle name="40% - Accent4 4 4 2" xfId="3746" xr:uid="{00000000-0005-0000-0000-000024060000}"/>
    <cellStyle name="40% - Accent4 4 4 2 2" xfId="7969" xr:uid="{00000000-0005-0000-0000-000025060000}"/>
    <cellStyle name="40% - Accent4 4 4 2 2 2" xfId="24852" xr:uid="{3359C779-3AC9-4080-981E-AAB1F68505D3}"/>
    <cellStyle name="40% - Accent4 4 4 2 2 3" xfId="33298" xr:uid="{D0D7B4A3-6194-40D8-8E91-8D8247619BB9}"/>
    <cellStyle name="40% - Accent4 4 4 2 2 4" xfId="16411" xr:uid="{4A5C2496-4843-42D3-AD12-537B7C523275}"/>
    <cellStyle name="40% - Accent4 4 4 2 3" xfId="20634" xr:uid="{5C2FC2B5-6682-4A5D-9957-903F5BE86549}"/>
    <cellStyle name="40% - Accent4 4 4 2 4" xfId="29081" xr:uid="{84D20664-4E12-4716-B541-B7040F4D14F1}"/>
    <cellStyle name="40% - Accent4 4 4 2 5" xfId="12193" xr:uid="{C0A0553D-7DCF-4545-BE69-E18338C8154F}"/>
    <cellStyle name="40% - Accent4 4 4 3" xfId="5824" xr:uid="{00000000-0005-0000-0000-000026060000}"/>
    <cellStyle name="40% - Accent4 4 4 3 2" xfId="22707" xr:uid="{2203CD89-186E-40DB-B87C-D022127DA686}"/>
    <cellStyle name="40% - Accent4 4 4 3 3" xfId="31153" xr:uid="{640993F0-8C91-4A24-8F25-C9BA602FF1F1}"/>
    <cellStyle name="40% - Accent4 4 4 3 4" xfId="14266" xr:uid="{7FF17801-7BAA-48DB-8666-6E642C1B16EE}"/>
    <cellStyle name="40% - Accent4 4 4 4" xfId="18489" xr:uid="{63D334B3-547F-48AA-8FC5-69CDF06287B4}"/>
    <cellStyle name="40% - Accent4 4 4 5" xfId="26934" xr:uid="{7968709E-2AA5-4367-B16F-69BDA7E71439}"/>
    <cellStyle name="40% - Accent4 4 4 6" xfId="10048" xr:uid="{99B8F036-7915-4E46-9F34-DB94A40E983B}"/>
    <cellStyle name="40% - Accent4 4 5" xfId="1930" xr:uid="{00000000-0005-0000-0000-000027060000}"/>
    <cellStyle name="40% - Accent4 4 5 2" xfId="4159" xr:uid="{00000000-0005-0000-0000-000028060000}"/>
    <cellStyle name="40% - Accent4 4 5 2 2" xfId="8382" xr:uid="{00000000-0005-0000-0000-000029060000}"/>
    <cellStyle name="40% - Accent4 4 5 2 2 2" xfId="25265" xr:uid="{CB320743-1147-4110-9667-5C9FC438E59D}"/>
    <cellStyle name="40% - Accent4 4 5 2 2 3" xfId="33711" xr:uid="{59F4B8C8-F94C-4A14-AA13-650891832C7D}"/>
    <cellStyle name="40% - Accent4 4 5 2 2 4" xfId="16824" xr:uid="{4949D250-A024-43F8-B4BF-CD753F8060E7}"/>
    <cellStyle name="40% - Accent4 4 5 2 3" xfId="21047" xr:uid="{0C471D84-8D91-4FB7-8A96-E893A6AAD6B2}"/>
    <cellStyle name="40% - Accent4 4 5 2 4" xfId="29494" xr:uid="{DA30F67A-948E-4B0D-947C-E5B20733B4A5}"/>
    <cellStyle name="40% - Accent4 4 5 2 5" xfId="12606" xr:uid="{B3EB0A90-EA6C-49BC-840A-F7F0685817C1}"/>
    <cellStyle name="40% - Accent4 4 5 3" xfId="6237" xr:uid="{00000000-0005-0000-0000-00002A060000}"/>
    <cellStyle name="40% - Accent4 4 5 3 2" xfId="23120" xr:uid="{CAADE6E5-E025-4353-AE0E-220A9D97BD0D}"/>
    <cellStyle name="40% - Accent4 4 5 3 3" xfId="31566" xr:uid="{617AA767-5F7C-41A9-8324-05575E5F37FA}"/>
    <cellStyle name="40% - Accent4 4 5 3 4" xfId="14679" xr:uid="{F114EC4C-1F92-437C-B5DD-943B0F45A7E1}"/>
    <cellStyle name="40% - Accent4 4 5 4" xfId="18902" xr:uid="{BA06F6EB-9E59-49A1-BF53-8B9DDB5C2207}"/>
    <cellStyle name="40% - Accent4 4 5 5" xfId="27347" xr:uid="{E3D3698B-00CB-4B11-8DF5-6CE182F9A701}"/>
    <cellStyle name="40% - Accent4 4 5 6" xfId="10461" xr:uid="{49E8267D-673D-4126-8BE2-87BB770D3A99}"/>
    <cellStyle name="40% - Accent4 4 6" xfId="2343" xr:uid="{00000000-0005-0000-0000-00002B060000}"/>
    <cellStyle name="40% - Accent4 4 6 2" xfId="6650" xr:uid="{00000000-0005-0000-0000-00002C060000}"/>
    <cellStyle name="40% - Accent4 4 6 2 2" xfId="23533" xr:uid="{C301A705-03E3-45BE-AA80-BB515CC6F903}"/>
    <cellStyle name="40% - Accent4 4 6 2 3" xfId="31979" xr:uid="{39C161E7-F534-4697-8AE3-E97FA1374BDB}"/>
    <cellStyle name="40% - Accent4 4 6 2 4" xfId="15092" xr:uid="{791602BD-70A4-4D72-9770-7A2779A04F99}"/>
    <cellStyle name="40% - Accent4 4 6 3" xfId="19315" xr:uid="{77905FE0-3C7C-4B37-ADF9-EE75FD9A09B6}"/>
    <cellStyle name="40% - Accent4 4 6 4" xfId="27760" xr:uid="{8AB1D7C8-7DBA-4E06-9446-79A3F4BAD68C}"/>
    <cellStyle name="40% - Accent4 4 6 5" xfId="10874" xr:uid="{4DA65E55-9244-46DE-AA62-1BEBB3A0BC74}"/>
    <cellStyle name="40% - Accent4 4 7" xfId="4584" xr:uid="{00000000-0005-0000-0000-00002D060000}"/>
    <cellStyle name="40% - Accent4 4 7 2" xfId="21467" xr:uid="{154925C1-C7B7-4EB2-9524-A988ACE3EAB0}"/>
    <cellStyle name="40% - Accent4 4 7 3" xfId="29913" xr:uid="{C85D9A44-393C-4966-BE88-04A9080DA18D}"/>
    <cellStyle name="40% - Accent4 4 7 4" xfId="13026" xr:uid="{77C81D9F-26FC-4DBD-A745-3C64900E0819}"/>
    <cellStyle name="40% - Accent4 4 8" xfId="17249" xr:uid="{B0C98F7E-6ABD-4D9C-B327-D8CFB5F45629}"/>
    <cellStyle name="40% - Accent4 4 9" xfId="25691" xr:uid="{D64C9E51-0DDB-492A-B035-A30E6EA4BFFD}"/>
    <cellStyle name="40% - Accent4 5" xfId="642" xr:uid="{00000000-0005-0000-0000-00002E060000}"/>
    <cellStyle name="40% - Accent4 5 2" xfId="2913" xr:uid="{00000000-0005-0000-0000-00002F060000}"/>
    <cellStyle name="40% - Accent4 5 2 2" xfId="7136" xr:uid="{00000000-0005-0000-0000-000030060000}"/>
    <cellStyle name="40% - Accent4 5 2 2 2" xfId="24019" xr:uid="{F76DF51F-0651-417E-A7A9-12F538E9DA1D}"/>
    <cellStyle name="40% - Accent4 5 2 2 3" xfId="32465" xr:uid="{E7E200C2-D26B-4832-BA7A-6E83FBBB7E99}"/>
    <cellStyle name="40% - Accent4 5 2 2 4" xfId="15578" xr:uid="{622B5FE7-47B5-4A8E-97E0-6E9F1CEADFA5}"/>
    <cellStyle name="40% - Accent4 5 2 3" xfId="19801" xr:uid="{ED07FE39-39F7-49FC-9D7E-8DACEC37571C}"/>
    <cellStyle name="40% - Accent4 5 2 4" xfId="28248" xr:uid="{6710B6C9-FFC0-49AC-801F-BF55F92F1477}"/>
    <cellStyle name="40% - Accent4 5 2 5" xfId="11360" xr:uid="{BBEC3177-760E-4745-A1A9-D3B7CFE3367C}"/>
    <cellStyle name="40% - Accent4 5 3" xfId="4991" xr:uid="{00000000-0005-0000-0000-000031060000}"/>
    <cellStyle name="40% - Accent4 5 3 2" xfId="21874" xr:uid="{E7925AD8-B0DC-4823-A460-AC29311FA735}"/>
    <cellStyle name="40% - Accent4 5 3 3" xfId="30320" xr:uid="{B17F3E0A-D120-4201-A818-CB127127A2A8}"/>
    <cellStyle name="40% - Accent4 5 3 4" xfId="13433" xr:uid="{A584A99B-FBCA-4FE5-942B-BA93020522C2}"/>
    <cellStyle name="40% - Accent4 5 4" xfId="17656" xr:uid="{7A809CD1-82E5-42A4-B939-D11F5AFE81A9}"/>
    <cellStyle name="40% - Accent4 5 5" xfId="26101" xr:uid="{D3BF5DCC-9D73-4AF3-97D9-5A4FACBF4055}"/>
    <cellStyle name="40% - Accent4 5 6" xfId="9215" xr:uid="{ECE67EBC-D13D-435E-8F31-7A0A67536454}"/>
    <cellStyle name="40% - Accent4 6" xfId="1095" xr:uid="{00000000-0005-0000-0000-000032060000}"/>
    <cellStyle name="40% - Accent4 6 2" xfId="3326" xr:uid="{00000000-0005-0000-0000-000033060000}"/>
    <cellStyle name="40% - Accent4 6 2 2" xfId="7549" xr:uid="{00000000-0005-0000-0000-000034060000}"/>
    <cellStyle name="40% - Accent4 6 2 2 2" xfId="24432" xr:uid="{D7F19F57-29ED-4CD1-9CA0-5E707495EC83}"/>
    <cellStyle name="40% - Accent4 6 2 2 3" xfId="32878" xr:uid="{BBBB05EE-A3AE-493C-B683-8ED85FEFAF53}"/>
    <cellStyle name="40% - Accent4 6 2 2 4" xfId="15991" xr:uid="{CD121EEE-3E4F-45F5-94D4-1D7F9328A48B}"/>
    <cellStyle name="40% - Accent4 6 2 3" xfId="20214" xr:uid="{3E60CD93-1DD2-471D-B2A2-79F6EFDA1911}"/>
    <cellStyle name="40% - Accent4 6 2 4" xfId="28661" xr:uid="{086A2123-8D17-4523-BFF9-FA4E6D8BD816}"/>
    <cellStyle name="40% - Accent4 6 2 5" xfId="11773" xr:uid="{4EE62783-1071-4516-851A-86C5F3156DFE}"/>
    <cellStyle name="40% - Accent4 6 3" xfId="5404" xr:uid="{00000000-0005-0000-0000-000035060000}"/>
    <cellStyle name="40% - Accent4 6 3 2" xfId="22287" xr:uid="{7E24F2D1-A0EC-442B-AF7A-AB8CAE4BCDFC}"/>
    <cellStyle name="40% - Accent4 6 3 3" xfId="30733" xr:uid="{0A70AA5F-AB70-4C2A-82E7-06EBC84451D6}"/>
    <cellStyle name="40% - Accent4 6 3 4" xfId="13846" xr:uid="{EBFCDBF3-0D2B-484E-9CA6-7188566D945E}"/>
    <cellStyle name="40% - Accent4 6 4" xfId="18069" xr:uid="{562357B0-4492-4F25-9096-A6D1F1D8A280}"/>
    <cellStyle name="40% - Accent4 6 5" xfId="26514" xr:uid="{9925220D-1282-488A-BE58-E9061FDB50F3}"/>
    <cellStyle name="40% - Accent4 6 6" xfId="9628" xr:uid="{F0486F3A-AFA7-481F-9A96-6E690ECB844C}"/>
    <cellStyle name="40% - Accent4 7" xfId="1509" xr:uid="{00000000-0005-0000-0000-000036060000}"/>
    <cellStyle name="40% - Accent4 7 2" xfId="3739" xr:uid="{00000000-0005-0000-0000-000037060000}"/>
    <cellStyle name="40% - Accent4 7 2 2" xfId="7962" xr:uid="{00000000-0005-0000-0000-000038060000}"/>
    <cellStyle name="40% - Accent4 7 2 2 2" xfId="24845" xr:uid="{80A63846-8078-4954-B2F6-884633DD17DC}"/>
    <cellStyle name="40% - Accent4 7 2 2 3" xfId="33291" xr:uid="{3F89A78F-BADD-4597-8D84-5D618025B8CF}"/>
    <cellStyle name="40% - Accent4 7 2 2 4" xfId="16404" xr:uid="{377F493B-FBCB-43B1-97F4-84DCCD2CAD94}"/>
    <cellStyle name="40% - Accent4 7 2 3" xfId="20627" xr:uid="{7E18570A-A1A1-4D44-B0AF-2D451B769929}"/>
    <cellStyle name="40% - Accent4 7 2 4" xfId="29074" xr:uid="{5B3ABC3E-ADFC-4422-A962-B9C08B7AF7B3}"/>
    <cellStyle name="40% - Accent4 7 2 5" xfId="12186" xr:uid="{20A4EE78-E33D-4765-A263-5CAC2F134FE7}"/>
    <cellStyle name="40% - Accent4 7 3" xfId="5817" xr:uid="{00000000-0005-0000-0000-000039060000}"/>
    <cellStyle name="40% - Accent4 7 3 2" xfId="22700" xr:uid="{5083D8E9-1259-4402-B5EB-1C5C6D54B50A}"/>
    <cellStyle name="40% - Accent4 7 3 3" xfId="31146" xr:uid="{81171909-AE2F-455A-A42A-8F451C59A096}"/>
    <cellStyle name="40% - Accent4 7 3 4" xfId="14259" xr:uid="{5001C91C-C4F9-4254-8AC2-6D8115C11B5C}"/>
    <cellStyle name="40% - Accent4 7 4" xfId="18482" xr:uid="{D43E5730-B15C-471E-9EEA-65B0E6BF8926}"/>
    <cellStyle name="40% - Accent4 7 5" xfId="26927" xr:uid="{29140F72-4967-4CEC-8497-2C40D6FDF824}"/>
    <cellStyle name="40% - Accent4 7 6" xfId="10041" xr:uid="{F65FB04B-B65E-4B57-9AA9-540210B799E4}"/>
    <cellStyle name="40% - Accent4 8" xfId="1923" xr:uid="{00000000-0005-0000-0000-00003A060000}"/>
    <cellStyle name="40% - Accent4 8 2" xfId="4152" xr:uid="{00000000-0005-0000-0000-00003B060000}"/>
    <cellStyle name="40% - Accent4 8 2 2" xfId="8375" xr:uid="{00000000-0005-0000-0000-00003C060000}"/>
    <cellStyle name="40% - Accent4 8 2 2 2" xfId="25258" xr:uid="{44C6285C-B6B4-46D6-B148-1408BE3B3D1E}"/>
    <cellStyle name="40% - Accent4 8 2 2 3" xfId="33704" xr:uid="{DCB8D017-5AB0-4424-B5D4-0441005AE33B}"/>
    <cellStyle name="40% - Accent4 8 2 2 4" xfId="16817" xr:uid="{5F0FCB3C-4441-48B9-B473-609075F67486}"/>
    <cellStyle name="40% - Accent4 8 2 3" xfId="21040" xr:uid="{99D1DFD2-56B7-41D1-A00D-1229F5F767A7}"/>
    <cellStyle name="40% - Accent4 8 2 4" xfId="29487" xr:uid="{D046741E-ABEF-434A-A589-DD1785B6E9A4}"/>
    <cellStyle name="40% - Accent4 8 2 5" xfId="12599" xr:uid="{F44D71BF-270F-4E44-BBD8-0E5B535E37B9}"/>
    <cellStyle name="40% - Accent4 8 3" xfId="6230" xr:uid="{00000000-0005-0000-0000-00003D060000}"/>
    <cellStyle name="40% - Accent4 8 3 2" xfId="23113" xr:uid="{68FB9663-DEE6-4E68-A332-7673CBEBA285}"/>
    <cellStyle name="40% - Accent4 8 3 3" xfId="31559" xr:uid="{610272A7-BEFE-4A37-BA6E-D9E8723596D8}"/>
    <cellStyle name="40% - Accent4 8 3 4" xfId="14672" xr:uid="{920207BC-A653-4B23-A871-81F480551009}"/>
    <cellStyle name="40% - Accent4 8 4" xfId="18895" xr:uid="{2A46DE82-7A04-4170-9147-677682983981}"/>
    <cellStyle name="40% - Accent4 8 5" xfId="27340" xr:uid="{4599022C-8129-4C3B-A0AC-CD5F537E4DEF}"/>
    <cellStyle name="40% - Accent4 8 6" xfId="10454" xr:uid="{6123FA7D-B88C-42E0-86BE-3362FD1DE052}"/>
    <cellStyle name="40% - Accent4 9" xfId="2336" xr:uid="{00000000-0005-0000-0000-00003E060000}"/>
    <cellStyle name="40% - Accent4 9 2" xfId="6643" xr:uid="{00000000-0005-0000-0000-00003F060000}"/>
    <cellStyle name="40% - Accent4 9 2 2" xfId="23526" xr:uid="{9DC18F1A-11D7-4808-9D76-B1773DFBDC72}"/>
    <cellStyle name="40% - Accent4 9 2 3" xfId="31972" xr:uid="{90234252-9248-40D8-AB88-3C2B93C8A46E}"/>
    <cellStyle name="40% - Accent4 9 2 4" xfId="15085" xr:uid="{B2EF3813-7501-4E60-B1CD-06BD5D337FF9}"/>
    <cellStyle name="40% - Accent4 9 3" xfId="19308" xr:uid="{A32670F1-D777-4A37-8DF3-96FFDEA6DED5}"/>
    <cellStyle name="40% - Accent4 9 4" xfId="27753" xr:uid="{18A403C6-D39D-474C-86A2-243C488F70F1}"/>
    <cellStyle name="40% - Accent4 9 5" xfId="10867" xr:uid="{49792BE1-F038-430C-BFA6-AA1CCA76BEE3}"/>
    <cellStyle name="40% - Accent5" xfId="81" builtinId="47" customBuiltin="1"/>
    <cellStyle name="40% - Accent5 10" xfId="4585" xr:uid="{00000000-0005-0000-0000-000041060000}"/>
    <cellStyle name="40% - Accent5 10 2" xfId="21468" xr:uid="{BFC4EB13-5769-4CCC-9758-100AC9139A3B}"/>
    <cellStyle name="40% - Accent5 10 3" xfId="29914" xr:uid="{231E4E11-9143-4667-8A52-A6FCF8C2B82D}"/>
    <cellStyle name="40% - Accent5 10 4" xfId="13027" xr:uid="{E108F5DF-4385-4E5D-ABE0-D973C313C47B}"/>
    <cellStyle name="40% - Accent5 11" xfId="17250" xr:uid="{BE47989A-F5DC-4694-8020-AA09B0721B19}"/>
    <cellStyle name="40% - Accent5 12" xfId="25692" xr:uid="{32985D58-DB3A-4773-A963-92C3B211125E}"/>
    <cellStyle name="40% - Accent5 13" xfId="8809" xr:uid="{7F0614A2-FC58-444D-93A3-45ECC1E7BB9A}"/>
    <cellStyle name="40% - Accent5 2" xfId="82" xr:uid="{00000000-0005-0000-0000-000042060000}"/>
    <cellStyle name="40% - Accent5 2 10" xfId="17251" xr:uid="{54DF07AC-D1B2-4D0C-9321-2323828762AD}"/>
    <cellStyle name="40% - Accent5 2 11" xfId="25693" xr:uid="{AC4A6EB4-BB3D-4ADE-A244-37CBC5FB8E26}"/>
    <cellStyle name="40% - Accent5 2 12" xfId="8810" xr:uid="{265B1EF4-F875-43A2-8101-3C1EFA46902D}"/>
    <cellStyle name="40% - Accent5 2 2" xfId="83" xr:uid="{00000000-0005-0000-0000-000043060000}"/>
    <cellStyle name="40% - Accent5 2 2 10" xfId="25694" xr:uid="{E96E9DC5-B1D6-4166-8AF6-1FB9BAE8A684}"/>
    <cellStyle name="40% - Accent5 2 2 11" xfId="8811" xr:uid="{A36BBA49-3F84-486E-B73E-C932DD5D6B82}"/>
    <cellStyle name="40% - Accent5 2 2 2" xfId="84" xr:uid="{00000000-0005-0000-0000-000044060000}"/>
    <cellStyle name="40% - Accent5 2 2 2 10" xfId="8812" xr:uid="{28CB13CE-6224-45B4-AA40-D2E999B624C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24030" xr:uid="{F54ABF20-0D78-472E-BB32-D89492B43E74}"/>
    <cellStyle name="40% - Accent5 2 2 2 2 2 2 3" xfId="32476" xr:uid="{FBCF5491-7100-496E-9183-D62DF41DDBD3}"/>
    <cellStyle name="40% - Accent5 2 2 2 2 2 2 4" xfId="15589" xr:uid="{FFAE8D37-5F03-4563-8065-259FFDD13518}"/>
    <cellStyle name="40% - Accent5 2 2 2 2 2 3" xfId="19812" xr:uid="{45E979CD-F4B0-4346-B427-587155CA07AB}"/>
    <cellStyle name="40% - Accent5 2 2 2 2 2 4" xfId="28259" xr:uid="{7576BBC7-6217-41D7-A46C-FBF327440E59}"/>
    <cellStyle name="40% - Accent5 2 2 2 2 2 5" xfId="11371" xr:uid="{524E8E94-083D-4BF8-9EC4-DD74B8795B49}"/>
    <cellStyle name="40% - Accent5 2 2 2 2 3" xfId="5002" xr:uid="{00000000-0005-0000-0000-000048060000}"/>
    <cellStyle name="40% - Accent5 2 2 2 2 3 2" xfId="21885" xr:uid="{0EE13413-C87E-488B-8C46-EB9DF362CE05}"/>
    <cellStyle name="40% - Accent5 2 2 2 2 3 3" xfId="30331" xr:uid="{A1BA9508-D200-4888-B763-A7A92D62A488}"/>
    <cellStyle name="40% - Accent5 2 2 2 2 3 4" xfId="13444" xr:uid="{D6B395FB-09B8-43A8-8AF4-3CEFA4CB52CE}"/>
    <cellStyle name="40% - Accent5 2 2 2 2 4" xfId="17667" xr:uid="{C8937D3E-2F29-46BE-83BA-0A15884BB8A5}"/>
    <cellStyle name="40% - Accent5 2 2 2 2 5" xfId="26112" xr:uid="{412635B5-9411-4F53-B2C0-0B42A4A1BD0E}"/>
    <cellStyle name="40% - Accent5 2 2 2 2 6" xfId="9226" xr:uid="{6DD8EC3E-9B2B-40AA-A1B9-3B6DD58510ED}"/>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24443" xr:uid="{0A6634DF-BDA3-43B4-8573-0442618DF874}"/>
    <cellStyle name="40% - Accent5 2 2 2 3 2 2 3" xfId="32889" xr:uid="{F7BAE236-AA6C-465E-9224-BFC9E1DBE6D9}"/>
    <cellStyle name="40% - Accent5 2 2 2 3 2 2 4" xfId="16002" xr:uid="{66C3DEA1-8249-4739-AF53-14F8CAC13A16}"/>
    <cellStyle name="40% - Accent5 2 2 2 3 2 3" xfId="20225" xr:uid="{0567A9F7-27A5-4CEF-BD1D-9B3B0048BE87}"/>
    <cellStyle name="40% - Accent5 2 2 2 3 2 4" xfId="28672" xr:uid="{133F277F-C534-4B20-8C04-4CA8F5BFF6F8}"/>
    <cellStyle name="40% - Accent5 2 2 2 3 2 5" xfId="11784" xr:uid="{DF32CF78-75CA-4BF1-B0D1-2F27718CD1E6}"/>
    <cellStyle name="40% - Accent5 2 2 2 3 3" xfId="5415" xr:uid="{00000000-0005-0000-0000-00004C060000}"/>
    <cellStyle name="40% - Accent5 2 2 2 3 3 2" xfId="22298" xr:uid="{4A4999B0-A1C6-4E2E-A431-24153969738D}"/>
    <cellStyle name="40% - Accent5 2 2 2 3 3 3" xfId="30744" xr:uid="{DC87623E-72B6-461D-A779-C057368842D5}"/>
    <cellStyle name="40% - Accent5 2 2 2 3 3 4" xfId="13857" xr:uid="{7AECE577-16A4-48FF-B25D-48DAD18A0B63}"/>
    <cellStyle name="40% - Accent5 2 2 2 3 4" xfId="18080" xr:uid="{B1024506-97B3-4FD4-9DDD-5A4358C6BDE6}"/>
    <cellStyle name="40% - Accent5 2 2 2 3 5" xfId="26525" xr:uid="{F578DF7B-7AE5-495C-A76E-3FB51BCBF821}"/>
    <cellStyle name="40% - Accent5 2 2 2 3 6" xfId="9639" xr:uid="{FCD6FB9F-4AE2-4019-AE8E-0F2161CD7A23}"/>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24856" xr:uid="{EC020C0A-2E20-4CDB-8D4F-EACA5EA7B806}"/>
    <cellStyle name="40% - Accent5 2 2 2 4 2 2 3" xfId="33302" xr:uid="{5F09E09E-2602-4BC3-A9C2-E69D26FE10F7}"/>
    <cellStyle name="40% - Accent5 2 2 2 4 2 2 4" xfId="16415" xr:uid="{43DF3453-F887-4C17-AB82-E710D45F402F}"/>
    <cellStyle name="40% - Accent5 2 2 2 4 2 3" xfId="20638" xr:uid="{DE52B7C4-AC50-4A10-B1D9-4244C5732C3E}"/>
    <cellStyle name="40% - Accent5 2 2 2 4 2 4" xfId="29085" xr:uid="{BC478099-9706-4F5E-AB44-E5569D0ED508}"/>
    <cellStyle name="40% - Accent5 2 2 2 4 2 5" xfId="12197" xr:uid="{D99DFB25-5290-4E12-90E5-C53535F0E3D0}"/>
    <cellStyle name="40% - Accent5 2 2 2 4 3" xfId="5828" xr:uid="{00000000-0005-0000-0000-000050060000}"/>
    <cellStyle name="40% - Accent5 2 2 2 4 3 2" xfId="22711" xr:uid="{9AFD7E85-3475-453A-AB16-383B3AFD2F44}"/>
    <cellStyle name="40% - Accent5 2 2 2 4 3 3" xfId="31157" xr:uid="{7778EA6D-3067-42AE-9044-FDD1ECA09378}"/>
    <cellStyle name="40% - Accent5 2 2 2 4 3 4" xfId="14270" xr:uid="{6C8FD6B7-E928-4C22-834B-4B104EB452D1}"/>
    <cellStyle name="40% - Accent5 2 2 2 4 4" xfId="18493" xr:uid="{C1F651D4-C2E5-41F5-89F8-6A0A5D405F13}"/>
    <cellStyle name="40% - Accent5 2 2 2 4 5" xfId="26938" xr:uid="{67FD891C-CBB6-4D39-B1DA-589157FBA566}"/>
    <cellStyle name="40% - Accent5 2 2 2 4 6" xfId="10052" xr:uid="{B7E1112C-32CB-492B-AF6D-824BE3A42A2C}"/>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25269" xr:uid="{1A521B26-2224-43CC-B9A7-D928DD614387}"/>
    <cellStyle name="40% - Accent5 2 2 2 5 2 2 3" xfId="33715" xr:uid="{00EC398D-8FF9-4F4F-B42D-E39D7AFADFD6}"/>
    <cellStyle name="40% - Accent5 2 2 2 5 2 2 4" xfId="16828" xr:uid="{1003FBF0-7B9A-4980-ADC6-01DAA3DE9D43}"/>
    <cellStyle name="40% - Accent5 2 2 2 5 2 3" xfId="21051" xr:uid="{2F53C47D-9136-4E4F-8F05-B72C90EFE134}"/>
    <cellStyle name="40% - Accent5 2 2 2 5 2 4" xfId="29498" xr:uid="{4D99AD8D-ECE1-462E-A571-BBFF85F89AE8}"/>
    <cellStyle name="40% - Accent5 2 2 2 5 2 5" xfId="12610" xr:uid="{E1B01E5C-331D-47B7-B30A-02579B1439D6}"/>
    <cellStyle name="40% - Accent5 2 2 2 5 3" xfId="6241" xr:uid="{00000000-0005-0000-0000-000054060000}"/>
    <cellStyle name="40% - Accent5 2 2 2 5 3 2" xfId="23124" xr:uid="{5E5E6A11-133F-4189-8715-B4D1C9CF7B29}"/>
    <cellStyle name="40% - Accent5 2 2 2 5 3 3" xfId="31570" xr:uid="{51731C74-4946-482E-A0A6-4678454E8684}"/>
    <cellStyle name="40% - Accent5 2 2 2 5 3 4" xfId="14683" xr:uid="{3AD9DEF8-B6B3-45DF-8EF8-F8B659D69877}"/>
    <cellStyle name="40% - Accent5 2 2 2 5 4" xfId="18906" xr:uid="{901E0D73-E8FE-41C4-A571-B6871576BC27}"/>
    <cellStyle name="40% - Accent5 2 2 2 5 5" xfId="27351" xr:uid="{22F9D540-FA26-4674-9C38-B62A4D7DF686}"/>
    <cellStyle name="40% - Accent5 2 2 2 5 6" xfId="10465" xr:uid="{979D9EE8-1CE8-4E6D-A0B0-03F4FE80B461}"/>
    <cellStyle name="40% - Accent5 2 2 2 6" xfId="2347" xr:uid="{00000000-0005-0000-0000-000055060000}"/>
    <cellStyle name="40% - Accent5 2 2 2 6 2" xfId="6654" xr:uid="{00000000-0005-0000-0000-000056060000}"/>
    <cellStyle name="40% - Accent5 2 2 2 6 2 2" xfId="23537" xr:uid="{7A95AF60-4AD0-450A-AAB7-47681A2BEC3A}"/>
    <cellStyle name="40% - Accent5 2 2 2 6 2 3" xfId="31983" xr:uid="{C04597B3-F71A-4396-BC47-B240ADA2543F}"/>
    <cellStyle name="40% - Accent5 2 2 2 6 2 4" xfId="15096" xr:uid="{AD5B08A4-11E5-4D97-900C-DCD870A38919}"/>
    <cellStyle name="40% - Accent5 2 2 2 6 3" xfId="19319" xr:uid="{9D9D4D28-D49C-4294-81C6-363A626E4A2B}"/>
    <cellStyle name="40% - Accent5 2 2 2 6 4" xfId="27764" xr:uid="{D6AE3A39-29A0-4887-9CC1-EEF8E7E387AF}"/>
    <cellStyle name="40% - Accent5 2 2 2 6 5" xfId="10878" xr:uid="{641A3A8D-C41B-48BB-B9F2-745A3F3D0A89}"/>
    <cellStyle name="40% - Accent5 2 2 2 7" xfId="4588" xr:uid="{00000000-0005-0000-0000-000057060000}"/>
    <cellStyle name="40% - Accent5 2 2 2 7 2" xfId="21471" xr:uid="{DAAC8DA6-D444-42D1-BAF9-12FB36E53247}"/>
    <cellStyle name="40% - Accent5 2 2 2 7 3" xfId="29917" xr:uid="{5726F6A1-D72A-4294-BDD6-ECB9AE7D4BBC}"/>
    <cellStyle name="40% - Accent5 2 2 2 7 4" xfId="13030" xr:uid="{E8D66049-26B5-4BFD-AA1C-A61704BBFC8C}"/>
    <cellStyle name="40% - Accent5 2 2 2 8" xfId="17253" xr:uid="{659CEDB8-24D4-4832-ABEC-C9AD1036EC8D}"/>
    <cellStyle name="40% - Accent5 2 2 2 9" xfId="25695" xr:uid="{E491F431-BE6C-4B83-8473-0355EB9136B1}"/>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24029" xr:uid="{CBC1500C-B998-4749-9E93-93751B7D6297}"/>
    <cellStyle name="40% - Accent5 2 2 3 2 2 3" xfId="32475" xr:uid="{FD4B0565-D0E8-40E1-979A-3CA39CA5E982}"/>
    <cellStyle name="40% - Accent5 2 2 3 2 2 4" xfId="15588" xr:uid="{3D2CBCC4-5CE7-43B4-93BA-8D8EE4E09146}"/>
    <cellStyle name="40% - Accent5 2 2 3 2 3" xfId="19811" xr:uid="{01767145-7C02-4919-884F-15C76C247DE8}"/>
    <cellStyle name="40% - Accent5 2 2 3 2 4" xfId="28258" xr:uid="{DCD7E441-3373-499B-81A4-B57341494CC4}"/>
    <cellStyle name="40% - Accent5 2 2 3 2 5" xfId="11370" xr:uid="{A4093F11-207D-4507-811B-C88CE713A3B7}"/>
    <cellStyle name="40% - Accent5 2 2 3 3" xfId="5001" xr:uid="{00000000-0005-0000-0000-00005B060000}"/>
    <cellStyle name="40% - Accent5 2 2 3 3 2" xfId="21884" xr:uid="{91E8A302-5B63-4344-B66A-1EE0920372D3}"/>
    <cellStyle name="40% - Accent5 2 2 3 3 3" xfId="30330" xr:uid="{549BFC08-CAA4-4AEC-8071-69011AF26645}"/>
    <cellStyle name="40% - Accent5 2 2 3 3 4" xfId="13443" xr:uid="{9596B700-F492-4F23-9B08-02E81CDF5AD3}"/>
    <cellStyle name="40% - Accent5 2 2 3 4" xfId="17666" xr:uid="{1970B1FD-A287-48E8-9532-327A7CAC2936}"/>
    <cellStyle name="40% - Accent5 2 2 3 5" xfId="26111" xr:uid="{1DBB15DC-A738-4F51-B294-828E19A41757}"/>
    <cellStyle name="40% - Accent5 2 2 3 6" xfId="9225" xr:uid="{1FF81B63-9038-4450-A76F-F5CE173963B1}"/>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24442" xr:uid="{CEE295E9-BBD2-49AB-90F6-DD6FA94561CA}"/>
    <cellStyle name="40% - Accent5 2 2 4 2 2 3" xfId="32888" xr:uid="{A86E3C52-BBD3-4D0A-BC43-096FFE058C30}"/>
    <cellStyle name="40% - Accent5 2 2 4 2 2 4" xfId="16001" xr:uid="{C70C73E4-3F82-4EB0-992A-F15BF1AA6FA4}"/>
    <cellStyle name="40% - Accent5 2 2 4 2 3" xfId="20224" xr:uid="{177BF5B7-48C0-49C9-8A7C-51052F034022}"/>
    <cellStyle name="40% - Accent5 2 2 4 2 4" xfId="28671" xr:uid="{14CDAEFE-DB9F-4968-87D9-7F4D3286BA3E}"/>
    <cellStyle name="40% - Accent5 2 2 4 2 5" xfId="11783" xr:uid="{53470E59-1742-4F27-A3D7-3A0501722B8C}"/>
    <cellStyle name="40% - Accent5 2 2 4 3" xfId="5414" xr:uid="{00000000-0005-0000-0000-00005F060000}"/>
    <cellStyle name="40% - Accent5 2 2 4 3 2" xfId="22297" xr:uid="{5DFC5F5F-B7EC-4FDA-9D3D-1A9BB9AAD152}"/>
    <cellStyle name="40% - Accent5 2 2 4 3 3" xfId="30743" xr:uid="{E328F259-39A3-4E8A-AA73-A582B10010EE}"/>
    <cellStyle name="40% - Accent5 2 2 4 3 4" xfId="13856" xr:uid="{16CF2187-69A7-47F7-92AA-EB0FB1B773B7}"/>
    <cellStyle name="40% - Accent5 2 2 4 4" xfId="18079" xr:uid="{5F7DE736-3A43-47EB-AF49-73EAA671D20F}"/>
    <cellStyle name="40% - Accent5 2 2 4 5" xfId="26524" xr:uid="{1128377A-BF23-437F-BBA4-6EF3CB58DB03}"/>
    <cellStyle name="40% - Accent5 2 2 4 6" xfId="9638" xr:uid="{1634816E-AD8A-4151-9C7F-CBB25247DFBA}"/>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24855" xr:uid="{F4968F37-136F-47CF-BC12-FA5716244B88}"/>
    <cellStyle name="40% - Accent5 2 2 5 2 2 3" xfId="33301" xr:uid="{91D5558A-5057-4D99-9D1A-C6F5F651EAF9}"/>
    <cellStyle name="40% - Accent5 2 2 5 2 2 4" xfId="16414" xr:uid="{B2EC9269-6AE8-4C2A-9BB8-EC70E88F5496}"/>
    <cellStyle name="40% - Accent5 2 2 5 2 3" xfId="20637" xr:uid="{766614DF-3828-4A70-A1B8-1CE85194C499}"/>
    <cellStyle name="40% - Accent5 2 2 5 2 4" xfId="29084" xr:uid="{253AF0B7-CC24-459E-AC52-17DB18F143D1}"/>
    <cellStyle name="40% - Accent5 2 2 5 2 5" xfId="12196" xr:uid="{D36B9F2C-D3A2-4DF8-A1AC-4DACDDFCE879}"/>
    <cellStyle name="40% - Accent5 2 2 5 3" xfId="5827" xr:uid="{00000000-0005-0000-0000-000063060000}"/>
    <cellStyle name="40% - Accent5 2 2 5 3 2" xfId="22710" xr:uid="{90C242F9-0E2F-4395-B423-A3C337B93E45}"/>
    <cellStyle name="40% - Accent5 2 2 5 3 3" xfId="31156" xr:uid="{A3F34607-0687-4E58-A039-1234C690BA13}"/>
    <cellStyle name="40% - Accent5 2 2 5 3 4" xfId="14269" xr:uid="{69A2AFC0-952F-4217-93E5-C10EB6043EFE}"/>
    <cellStyle name="40% - Accent5 2 2 5 4" xfId="18492" xr:uid="{1EA36FFA-CC0B-4615-BD1C-078CCD4C5252}"/>
    <cellStyle name="40% - Accent5 2 2 5 5" xfId="26937" xr:uid="{717B2822-A607-4AE5-9D14-8C5EA7256F80}"/>
    <cellStyle name="40% - Accent5 2 2 5 6" xfId="10051" xr:uid="{459B943C-FF96-4078-A148-BEC101A2D4FE}"/>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25268" xr:uid="{01CEDA51-F0B6-47C7-BFC9-186C32ED8A15}"/>
    <cellStyle name="40% - Accent5 2 2 6 2 2 3" xfId="33714" xr:uid="{5F0D800F-F09C-4285-A151-C5A4D2A6FC3F}"/>
    <cellStyle name="40% - Accent5 2 2 6 2 2 4" xfId="16827" xr:uid="{0C3E8D82-6FEF-45C6-9B09-A2B04982E7DC}"/>
    <cellStyle name="40% - Accent5 2 2 6 2 3" xfId="21050" xr:uid="{EB70DEC9-1692-462D-BF40-E85C68F34145}"/>
    <cellStyle name="40% - Accent5 2 2 6 2 4" xfId="29497" xr:uid="{C362E38B-D72D-4567-AE9E-33519F10D7C5}"/>
    <cellStyle name="40% - Accent5 2 2 6 2 5" xfId="12609" xr:uid="{0E4C990C-D771-4F0B-9688-EDFD11EBC041}"/>
    <cellStyle name="40% - Accent5 2 2 6 3" xfId="6240" xr:uid="{00000000-0005-0000-0000-000067060000}"/>
    <cellStyle name="40% - Accent5 2 2 6 3 2" xfId="23123" xr:uid="{9DAAADB8-E3DC-4B6D-9CDB-DE5355F389D8}"/>
    <cellStyle name="40% - Accent5 2 2 6 3 3" xfId="31569" xr:uid="{9914338D-4155-4C55-A523-76C339308953}"/>
    <cellStyle name="40% - Accent5 2 2 6 3 4" xfId="14682" xr:uid="{FCAFB59B-D85B-4F62-BF2A-52B134FD681A}"/>
    <cellStyle name="40% - Accent5 2 2 6 4" xfId="18905" xr:uid="{5BD27490-780F-4DE9-86ED-33BE28458A47}"/>
    <cellStyle name="40% - Accent5 2 2 6 5" xfId="27350" xr:uid="{25C5905E-F61A-4F54-B522-9148582246B8}"/>
    <cellStyle name="40% - Accent5 2 2 6 6" xfId="10464" xr:uid="{CA25C987-14E2-4DB0-8E5E-E1784E44A216}"/>
    <cellStyle name="40% - Accent5 2 2 7" xfId="2346" xr:uid="{00000000-0005-0000-0000-000068060000}"/>
    <cellStyle name="40% - Accent5 2 2 7 2" xfId="6653" xr:uid="{00000000-0005-0000-0000-000069060000}"/>
    <cellStyle name="40% - Accent5 2 2 7 2 2" xfId="23536" xr:uid="{21F7DF71-6E49-4548-AA9F-5680CD594AED}"/>
    <cellStyle name="40% - Accent5 2 2 7 2 3" xfId="31982" xr:uid="{E7085542-6B20-4F0D-96CE-8995FC7CC2B7}"/>
    <cellStyle name="40% - Accent5 2 2 7 2 4" xfId="15095" xr:uid="{B2F284FD-5E04-475D-81FA-7AB605A3F7EB}"/>
    <cellStyle name="40% - Accent5 2 2 7 3" xfId="19318" xr:uid="{800F2C1C-2C76-479C-8683-F8D8BA073FFD}"/>
    <cellStyle name="40% - Accent5 2 2 7 4" xfId="27763" xr:uid="{61D97B57-5C9F-4932-8952-4635920D60B0}"/>
    <cellStyle name="40% - Accent5 2 2 7 5" xfId="10877" xr:uid="{71F32A67-04AB-4B8E-A2D8-B88B7206DE7D}"/>
    <cellStyle name="40% - Accent5 2 2 8" xfId="4587" xr:uid="{00000000-0005-0000-0000-00006A060000}"/>
    <cellStyle name="40% - Accent5 2 2 8 2" xfId="21470" xr:uid="{7D17F151-B669-41B1-8E96-AC45623B7CF7}"/>
    <cellStyle name="40% - Accent5 2 2 8 3" xfId="29916" xr:uid="{4DF62F60-3F96-4CCA-8B92-5FAE0E9F6DD5}"/>
    <cellStyle name="40% - Accent5 2 2 8 4" xfId="13029" xr:uid="{23F2DF20-F33E-43AE-9798-B94F42474C95}"/>
    <cellStyle name="40% - Accent5 2 2 9" xfId="17252" xr:uid="{CEFC1D75-715B-4995-B894-95D977EB3F80}"/>
    <cellStyle name="40% - Accent5 2 3" xfId="85" xr:uid="{00000000-0005-0000-0000-00006B060000}"/>
    <cellStyle name="40% - Accent5 2 3 10" xfId="8813" xr:uid="{6EBA3D15-7FD9-402A-802D-CC1C000B34D2}"/>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24031" xr:uid="{2DA604B0-B05E-4290-906F-3136E11067B8}"/>
    <cellStyle name="40% - Accent5 2 3 2 2 2 3" xfId="32477" xr:uid="{6C57E267-3263-484C-A507-91DBC2C9AF77}"/>
    <cellStyle name="40% - Accent5 2 3 2 2 2 4" xfId="15590" xr:uid="{8C01C696-891A-460C-B7C4-56A35FA09A61}"/>
    <cellStyle name="40% - Accent5 2 3 2 2 3" xfId="19813" xr:uid="{C1CBC951-96FF-414C-A185-3965D9D2148E}"/>
    <cellStyle name="40% - Accent5 2 3 2 2 4" xfId="28260" xr:uid="{6549C65B-C401-49F0-BDD9-A44419AA9B8F}"/>
    <cellStyle name="40% - Accent5 2 3 2 2 5" xfId="11372" xr:uid="{FAD30AF4-FC68-4849-A76E-CCC1836314CA}"/>
    <cellStyle name="40% - Accent5 2 3 2 3" xfId="5003" xr:uid="{00000000-0005-0000-0000-00006F060000}"/>
    <cellStyle name="40% - Accent5 2 3 2 3 2" xfId="21886" xr:uid="{5D847AC0-7DB4-4E94-921F-DCE8EE5B29A8}"/>
    <cellStyle name="40% - Accent5 2 3 2 3 3" xfId="30332" xr:uid="{1BF60DE1-D35E-49AE-88B7-6ECDC8441772}"/>
    <cellStyle name="40% - Accent5 2 3 2 3 4" xfId="13445" xr:uid="{A3FA5609-5AF2-4126-8973-4BE0DE9FD6C4}"/>
    <cellStyle name="40% - Accent5 2 3 2 4" xfId="17668" xr:uid="{183C484F-328C-4378-BE36-D0EDB5491A99}"/>
    <cellStyle name="40% - Accent5 2 3 2 5" xfId="26113" xr:uid="{EF649A89-64D4-4690-BBD8-B9EABC17D14A}"/>
    <cellStyle name="40% - Accent5 2 3 2 6" xfId="9227" xr:uid="{DD2CAC0A-6B0B-4A1E-8E06-017D9A004497}"/>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24444" xr:uid="{CBF54A4D-E5D5-4F65-85E4-A97E5EEDFC73}"/>
    <cellStyle name="40% - Accent5 2 3 3 2 2 3" xfId="32890" xr:uid="{ACB7F1FC-0B2A-411E-9A0B-0FEEC0CBA72B}"/>
    <cellStyle name="40% - Accent5 2 3 3 2 2 4" xfId="16003" xr:uid="{FBEDB1EA-E0D7-40A2-A913-82ABD2948AD4}"/>
    <cellStyle name="40% - Accent5 2 3 3 2 3" xfId="20226" xr:uid="{8064A293-A68F-4912-978E-6CC261EE7780}"/>
    <cellStyle name="40% - Accent5 2 3 3 2 4" xfId="28673" xr:uid="{E46A42D2-B1CF-40AC-B4DA-29952CC7C166}"/>
    <cellStyle name="40% - Accent5 2 3 3 2 5" xfId="11785" xr:uid="{72003C8A-4045-4B3B-A80B-44D5E794C8FC}"/>
    <cellStyle name="40% - Accent5 2 3 3 3" xfId="5416" xr:uid="{00000000-0005-0000-0000-000073060000}"/>
    <cellStyle name="40% - Accent5 2 3 3 3 2" xfId="22299" xr:uid="{C611656B-2575-47C9-A5CB-58EB92A45FA7}"/>
    <cellStyle name="40% - Accent5 2 3 3 3 3" xfId="30745" xr:uid="{4863B1EE-8053-49B6-96FE-FE9F6F4A054F}"/>
    <cellStyle name="40% - Accent5 2 3 3 3 4" xfId="13858" xr:uid="{9842612A-7A68-436E-BB9C-F4A07888B78E}"/>
    <cellStyle name="40% - Accent5 2 3 3 4" xfId="18081" xr:uid="{973B672B-5965-44E3-A123-69972E8AE62B}"/>
    <cellStyle name="40% - Accent5 2 3 3 5" xfId="26526" xr:uid="{769B392D-67FA-4FA8-A58B-4675C11E321A}"/>
    <cellStyle name="40% - Accent5 2 3 3 6" xfId="9640" xr:uid="{0B12AE01-24C0-45D4-9A5B-88FE271CC274}"/>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24857" xr:uid="{87646408-47A1-4685-AB34-41838E587A36}"/>
    <cellStyle name="40% - Accent5 2 3 4 2 2 3" xfId="33303" xr:uid="{01C0EEA4-9D7A-4143-BF89-375CE2D5CBF3}"/>
    <cellStyle name="40% - Accent5 2 3 4 2 2 4" xfId="16416" xr:uid="{EC7E7297-9D0A-4CE3-AA71-891EAA496656}"/>
    <cellStyle name="40% - Accent5 2 3 4 2 3" xfId="20639" xr:uid="{B6BB8FC0-1C5C-43C7-A0FC-C18160F0B8A1}"/>
    <cellStyle name="40% - Accent5 2 3 4 2 4" xfId="29086" xr:uid="{CDC9857A-2C58-421C-809A-0B043C2E272B}"/>
    <cellStyle name="40% - Accent5 2 3 4 2 5" xfId="12198" xr:uid="{D89AE5F9-82B0-4057-B65C-560BE5E65B8E}"/>
    <cellStyle name="40% - Accent5 2 3 4 3" xfId="5829" xr:uid="{00000000-0005-0000-0000-000077060000}"/>
    <cellStyle name="40% - Accent5 2 3 4 3 2" xfId="22712" xr:uid="{CBCBCEF7-7DC2-45DE-82D3-2210C1FF24C4}"/>
    <cellStyle name="40% - Accent5 2 3 4 3 3" xfId="31158" xr:uid="{354DEC03-C14E-46AE-9543-2D053AA9CAE7}"/>
    <cellStyle name="40% - Accent5 2 3 4 3 4" xfId="14271" xr:uid="{A7F99B7E-1B72-4D73-AB4A-F8C2526EFA04}"/>
    <cellStyle name="40% - Accent5 2 3 4 4" xfId="18494" xr:uid="{06A2344F-9E60-48CE-AF9F-D3861539534C}"/>
    <cellStyle name="40% - Accent5 2 3 4 5" xfId="26939" xr:uid="{7E6ADF27-A0CE-421F-AF90-BE55CBD2AEB7}"/>
    <cellStyle name="40% - Accent5 2 3 4 6" xfId="10053" xr:uid="{234F9115-38B5-411C-B7DA-F8DA725DC1D9}"/>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25270" xr:uid="{05E3E60E-BDE9-4FDD-8A5A-1CC1FAD0F8E4}"/>
    <cellStyle name="40% - Accent5 2 3 5 2 2 3" xfId="33716" xr:uid="{930D9568-1AA6-4CE6-9110-13C742F37CF3}"/>
    <cellStyle name="40% - Accent5 2 3 5 2 2 4" xfId="16829" xr:uid="{9B69D294-7761-44E2-B124-76E43D1C67EC}"/>
    <cellStyle name="40% - Accent5 2 3 5 2 3" xfId="21052" xr:uid="{9CBDF19A-37C6-4091-A0A7-50C179A980F4}"/>
    <cellStyle name="40% - Accent5 2 3 5 2 4" xfId="29499" xr:uid="{39D0CA83-AA06-448F-934F-33B72376748C}"/>
    <cellStyle name="40% - Accent5 2 3 5 2 5" xfId="12611" xr:uid="{9BCE0D53-1737-4B26-BA37-344912C82ADE}"/>
    <cellStyle name="40% - Accent5 2 3 5 3" xfId="6242" xr:uid="{00000000-0005-0000-0000-00007B060000}"/>
    <cellStyle name="40% - Accent5 2 3 5 3 2" xfId="23125" xr:uid="{6E37D783-AB7B-468C-8EA8-32309AF1FD0B}"/>
    <cellStyle name="40% - Accent5 2 3 5 3 3" xfId="31571" xr:uid="{0DE42EB0-6FB2-4E19-9E32-078358E229E0}"/>
    <cellStyle name="40% - Accent5 2 3 5 3 4" xfId="14684" xr:uid="{0FF49F68-9C9C-46F9-8A29-857D0C1647F2}"/>
    <cellStyle name="40% - Accent5 2 3 5 4" xfId="18907" xr:uid="{722B8197-0D20-4229-B7BD-7D37E2E4B3A7}"/>
    <cellStyle name="40% - Accent5 2 3 5 5" xfId="27352" xr:uid="{CF9D4AC1-2730-4B95-9450-6E8336E867C5}"/>
    <cellStyle name="40% - Accent5 2 3 5 6" xfId="10466" xr:uid="{9E90E4C5-075A-4D59-9156-32473418E009}"/>
    <cellStyle name="40% - Accent5 2 3 6" xfId="2348" xr:uid="{00000000-0005-0000-0000-00007C060000}"/>
    <cellStyle name="40% - Accent5 2 3 6 2" xfId="6655" xr:uid="{00000000-0005-0000-0000-00007D060000}"/>
    <cellStyle name="40% - Accent5 2 3 6 2 2" xfId="23538" xr:uid="{E8EA8615-E800-49C3-A134-342B46D4108D}"/>
    <cellStyle name="40% - Accent5 2 3 6 2 3" xfId="31984" xr:uid="{EA1B6F8E-4AA5-41A9-BC9E-7177B977E500}"/>
    <cellStyle name="40% - Accent5 2 3 6 2 4" xfId="15097" xr:uid="{272A407E-E1D7-43AA-9324-01FAA5E47C39}"/>
    <cellStyle name="40% - Accent5 2 3 6 3" xfId="19320" xr:uid="{06366F75-D5C1-430F-94A1-8BECD0C2371E}"/>
    <cellStyle name="40% - Accent5 2 3 6 4" xfId="27765" xr:uid="{0F50AF9E-6240-4E0C-A7E7-28092AFD450A}"/>
    <cellStyle name="40% - Accent5 2 3 6 5" xfId="10879" xr:uid="{98FC7141-BC11-42EF-8E91-116EB9729E12}"/>
    <cellStyle name="40% - Accent5 2 3 7" xfId="4589" xr:uid="{00000000-0005-0000-0000-00007E060000}"/>
    <cellStyle name="40% - Accent5 2 3 7 2" xfId="21472" xr:uid="{31862FE2-2DD8-4087-AB2B-2D47AE69D7CC}"/>
    <cellStyle name="40% - Accent5 2 3 7 3" xfId="29918" xr:uid="{20AB2980-328D-49C1-A5CA-B5B065A0BE25}"/>
    <cellStyle name="40% - Accent5 2 3 7 4" xfId="13031" xr:uid="{0083E1A1-13B6-47E1-BAB8-0D026E8D7358}"/>
    <cellStyle name="40% - Accent5 2 3 8" xfId="17254" xr:uid="{EAF72010-982B-4D5A-A968-9543FE435D23}"/>
    <cellStyle name="40% - Accent5 2 3 9" xfId="25696" xr:uid="{EFE1B500-C8AB-4092-8D4D-85270D73A666}"/>
    <cellStyle name="40% - Accent5 2 4" xfId="651" xr:uid="{00000000-0005-0000-0000-00007F060000}"/>
    <cellStyle name="40% - Accent5 2 4 2" xfId="2922" xr:uid="{00000000-0005-0000-0000-000080060000}"/>
    <cellStyle name="40% - Accent5 2 4 2 2" xfId="7145" xr:uid="{00000000-0005-0000-0000-000081060000}"/>
    <cellStyle name="40% - Accent5 2 4 2 2 2" xfId="24028" xr:uid="{9E0E607A-5668-413F-B74D-E330171BFAEA}"/>
    <cellStyle name="40% - Accent5 2 4 2 2 3" xfId="32474" xr:uid="{50A84F64-1FE0-429D-A099-E28EB0D230A3}"/>
    <cellStyle name="40% - Accent5 2 4 2 2 4" xfId="15587" xr:uid="{CDD50FD2-1EB3-49D0-BF71-BEA5F7E762BF}"/>
    <cellStyle name="40% - Accent5 2 4 2 3" xfId="19810" xr:uid="{46C2203B-5F6C-43E4-98AC-ADF8E4EE4C15}"/>
    <cellStyle name="40% - Accent5 2 4 2 4" xfId="28257" xr:uid="{01EE6CB6-FA04-44D6-9416-D1B4719A005A}"/>
    <cellStyle name="40% - Accent5 2 4 2 5" xfId="11369" xr:uid="{B0380CAE-BDFA-4A67-9F36-60D16C0890DA}"/>
    <cellStyle name="40% - Accent5 2 4 3" xfId="5000" xr:uid="{00000000-0005-0000-0000-000082060000}"/>
    <cellStyle name="40% - Accent5 2 4 3 2" xfId="21883" xr:uid="{10317966-4ADA-41E0-9283-1ED917DCBDF7}"/>
    <cellStyle name="40% - Accent5 2 4 3 3" xfId="30329" xr:uid="{AC4836C5-A376-47E4-B9A1-279B0A99D688}"/>
    <cellStyle name="40% - Accent5 2 4 3 4" xfId="13442" xr:uid="{E1AC0EFF-B62B-4239-939D-27DD861AEECC}"/>
    <cellStyle name="40% - Accent5 2 4 4" xfId="17665" xr:uid="{D507EBD0-4F64-4BD3-B089-B90D4003BA05}"/>
    <cellStyle name="40% - Accent5 2 4 5" xfId="26110" xr:uid="{B1BC98B2-6AAD-455D-B185-6B31837FB4F8}"/>
    <cellStyle name="40% - Accent5 2 4 6" xfId="9224" xr:uid="{940E5B01-42FB-457C-A2DC-DF297D3350B8}"/>
    <cellStyle name="40% - Accent5 2 5" xfId="1104" xr:uid="{00000000-0005-0000-0000-000083060000}"/>
    <cellStyle name="40% - Accent5 2 5 2" xfId="3335" xr:uid="{00000000-0005-0000-0000-000084060000}"/>
    <cellStyle name="40% - Accent5 2 5 2 2" xfId="7558" xr:uid="{00000000-0005-0000-0000-000085060000}"/>
    <cellStyle name="40% - Accent5 2 5 2 2 2" xfId="24441" xr:uid="{6A2ADAB4-ED20-4EA0-B2C9-BBCFD500C5A7}"/>
    <cellStyle name="40% - Accent5 2 5 2 2 3" xfId="32887" xr:uid="{2D67C21E-8D87-43B7-8A93-5758D6A59A13}"/>
    <cellStyle name="40% - Accent5 2 5 2 2 4" xfId="16000" xr:uid="{D1A79060-726E-4440-AD92-AC48D8361E1C}"/>
    <cellStyle name="40% - Accent5 2 5 2 3" xfId="20223" xr:uid="{7A6E85B8-44CB-4881-97FA-4FAEB274DC16}"/>
    <cellStyle name="40% - Accent5 2 5 2 4" xfId="28670" xr:uid="{AF363D68-05A4-492F-8006-EC432D1F28C9}"/>
    <cellStyle name="40% - Accent5 2 5 2 5" xfId="11782" xr:uid="{549015E5-0778-4042-834A-993694C86FF0}"/>
    <cellStyle name="40% - Accent5 2 5 3" xfId="5413" xr:uid="{00000000-0005-0000-0000-000086060000}"/>
    <cellStyle name="40% - Accent5 2 5 3 2" xfId="22296" xr:uid="{06AF271D-1F5B-4118-ADAE-32AABC2C0198}"/>
    <cellStyle name="40% - Accent5 2 5 3 3" xfId="30742" xr:uid="{85F875C0-A5EF-4A8A-9DB0-B3BE895E6C9B}"/>
    <cellStyle name="40% - Accent5 2 5 3 4" xfId="13855" xr:uid="{81F1984D-484F-4490-B908-5344B6488683}"/>
    <cellStyle name="40% - Accent5 2 5 4" xfId="18078" xr:uid="{9936C89A-C6AC-46E4-A53B-DD9310E3CC4C}"/>
    <cellStyle name="40% - Accent5 2 5 5" xfId="26523" xr:uid="{BF890529-3FA6-4957-9E8A-14ABB9F28C4A}"/>
    <cellStyle name="40% - Accent5 2 5 6" xfId="9637" xr:uid="{9B61CB1D-B5B0-4380-A518-C9EB40AFF416}"/>
    <cellStyle name="40% - Accent5 2 6" xfId="1518" xr:uid="{00000000-0005-0000-0000-000087060000}"/>
    <cellStyle name="40% - Accent5 2 6 2" xfId="3748" xr:uid="{00000000-0005-0000-0000-000088060000}"/>
    <cellStyle name="40% - Accent5 2 6 2 2" xfId="7971" xr:uid="{00000000-0005-0000-0000-000089060000}"/>
    <cellStyle name="40% - Accent5 2 6 2 2 2" xfId="24854" xr:uid="{B71017CE-2064-4335-9E63-A01690854086}"/>
    <cellStyle name="40% - Accent5 2 6 2 2 3" xfId="33300" xr:uid="{C744CAC7-8158-483B-B6F4-832AEA41647B}"/>
    <cellStyle name="40% - Accent5 2 6 2 2 4" xfId="16413" xr:uid="{41FD8F25-05EB-4A96-BC2F-8E9A29FD8BC1}"/>
    <cellStyle name="40% - Accent5 2 6 2 3" xfId="20636" xr:uid="{EB014056-1775-4498-8E3A-79A7BDFE7E8A}"/>
    <cellStyle name="40% - Accent5 2 6 2 4" xfId="29083" xr:uid="{6337989B-17AD-4FAC-8650-82B6CA50FF64}"/>
    <cellStyle name="40% - Accent5 2 6 2 5" xfId="12195" xr:uid="{E98F4B54-CFC4-4FE5-AE01-E0058674532E}"/>
    <cellStyle name="40% - Accent5 2 6 3" xfId="5826" xr:uid="{00000000-0005-0000-0000-00008A060000}"/>
    <cellStyle name="40% - Accent5 2 6 3 2" xfId="22709" xr:uid="{4A4CED95-5B9A-444C-90A1-604EA59F83EA}"/>
    <cellStyle name="40% - Accent5 2 6 3 3" xfId="31155" xr:uid="{5F82985F-0797-42FA-AD85-723B5E6F2869}"/>
    <cellStyle name="40% - Accent5 2 6 3 4" xfId="14268" xr:uid="{F0BD7BFA-5A09-4F49-84A7-3BB0FA4BEC13}"/>
    <cellStyle name="40% - Accent5 2 6 4" xfId="18491" xr:uid="{792745A4-DA56-462D-906A-B0A569FD83CC}"/>
    <cellStyle name="40% - Accent5 2 6 5" xfId="26936" xr:uid="{6FB3B85B-BFBD-49A3-8F7C-E4D851DFB176}"/>
    <cellStyle name="40% - Accent5 2 6 6" xfId="10050" xr:uid="{0DABECF3-040C-48E3-8172-C14740E14D4F}"/>
    <cellStyle name="40% - Accent5 2 7" xfId="1932" xr:uid="{00000000-0005-0000-0000-00008B060000}"/>
    <cellStyle name="40% - Accent5 2 7 2" xfId="4161" xr:uid="{00000000-0005-0000-0000-00008C060000}"/>
    <cellStyle name="40% - Accent5 2 7 2 2" xfId="8384" xr:uid="{00000000-0005-0000-0000-00008D060000}"/>
    <cellStyle name="40% - Accent5 2 7 2 2 2" xfId="25267" xr:uid="{EAE47DB6-B26B-46DA-8ADA-2649E4A09941}"/>
    <cellStyle name="40% - Accent5 2 7 2 2 3" xfId="33713" xr:uid="{AD1DD252-17F5-47F0-89C0-FC7978C76C6E}"/>
    <cellStyle name="40% - Accent5 2 7 2 2 4" xfId="16826" xr:uid="{FD78001C-0EE0-476D-A2BB-D8F245CDE86B}"/>
    <cellStyle name="40% - Accent5 2 7 2 3" xfId="21049" xr:uid="{C04A8E86-8CD0-444E-A3EA-A96E505CAC24}"/>
    <cellStyle name="40% - Accent5 2 7 2 4" xfId="29496" xr:uid="{B5E1B9FF-8DBE-4E79-ADA0-530B4548C293}"/>
    <cellStyle name="40% - Accent5 2 7 2 5" xfId="12608" xr:uid="{0E3096C5-D27A-45B6-8A09-42EF98782F32}"/>
    <cellStyle name="40% - Accent5 2 7 3" xfId="6239" xr:uid="{00000000-0005-0000-0000-00008E060000}"/>
    <cellStyle name="40% - Accent5 2 7 3 2" xfId="23122" xr:uid="{EA8CAAD2-B318-4DE1-9715-6DDEAFF5C738}"/>
    <cellStyle name="40% - Accent5 2 7 3 3" xfId="31568" xr:uid="{7F9C1685-5ED3-42CE-9283-F79F4CEF7BB0}"/>
    <cellStyle name="40% - Accent5 2 7 3 4" xfId="14681" xr:uid="{620CE934-6B5A-4ED8-B416-42E46357F51F}"/>
    <cellStyle name="40% - Accent5 2 7 4" xfId="18904" xr:uid="{867B12DD-294F-4AF4-A742-1334F0D08527}"/>
    <cellStyle name="40% - Accent5 2 7 5" xfId="27349" xr:uid="{6168C767-68D3-423E-8F09-BD46BBED16C7}"/>
    <cellStyle name="40% - Accent5 2 7 6" xfId="10463" xr:uid="{0CE1FF7C-4559-4595-99C6-20A4B37F928E}"/>
    <cellStyle name="40% - Accent5 2 8" xfId="2345" xr:uid="{00000000-0005-0000-0000-00008F060000}"/>
    <cellStyle name="40% - Accent5 2 8 2" xfId="6652" xr:uid="{00000000-0005-0000-0000-000090060000}"/>
    <cellStyle name="40% - Accent5 2 8 2 2" xfId="23535" xr:uid="{47C71188-0F49-4BAD-8348-EBD443C751DB}"/>
    <cellStyle name="40% - Accent5 2 8 2 3" xfId="31981" xr:uid="{5B5C9DDA-00A7-4828-94D4-75000F14DDD4}"/>
    <cellStyle name="40% - Accent5 2 8 2 4" xfId="15094" xr:uid="{01CECE1B-3EB6-4146-83D7-3E9A85B96D51}"/>
    <cellStyle name="40% - Accent5 2 8 3" xfId="19317" xr:uid="{8F43740E-BF80-410C-96D9-A12B4264909E}"/>
    <cellStyle name="40% - Accent5 2 8 4" xfId="27762" xr:uid="{26717002-EF7D-4CE8-A7CC-9648478744BD}"/>
    <cellStyle name="40% - Accent5 2 8 5" xfId="10876" xr:uid="{624A5F9E-D2CB-4070-B43F-ED7859A47E4E}"/>
    <cellStyle name="40% - Accent5 2 9" xfId="4586" xr:uid="{00000000-0005-0000-0000-000091060000}"/>
    <cellStyle name="40% - Accent5 2 9 2" xfId="21469" xr:uid="{81ACA900-69FA-4093-B875-48AD2857FFD2}"/>
    <cellStyle name="40% - Accent5 2 9 3" xfId="29915" xr:uid="{E96ECF22-0B24-451B-A016-017B4DC5D6CC}"/>
    <cellStyle name="40% - Accent5 2 9 4" xfId="13028" xr:uid="{014AB7AA-1E1C-49DD-85EB-9626D239F92B}"/>
    <cellStyle name="40% - Accent5 3" xfId="86" xr:uid="{00000000-0005-0000-0000-000092060000}"/>
    <cellStyle name="40% - Accent5 3 10" xfId="25697" xr:uid="{993FE159-B2D9-40DB-ABCF-C8AD18592E15}"/>
    <cellStyle name="40% - Accent5 3 11" xfId="8814" xr:uid="{6F8F23A6-60F7-44D0-AE75-1A2AF2B96DEB}"/>
    <cellStyle name="40% - Accent5 3 2" xfId="87" xr:uid="{00000000-0005-0000-0000-000093060000}"/>
    <cellStyle name="40% - Accent5 3 2 10" xfId="8815" xr:uid="{4BD97975-B818-47C2-954C-6F3F9BDB3705}"/>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24033" xr:uid="{D753B3FB-41C1-48FF-A2BD-01979705A799}"/>
    <cellStyle name="40% - Accent5 3 2 2 2 2 3" xfId="32479" xr:uid="{A036DFDE-E162-4329-B808-79A4AFD76DDD}"/>
    <cellStyle name="40% - Accent5 3 2 2 2 2 4" xfId="15592" xr:uid="{7F850B7D-BBC9-4E4A-B19B-33EBC80D374F}"/>
    <cellStyle name="40% - Accent5 3 2 2 2 3" xfId="19815" xr:uid="{B411FD7D-8188-41FA-B797-6E88A7E14075}"/>
    <cellStyle name="40% - Accent5 3 2 2 2 4" xfId="28262" xr:uid="{E4AB0B2D-4BD5-4055-96F4-3D38E4F308D7}"/>
    <cellStyle name="40% - Accent5 3 2 2 2 5" xfId="11374" xr:uid="{049291B4-A842-4BD0-A797-533869C1300D}"/>
    <cellStyle name="40% - Accent5 3 2 2 3" xfId="5005" xr:uid="{00000000-0005-0000-0000-000097060000}"/>
    <cellStyle name="40% - Accent5 3 2 2 3 2" xfId="21888" xr:uid="{B1EB7957-AE4E-4AA2-99DA-17DE7CC41FB4}"/>
    <cellStyle name="40% - Accent5 3 2 2 3 3" xfId="30334" xr:uid="{A138961D-DEBE-4F5A-9CAA-8CC29DC10504}"/>
    <cellStyle name="40% - Accent5 3 2 2 3 4" xfId="13447" xr:uid="{3661E1B4-775F-4960-8D7E-EB7FE945E28F}"/>
    <cellStyle name="40% - Accent5 3 2 2 4" xfId="17670" xr:uid="{108410DB-7BF9-44D3-8D69-96C46A4D0097}"/>
    <cellStyle name="40% - Accent5 3 2 2 5" xfId="26115" xr:uid="{8880BBF9-46C4-42CC-8E6C-2EE09CDE555A}"/>
    <cellStyle name="40% - Accent5 3 2 2 6" xfId="9229" xr:uid="{CC131B9B-4DAE-4702-A278-DAE699E890F7}"/>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24446" xr:uid="{DE8CF15B-DDBA-4856-B33E-93BDBECF6139}"/>
    <cellStyle name="40% - Accent5 3 2 3 2 2 3" xfId="32892" xr:uid="{8B14424B-A20B-47F0-ABF2-434BAACF6FE4}"/>
    <cellStyle name="40% - Accent5 3 2 3 2 2 4" xfId="16005" xr:uid="{4488EA4F-5A91-4955-995E-5D8682AE93FA}"/>
    <cellStyle name="40% - Accent5 3 2 3 2 3" xfId="20228" xr:uid="{6D4E494F-1DB6-4A54-B22F-C74CA4914D34}"/>
    <cellStyle name="40% - Accent5 3 2 3 2 4" xfId="28675" xr:uid="{F998994D-2C7F-4E1C-85AC-0E489E4A2B90}"/>
    <cellStyle name="40% - Accent5 3 2 3 2 5" xfId="11787" xr:uid="{5B548C10-6580-4546-8B00-FCCAB22EE3E8}"/>
    <cellStyle name="40% - Accent5 3 2 3 3" xfId="5418" xr:uid="{00000000-0005-0000-0000-00009B060000}"/>
    <cellStyle name="40% - Accent5 3 2 3 3 2" xfId="22301" xr:uid="{60848C23-8579-419D-B502-4D5DFB57FF6E}"/>
    <cellStyle name="40% - Accent5 3 2 3 3 3" xfId="30747" xr:uid="{0A7CB2F8-0E0F-496C-987A-2B760CEE0D3E}"/>
    <cellStyle name="40% - Accent5 3 2 3 3 4" xfId="13860" xr:uid="{1FDF152E-52C0-4693-B41C-BD3EF038636F}"/>
    <cellStyle name="40% - Accent5 3 2 3 4" xfId="18083" xr:uid="{4B627D9F-7159-4914-87FB-DD4F378D3E64}"/>
    <cellStyle name="40% - Accent5 3 2 3 5" xfId="26528" xr:uid="{3FEE9154-3F83-4EE5-BC02-25EC4A33F9D5}"/>
    <cellStyle name="40% - Accent5 3 2 3 6" xfId="9642" xr:uid="{849DCEBA-DF6B-4B6B-A282-E9D92CDBC1C4}"/>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24859" xr:uid="{8C62299C-C575-4C5A-8102-E0FCF0AB3EAA}"/>
    <cellStyle name="40% - Accent5 3 2 4 2 2 3" xfId="33305" xr:uid="{8B47A836-53F6-4551-9CBE-3C527B352EC8}"/>
    <cellStyle name="40% - Accent5 3 2 4 2 2 4" xfId="16418" xr:uid="{E5A38596-768D-4D76-B7ED-29535326976F}"/>
    <cellStyle name="40% - Accent5 3 2 4 2 3" xfId="20641" xr:uid="{A9CFF603-F86D-46A4-B5E6-C265F8F26554}"/>
    <cellStyle name="40% - Accent5 3 2 4 2 4" xfId="29088" xr:uid="{B6B992DD-4230-4251-8864-247580C53BED}"/>
    <cellStyle name="40% - Accent5 3 2 4 2 5" xfId="12200" xr:uid="{4469875A-0E2D-4BB2-A8E7-C663559357FF}"/>
    <cellStyle name="40% - Accent5 3 2 4 3" xfId="5831" xr:uid="{00000000-0005-0000-0000-00009F060000}"/>
    <cellStyle name="40% - Accent5 3 2 4 3 2" xfId="22714" xr:uid="{27328A22-A5A3-428A-A6A3-14E273EDFB17}"/>
    <cellStyle name="40% - Accent5 3 2 4 3 3" xfId="31160" xr:uid="{222BDAAA-79D4-4F62-BE49-751F0B7169D0}"/>
    <cellStyle name="40% - Accent5 3 2 4 3 4" xfId="14273" xr:uid="{8BCFA9AF-6E39-44DF-974D-D472D2DDB977}"/>
    <cellStyle name="40% - Accent5 3 2 4 4" xfId="18496" xr:uid="{FE23164D-AAF4-430E-9BAB-EE77590CCD79}"/>
    <cellStyle name="40% - Accent5 3 2 4 5" xfId="26941" xr:uid="{702DC05D-677B-4FE6-A423-953EBD7EBCE0}"/>
    <cellStyle name="40% - Accent5 3 2 4 6" xfId="10055" xr:uid="{5DA0BBA7-997E-430F-9769-68126F3A70F9}"/>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25272" xr:uid="{3241FF4A-AD86-4DDC-99F5-84719A81E507}"/>
    <cellStyle name="40% - Accent5 3 2 5 2 2 3" xfId="33718" xr:uid="{D0AD9C2D-EC60-4CBB-9074-B7D15B401556}"/>
    <cellStyle name="40% - Accent5 3 2 5 2 2 4" xfId="16831" xr:uid="{5AE44AD2-19A6-4588-9FFA-7F09827E9671}"/>
    <cellStyle name="40% - Accent5 3 2 5 2 3" xfId="21054" xr:uid="{60C90106-B674-4CED-B02D-6FD6252E12A0}"/>
    <cellStyle name="40% - Accent5 3 2 5 2 4" xfId="29501" xr:uid="{7A8FF5E5-3700-4470-B145-E30B39AB70F0}"/>
    <cellStyle name="40% - Accent5 3 2 5 2 5" xfId="12613" xr:uid="{269BC47E-AC1E-4645-8D4C-1A9E72841E09}"/>
    <cellStyle name="40% - Accent5 3 2 5 3" xfId="6244" xr:uid="{00000000-0005-0000-0000-0000A3060000}"/>
    <cellStyle name="40% - Accent5 3 2 5 3 2" xfId="23127" xr:uid="{0C98BC03-D98E-44FB-A629-69C2BBC75E6E}"/>
    <cellStyle name="40% - Accent5 3 2 5 3 3" xfId="31573" xr:uid="{5782B855-E8CE-4073-B04E-EC00F2C2FDB1}"/>
    <cellStyle name="40% - Accent5 3 2 5 3 4" xfId="14686" xr:uid="{29F94E63-32AF-4D21-A241-4DF088A4B31B}"/>
    <cellStyle name="40% - Accent5 3 2 5 4" xfId="18909" xr:uid="{8F3E6A1A-98EA-4DDF-BF5A-AFE3E9D4C317}"/>
    <cellStyle name="40% - Accent5 3 2 5 5" xfId="27354" xr:uid="{0BAAA5DB-D200-470C-AA47-FB1AD3D71074}"/>
    <cellStyle name="40% - Accent5 3 2 5 6" xfId="10468" xr:uid="{8F31299F-B1E2-44FA-A8F6-11EC6E962676}"/>
    <cellStyle name="40% - Accent5 3 2 6" xfId="2350" xr:uid="{00000000-0005-0000-0000-0000A4060000}"/>
    <cellStyle name="40% - Accent5 3 2 6 2" xfId="6657" xr:uid="{00000000-0005-0000-0000-0000A5060000}"/>
    <cellStyle name="40% - Accent5 3 2 6 2 2" xfId="23540" xr:uid="{329B6408-CAC9-4DB1-ACF1-E696DC3D56E7}"/>
    <cellStyle name="40% - Accent5 3 2 6 2 3" xfId="31986" xr:uid="{3309FDB3-0AFC-446B-8B28-7CC6308B24C7}"/>
    <cellStyle name="40% - Accent5 3 2 6 2 4" xfId="15099" xr:uid="{B4F545AF-0CCD-4E4C-9BC3-EAFAA45F2D44}"/>
    <cellStyle name="40% - Accent5 3 2 6 3" xfId="19322" xr:uid="{D3BF52B4-A8F0-4B6D-BAB6-87E9E5606AE6}"/>
    <cellStyle name="40% - Accent5 3 2 6 4" xfId="27767" xr:uid="{043971FE-36BC-436A-BF9E-B292F39E918F}"/>
    <cellStyle name="40% - Accent5 3 2 6 5" xfId="10881" xr:uid="{A57D49BA-A0FA-42ED-9B3A-1854E03A261F}"/>
    <cellStyle name="40% - Accent5 3 2 7" xfId="4591" xr:uid="{00000000-0005-0000-0000-0000A6060000}"/>
    <cellStyle name="40% - Accent5 3 2 7 2" xfId="21474" xr:uid="{E4F259DE-B9FF-4086-9265-6FC55AC7DA70}"/>
    <cellStyle name="40% - Accent5 3 2 7 3" xfId="29920" xr:uid="{7BBA1A59-7DD0-41EF-A6B8-85EFB1D129D7}"/>
    <cellStyle name="40% - Accent5 3 2 7 4" xfId="13033" xr:uid="{16F766FF-2EF6-447E-8ACD-80FC0C0A7985}"/>
    <cellStyle name="40% - Accent5 3 2 8" xfId="17256" xr:uid="{0E553757-43EE-432D-9BC3-67960AF31791}"/>
    <cellStyle name="40% - Accent5 3 2 9" xfId="25698" xr:uid="{CDA4D99F-A8C1-4437-9114-132B4D58857B}"/>
    <cellStyle name="40% - Accent5 3 3" xfId="655" xr:uid="{00000000-0005-0000-0000-0000A7060000}"/>
    <cellStyle name="40% - Accent5 3 3 2" xfId="2926" xr:uid="{00000000-0005-0000-0000-0000A8060000}"/>
    <cellStyle name="40% - Accent5 3 3 2 2" xfId="7149" xr:uid="{00000000-0005-0000-0000-0000A9060000}"/>
    <cellStyle name="40% - Accent5 3 3 2 2 2" xfId="24032" xr:uid="{D278F663-533B-41EB-9859-04454730CD14}"/>
    <cellStyle name="40% - Accent5 3 3 2 2 3" xfId="32478" xr:uid="{92BD1075-BE21-4ECB-A3C7-F6D78AED7564}"/>
    <cellStyle name="40% - Accent5 3 3 2 2 4" xfId="15591" xr:uid="{BF98AFA4-7A2E-4B30-BAC7-852528DD9F08}"/>
    <cellStyle name="40% - Accent5 3 3 2 3" xfId="19814" xr:uid="{A03E8DA1-030C-4067-B10E-C8DF54FA23E3}"/>
    <cellStyle name="40% - Accent5 3 3 2 4" xfId="28261" xr:uid="{AFD998DB-4C8A-4C25-8D9C-8AC245CD9C27}"/>
    <cellStyle name="40% - Accent5 3 3 2 5" xfId="11373" xr:uid="{81005E04-DCDA-4233-AF7D-30B0258219F4}"/>
    <cellStyle name="40% - Accent5 3 3 3" xfId="5004" xr:uid="{00000000-0005-0000-0000-0000AA060000}"/>
    <cellStyle name="40% - Accent5 3 3 3 2" xfId="21887" xr:uid="{9EB14B27-382B-4C93-8A45-822E79BED441}"/>
    <cellStyle name="40% - Accent5 3 3 3 3" xfId="30333" xr:uid="{73DB80FD-B4B1-42D7-B50D-60CD211B1E23}"/>
    <cellStyle name="40% - Accent5 3 3 3 4" xfId="13446" xr:uid="{B60F89CB-11AA-4773-94B8-8C176E8791F0}"/>
    <cellStyle name="40% - Accent5 3 3 4" xfId="17669" xr:uid="{AF5A3A89-8B57-4D37-B163-53847C2E8F86}"/>
    <cellStyle name="40% - Accent5 3 3 5" xfId="26114" xr:uid="{DB1F1FB8-6EE4-419F-944D-CE361B88698C}"/>
    <cellStyle name="40% - Accent5 3 3 6" xfId="9228" xr:uid="{4AEEBF88-A82F-4A0E-BE52-B9785EEE0064}"/>
    <cellStyle name="40% - Accent5 3 4" xfId="1108" xr:uid="{00000000-0005-0000-0000-0000AB060000}"/>
    <cellStyle name="40% - Accent5 3 4 2" xfId="3339" xr:uid="{00000000-0005-0000-0000-0000AC060000}"/>
    <cellStyle name="40% - Accent5 3 4 2 2" xfId="7562" xr:uid="{00000000-0005-0000-0000-0000AD060000}"/>
    <cellStyle name="40% - Accent5 3 4 2 2 2" xfId="24445" xr:uid="{9E5BEB49-ECBB-4A9C-BA7E-0D8C1C5FB335}"/>
    <cellStyle name="40% - Accent5 3 4 2 2 3" xfId="32891" xr:uid="{46EC7BB2-4E30-464A-8B36-7A4617BF7F27}"/>
    <cellStyle name="40% - Accent5 3 4 2 2 4" xfId="16004" xr:uid="{73E20A2C-646A-4F9B-BA4B-38900B04D401}"/>
    <cellStyle name="40% - Accent5 3 4 2 3" xfId="20227" xr:uid="{347316E2-B72E-4867-8E28-D27C75084412}"/>
    <cellStyle name="40% - Accent5 3 4 2 4" xfId="28674" xr:uid="{558A6211-959B-4A69-A50B-1BA6C33D9329}"/>
    <cellStyle name="40% - Accent5 3 4 2 5" xfId="11786" xr:uid="{FF903797-0FBF-46D5-A54D-35A4C51409B9}"/>
    <cellStyle name="40% - Accent5 3 4 3" xfId="5417" xr:uid="{00000000-0005-0000-0000-0000AE060000}"/>
    <cellStyle name="40% - Accent5 3 4 3 2" xfId="22300" xr:uid="{1E2DAAE9-07EA-4608-8FED-BE63A99D1B9B}"/>
    <cellStyle name="40% - Accent5 3 4 3 3" xfId="30746" xr:uid="{2D9BC404-FDBE-4AF1-8554-2B22A4001E11}"/>
    <cellStyle name="40% - Accent5 3 4 3 4" xfId="13859" xr:uid="{E82AF19C-FE26-48D6-A7E7-4012203BF8F4}"/>
    <cellStyle name="40% - Accent5 3 4 4" xfId="18082" xr:uid="{83ADEAB4-CCB0-48AD-A3DB-7348B5FBF706}"/>
    <cellStyle name="40% - Accent5 3 4 5" xfId="26527" xr:uid="{35943201-2500-4DA4-B220-AE345AE66013}"/>
    <cellStyle name="40% - Accent5 3 4 6" xfId="9641" xr:uid="{86F0A7C9-A9B8-4E1A-9E70-8FAF0B500F65}"/>
    <cellStyle name="40% - Accent5 3 5" xfId="1522" xr:uid="{00000000-0005-0000-0000-0000AF060000}"/>
    <cellStyle name="40% - Accent5 3 5 2" xfId="3752" xr:uid="{00000000-0005-0000-0000-0000B0060000}"/>
    <cellStyle name="40% - Accent5 3 5 2 2" xfId="7975" xr:uid="{00000000-0005-0000-0000-0000B1060000}"/>
    <cellStyle name="40% - Accent5 3 5 2 2 2" xfId="24858" xr:uid="{F9851064-6B41-460C-AB09-FFA0F63FCDE2}"/>
    <cellStyle name="40% - Accent5 3 5 2 2 3" xfId="33304" xr:uid="{E5B844CE-669B-4439-AA25-F903622CA47F}"/>
    <cellStyle name="40% - Accent5 3 5 2 2 4" xfId="16417" xr:uid="{B96684FC-B9B7-452D-B5D6-28FEEA38D399}"/>
    <cellStyle name="40% - Accent5 3 5 2 3" xfId="20640" xr:uid="{1AB40D8C-7056-4385-B7F7-C3034FA20D35}"/>
    <cellStyle name="40% - Accent5 3 5 2 4" xfId="29087" xr:uid="{51960A3E-1C58-4A4D-9BF4-CF49AC07E290}"/>
    <cellStyle name="40% - Accent5 3 5 2 5" xfId="12199" xr:uid="{53E47038-5FAD-4DD0-8FED-973842AF0899}"/>
    <cellStyle name="40% - Accent5 3 5 3" xfId="5830" xr:uid="{00000000-0005-0000-0000-0000B2060000}"/>
    <cellStyle name="40% - Accent5 3 5 3 2" xfId="22713" xr:uid="{DFE9037D-937A-4DD0-8D84-8066EBFA1A14}"/>
    <cellStyle name="40% - Accent5 3 5 3 3" xfId="31159" xr:uid="{9577FDC9-E9D0-4834-84F5-191A4797E87A}"/>
    <cellStyle name="40% - Accent5 3 5 3 4" xfId="14272" xr:uid="{1979DDC4-68A0-464F-A59D-066CA3013C40}"/>
    <cellStyle name="40% - Accent5 3 5 4" xfId="18495" xr:uid="{F95FCF89-AE1D-4219-87CF-245B1CFCD200}"/>
    <cellStyle name="40% - Accent5 3 5 5" xfId="26940" xr:uid="{2C01A9F5-C0B7-43DB-9EAD-92D97EFDD9F4}"/>
    <cellStyle name="40% - Accent5 3 5 6" xfId="10054" xr:uid="{C7D7F784-C5F6-40E2-BBC9-47A102693F66}"/>
    <cellStyle name="40% - Accent5 3 6" xfId="1936" xr:uid="{00000000-0005-0000-0000-0000B3060000}"/>
    <cellStyle name="40% - Accent5 3 6 2" xfId="4165" xr:uid="{00000000-0005-0000-0000-0000B4060000}"/>
    <cellStyle name="40% - Accent5 3 6 2 2" xfId="8388" xr:uid="{00000000-0005-0000-0000-0000B5060000}"/>
    <cellStyle name="40% - Accent5 3 6 2 2 2" xfId="25271" xr:uid="{FB2F677D-F965-4FA1-BFF3-E9DBBF469906}"/>
    <cellStyle name="40% - Accent5 3 6 2 2 3" xfId="33717" xr:uid="{9CB6FCA8-857C-4156-8991-E586690FE536}"/>
    <cellStyle name="40% - Accent5 3 6 2 2 4" xfId="16830" xr:uid="{EF798C54-A904-4489-A726-2D542CEB68FD}"/>
    <cellStyle name="40% - Accent5 3 6 2 3" xfId="21053" xr:uid="{DF4FD396-B59E-4649-8F65-51AFDD9DAE7D}"/>
    <cellStyle name="40% - Accent5 3 6 2 4" xfId="29500" xr:uid="{667C3479-083D-4663-9A4D-E82F73C04731}"/>
    <cellStyle name="40% - Accent5 3 6 2 5" xfId="12612" xr:uid="{11A0F36B-52D6-4AAD-A311-A806020EA0A0}"/>
    <cellStyle name="40% - Accent5 3 6 3" xfId="6243" xr:uid="{00000000-0005-0000-0000-0000B6060000}"/>
    <cellStyle name="40% - Accent5 3 6 3 2" xfId="23126" xr:uid="{7D86C926-163C-4F66-BC18-50337B9F590A}"/>
    <cellStyle name="40% - Accent5 3 6 3 3" xfId="31572" xr:uid="{6826A45C-8113-4717-8C68-80762F9469B9}"/>
    <cellStyle name="40% - Accent5 3 6 3 4" xfId="14685" xr:uid="{B1ADA096-F7F7-4DA3-939A-529520D489A1}"/>
    <cellStyle name="40% - Accent5 3 6 4" xfId="18908" xr:uid="{DE2EB2CE-D4F9-4EFF-A6A0-FBF6CC86FCDC}"/>
    <cellStyle name="40% - Accent5 3 6 5" xfId="27353" xr:uid="{5CC0B893-AC3A-413E-84D9-A66A80AE4273}"/>
    <cellStyle name="40% - Accent5 3 6 6" xfId="10467" xr:uid="{E6E26D75-6352-44AE-B028-7A0C606AD853}"/>
    <cellStyle name="40% - Accent5 3 7" xfId="2349" xr:uid="{00000000-0005-0000-0000-0000B7060000}"/>
    <cellStyle name="40% - Accent5 3 7 2" xfId="6656" xr:uid="{00000000-0005-0000-0000-0000B8060000}"/>
    <cellStyle name="40% - Accent5 3 7 2 2" xfId="23539" xr:uid="{93095E21-9D8D-4103-B6EB-50067C282349}"/>
    <cellStyle name="40% - Accent5 3 7 2 3" xfId="31985" xr:uid="{0AE8B6B3-A940-4ABA-A56A-EB4AF3E57BF7}"/>
    <cellStyle name="40% - Accent5 3 7 2 4" xfId="15098" xr:uid="{4DDEEEEB-15A4-4268-9FFB-2E8611E11A04}"/>
    <cellStyle name="40% - Accent5 3 7 3" xfId="19321" xr:uid="{1E472DCA-878C-436C-AF75-BF90E11D655A}"/>
    <cellStyle name="40% - Accent5 3 7 4" xfId="27766" xr:uid="{1CAD99B6-AFB2-4F6B-AD0B-DC0623B2D7D5}"/>
    <cellStyle name="40% - Accent5 3 7 5" xfId="10880" xr:uid="{3AFFC306-B0F2-429D-B2EF-95113C6B84D7}"/>
    <cellStyle name="40% - Accent5 3 8" xfId="4590" xr:uid="{00000000-0005-0000-0000-0000B9060000}"/>
    <cellStyle name="40% - Accent5 3 8 2" xfId="21473" xr:uid="{BDCAAAB7-641F-4107-AB73-995302FFF73D}"/>
    <cellStyle name="40% - Accent5 3 8 3" xfId="29919" xr:uid="{23286B6E-4835-4D60-A295-4036D59C4F16}"/>
    <cellStyle name="40% - Accent5 3 8 4" xfId="13032" xr:uid="{FD2145D2-F2FA-44D3-B469-95AE42242DEF}"/>
    <cellStyle name="40% - Accent5 3 9" xfId="17255" xr:uid="{20CB189D-602F-4667-9978-9A864C0C0319}"/>
    <cellStyle name="40% - Accent5 4" xfId="88" xr:uid="{00000000-0005-0000-0000-0000BA060000}"/>
    <cellStyle name="40% - Accent5 4 10" xfId="8816" xr:uid="{3311FEBA-EF8E-40BC-B159-B4A70C0ACAAE}"/>
    <cellStyle name="40% - Accent5 4 2" xfId="657" xr:uid="{00000000-0005-0000-0000-0000BB060000}"/>
    <cellStyle name="40% - Accent5 4 2 2" xfId="2928" xr:uid="{00000000-0005-0000-0000-0000BC060000}"/>
    <cellStyle name="40% - Accent5 4 2 2 2" xfId="7151" xr:uid="{00000000-0005-0000-0000-0000BD060000}"/>
    <cellStyle name="40% - Accent5 4 2 2 2 2" xfId="24034" xr:uid="{F84BAC7D-7F44-4D8C-BC63-E03C68CC4FD0}"/>
    <cellStyle name="40% - Accent5 4 2 2 2 3" xfId="32480" xr:uid="{5256B20C-8360-49E4-8D93-145551D425C8}"/>
    <cellStyle name="40% - Accent5 4 2 2 2 4" xfId="15593" xr:uid="{EF69ACCF-C319-48D8-B10B-A21A94E65F8F}"/>
    <cellStyle name="40% - Accent5 4 2 2 3" xfId="19816" xr:uid="{AF4B0BF2-AA3C-43F0-94E0-58888FC8CCE9}"/>
    <cellStyle name="40% - Accent5 4 2 2 4" xfId="28263" xr:uid="{027054E8-DACF-479D-8E2C-9004DC357ED8}"/>
    <cellStyle name="40% - Accent5 4 2 2 5" xfId="11375" xr:uid="{60BF49C9-F2A4-49B3-A2FD-2565F544D97B}"/>
    <cellStyle name="40% - Accent5 4 2 3" xfId="5006" xr:uid="{00000000-0005-0000-0000-0000BE060000}"/>
    <cellStyle name="40% - Accent5 4 2 3 2" xfId="21889" xr:uid="{52D396C9-02D5-4DD9-9311-3C90419E0CD2}"/>
    <cellStyle name="40% - Accent5 4 2 3 3" xfId="30335" xr:uid="{8BBD6C0B-A0F0-4524-B397-55DE24104D3F}"/>
    <cellStyle name="40% - Accent5 4 2 3 4" xfId="13448" xr:uid="{34BEBE22-77F1-4DE9-8453-64AF047AFE59}"/>
    <cellStyle name="40% - Accent5 4 2 4" xfId="17671" xr:uid="{26DF5E00-4D2E-4E37-BC76-4CEC8FEDDB0B}"/>
    <cellStyle name="40% - Accent5 4 2 5" xfId="26116" xr:uid="{A557EBD6-A7D0-44D7-AD28-A0C8A9CB78A8}"/>
    <cellStyle name="40% - Accent5 4 2 6" xfId="9230" xr:uid="{A5F79697-5BDE-46BC-AE56-66DA7114BA11}"/>
    <cellStyle name="40% - Accent5 4 3" xfId="1110" xr:uid="{00000000-0005-0000-0000-0000BF060000}"/>
    <cellStyle name="40% - Accent5 4 3 2" xfId="3341" xr:uid="{00000000-0005-0000-0000-0000C0060000}"/>
    <cellStyle name="40% - Accent5 4 3 2 2" xfId="7564" xr:uid="{00000000-0005-0000-0000-0000C1060000}"/>
    <cellStyle name="40% - Accent5 4 3 2 2 2" xfId="24447" xr:uid="{08624C62-0589-4973-B2BE-00E7F6BEFC27}"/>
    <cellStyle name="40% - Accent5 4 3 2 2 3" xfId="32893" xr:uid="{648F7535-C3AE-485C-B0B6-C39E3A06CF59}"/>
    <cellStyle name="40% - Accent5 4 3 2 2 4" xfId="16006" xr:uid="{02CF8EC6-C090-49A3-B453-F5AF59D425B3}"/>
    <cellStyle name="40% - Accent5 4 3 2 3" xfId="20229" xr:uid="{23089E6E-14BD-48D6-B871-6A8DC0CDB76E}"/>
    <cellStyle name="40% - Accent5 4 3 2 4" xfId="28676" xr:uid="{61FB5638-1C82-4B83-9B9F-024CFC797464}"/>
    <cellStyle name="40% - Accent5 4 3 2 5" xfId="11788" xr:uid="{FEFABAB1-0C25-4D78-A90F-8803743BACC2}"/>
    <cellStyle name="40% - Accent5 4 3 3" xfId="5419" xr:uid="{00000000-0005-0000-0000-0000C2060000}"/>
    <cellStyle name="40% - Accent5 4 3 3 2" xfId="22302" xr:uid="{7C5DC7A2-1BEC-43DA-9D54-E86B54938E56}"/>
    <cellStyle name="40% - Accent5 4 3 3 3" xfId="30748" xr:uid="{1D40A0DE-B9D9-43C9-90E8-F6D54BEC1D90}"/>
    <cellStyle name="40% - Accent5 4 3 3 4" xfId="13861" xr:uid="{678492A5-91D3-4D4D-BDE6-C09FA3A04C33}"/>
    <cellStyle name="40% - Accent5 4 3 4" xfId="18084" xr:uid="{02A1BD7B-46FF-48AA-AC88-5B615CD89BE3}"/>
    <cellStyle name="40% - Accent5 4 3 5" xfId="26529" xr:uid="{53FBBA2D-95FF-4264-A241-CC3468DDA758}"/>
    <cellStyle name="40% - Accent5 4 3 6" xfId="9643" xr:uid="{7317C878-C6B5-48C1-B48B-BC1D65797CBC}"/>
    <cellStyle name="40% - Accent5 4 4" xfId="1524" xr:uid="{00000000-0005-0000-0000-0000C3060000}"/>
    <cellStyle name="40% - Accent5 4 4 2" xfId="3754" xr:uid="{00000000-0005-0000-0000-0000C4060000}"/>
    <cellStyle name="40% - Accent5 4 4 2 2" xfId="7977" xr:uid="{00000000-0005-0000-0000-0000C5060000}"/>
    <cellStyle name="40% - Accent5 4 4 2 2 2" xfId="24860" xr:uid="{D4C50C1F-5921-4792-B60C-844123A681A4}"/>
    <cellStyle name="40% - Accent5 4 4 2 2 3" xfId="33306" xr:uid="{7C0B1785-2FDC-4932-8F80-1F9C1F2E5E4A}"/>
    <cellStyle name="40% - Accent5 4 4 2 2 4" xfId="16419" xr:uid="{1795E2B9-D801-4BBC-8691-388867D292B3}"/>
    <cellStyle name="40% - Accent5 4 4 2 3" xfId="20642" xr:uid="{ECC36195-F427-44D8-A661-4E082038446C}"/>
    <cellStyle name="40% - Accent5 4 4 2 4" xfId="29089" xr:uid="{5180F937-27AB-44A0-8D97-D782255C72A1}"/>
    <cellStyle name="40% - Accent5 4 4 2 5" xfId="12201" xr:uid="{8057F809-0D78-45E0-B99C-B66F6215BEBD}"/>
    <cellStyle name="40% - Accent5 4 4 3" xfId="5832" xr:uid="{00000000-0005-0000-0000-0000C6060000}"/>
    <cellStyle name="40% - Accent5 4 4 3 2" xfId="22715" xr:uid="{3F6496BD-3EFC-44E0-B31C-A8F3D636923A}"/>
    <cellStyle name="40% - Accent5 4 4 3 3" xfId="31161" xr:uid="{AB781B79-08AF-4589-92F6-6AC8454BF7CB}"/>
    <cellStyle name="40% - Accent5 4 4 3 4" xfId="14274" xr:uid="{4A489ECE-6854-4361-9EBE-5C222FC73572}"/>
    <cellStyle name="40% - Accent5 4 4 4" xfId="18497" xr:uid="{3916320E-CA50-4CBA-B29C-CEBA46B850F3}"/>
    <cellStyle name="40% - Accent5 4 4 5" xfId="26942" xr:uid="{41E3E690-0F03-4F69-8C2A-CE22C129D422}"/>
    <cellStyle name="40% - Accent5 4 4 6" xfId="10056" xr:uid="{F51D666A-1D91-4474-93EA-AB92A8EB6BC7}"/>
    <cellStyle name="40% - Accent5 4 5" xfId="1938" xr:uid="{00000000-0005-0000-0000-0000C7060000}"/>
    <cellStyle name="40% - Accent5 4 5 2" xfId="4167" xr:uid="{00000000-0005-0000-0000-0000C8060000}"/>
    <cellStyle name="40% - Accent5 4 5 2 2" xfId="8390" xr:uid="{00000000-0005-0000-0000-0000C9060000}"/>
    <cellStyle name="40% - Accent5 4 5 2 2 2" xfId="25273" xr:uid="{5DABCCBA-CE56-4A5A-9E3A-92D943601F96}"/>
    <cellStyle name="40% - Accent5 4 5 2 2 3" xfId="33719" xr:uid="{EAE1CEC5-D58D-4A95-865B-8DA6FDAFFFFB}"/>
    <cellStyle name="40% - Accent5 4 5 2 2 4" xfId="16832" xr:uid="{C66AE54B-2C0E-4260-9AE1-5616C94F6458}"/>
    <cellStyle name="40% - Accent5 4 5 2 3" xfId="21055" xr:uid="{B4E2994B-7477-4691-95B6-78D4EC31BE6E}"/>
    <cellStyle name="40% - Accent5 4 5 2 4" xfId="29502" xr:uid="{C28805D6-A44F-4E31-8C57-43D871DD0C70}"/>
    <cellStyle name="40% - Accent5 4 5 2 5" xfId="12614" xr:uid="{F58E6E4A-832A-478C-A1D0-B53817875B5A}"/>
    <cellStyle name="40% - Accent5 4 5 3" xfId="6245" xr:uid="{00000000-0005-0000-0000-0000CA060000}"/>
    <cellStyle name="40% - Accent5 4 5 3 2" xfId="23128" xr:uid="{B220E65F-F1F6-4468-9F2A-4600446B6CCD}"/>
    <cellStyle name="40% - Accent5 4 5 3 3" xfId="31574" xr:uid="{CBEA9D99-9844-4491-A8E1-231D0A65D211}"/>
    <cellStyle name="40% - Accent5 4 5 3 4" xfId="14687" xr:uid="{8FA513A0-9976-4ECC-98A1-1CBBD5576C38}"/>
    <cellStyle name="40% - Accent5 4 5 4" xfId="18910" xr:uid="{9D26F114-80CF-482A-8DC0-2C8A35AC2B04}"/>
    <cellStyle name="40% - Accent5 4 5 5" xfId="27355" xr:uid="{D5EC0A55-E070-4BC9-B2C3-6525BD0A7D17}"/>
    <cellStyle name="40% - Accent5 4 5 6" xfId="10469" xr:uid="{A02C78E0-D2C1-4EE6-8587-3D8A812D46CF}"/>
    <cellStyle name="40% - Accent5 4 6" xfId="2351" xr:uid="{00000000-0005-0000-0000-0000CB060000}"/>
    <cellStyle name="40% - Accent5 4 6 2" xfId="6658" xr:uid="{00000000-0005-0000-0000-0000CC060000}"/>
    <cellStyle name="40% - Accent5 4 6 2 2" xfId="23541" xr:uid="{E4E18096-B51E-448B-A083-90C6CADCADF9}"/>
    <cellStyle name="40% - Accent5 4 6 2 3" xfId="31987" xr:uid="{9077F268-FD23-4AAE-BCDF-F2D4BCD9DA26}"/>
    <cellStyle name="40% - Accent5 4 6 2 4" xfId="15100" xr:uid="{25CFE7D7-B171-46F8-9B81-72A14D19DFDF}"/>
    <cellStyle name="40% - Accent5 4 6 3" xfId="19323" xr:uid="{5BD32AF2-B81E-4F4C-8625-B584B0E6B5E6}"/>
    <cellStyle name="40% - Accent5 4 6 4" xfId="27768" xr:uid="{B5F28D8A-4F20-42C0-9316-61C7BCF950D2}"/>
    <cellStyle name="40% - Accent5 4 6 5" xfId="10882" xr:uid="{A43A7D53-925A-42B6-A3A3-1895D94910F7}"/>
    <cellStyle name="40% - Accent5 4 7" xfId="4592" xr:uid="{00000000-0005-0000-0000-0000CD060000}"/>
    <cellStyle name="40% - Accent5 4 7 2" xfId="21475" xr:uid="{3C83DF50-92B1-4444-AED6-5EE950F2103F}"/>
    <cellStyle name="40% - Accent5 4 7 3" xfId="29921" xr:uid="{588BF4A7-8A6A-4F24-A065-0FB881C48B4B}"/>
    <cellStyle name="40% - Accent5 4 7 4" xfId="13034" xr:uid="{87759BE2-A94A-4E4F-B3F0-B2EC37CE0E4E}"/>
    <cellStyle name="40% - Accent5 4 8" xfId="17257" xr:uid="{1A661C3D-16CE-4ABC-B62E-85E5B528BFBE}"/>
    <cellStyle name="40% - Accent5 4 9" xfId="25699" xr:uid="{7C60FB99-3E58-4F7C-AC02-95FD4CA489E4}"/>
    <cellStyle name="40% - Accent5 5" xfId="650" xr:uid="{00000000-0005-0000-0000-0000CE060000}"/>
    <cellStyle name="40% - Accent5 5 2" xfId="2921" xr:uid="{00000000-0005-0000-0000-0000CF060000}"/>
    <cellStyle name="40% - Accent5 5 2 2" xfId="7144" xr:uid="{00000000-0005-0000-0000-0000D0060000}"/>
    <cellStyle name="40% - Accent5 5 2 2 2" xfId="24027" xr:uid="{40F4BAAF-D509-4BDF-8845-1A382C74E332}"/>
    <cellStyle name="40% - Accent5 5 2 2 3" xfId="32473" xr:uid="{01DBA7DC-4FB1-487E-9A51-301FD813CA27}"/>
    <cellStyle name="40% - Accent5 5 2 2 4" xfId="15586" xr:uid="{3CF058B8-3927-4FA0-B607-FD09661B1B31}"/>
    <cellStyle name="40% - Accent5 5 2 3" xfId="19809" xr:uid="{693B26CF-79C3-4328-BF27-D5978632D880}"/>
    <cellStyle name="40% - Accent5 5 2 4" xfId="28256" xr:uid="{21B46830-803B-4D89-89DE-0FE9B21C3A6A}"/>
    <cellStyle name="40% - Accent5 5 2 5" xfId="11368" xr:uid="{18A8C868-0780-46B2-9732-6DA9463F8D1F}"/>
    <cellStyle name="40% - Accent5 5 3" xfId="4999" xr:uid="{00000000-0005-0000-0000-0000D1060000}"/>
    <cellStyle name="40% - Accent5 5 3 2" xfId="21882" xr:uid="{0D121782-7132-4F3B-80DD-04591510077D}"/>
    <cellStyle name="40% - Accent5 5 3 3" xfId="30328" xr:uid="{A01BC98C-C030-487D-A848-731338727821}"/>
    <cellStyle name="40% - Accent5 5 3 4" xfId="13441" xr:uid="{49CB760F-66BA-4578-9D71-9C1F43618B78}"/>
    <cellStyle name="40% - Accent5 5 4" xfId="17664" xr:uid="{FF16ED02-3067-4895-9423-88CE737B34F9}"/>
    <cellStyle name="40% - Accent5 5 5" xfId="26109" xr:uid="{90E1FF76-C6E8-4182-AFD4-869BEB8B0023}"/>
    <cellStyle name="40% - Accent5 5 6" xfId="9223" xr:uid="{287C786C-03E2-45B0-9A35-CFE80527ED43}"/>
    <cellStyle name="40% - Accent5 6" xfId="1103" xr:uid="{00000000-0005-0000-0000-0000D2060000}"/>
    <cellStyle name="40% - Accent5 6 2" xfId="3334" xr:uid="{00000000-0005-0000-0000-0000D3060000}"/>
    <cellStyle name="40% - Accent5 6 2 2" xfId="7557" xr:uid="{00000000-0005-0000-0000-0000D4060000}"/>
    <cellStyle name="40% - Accent5 6 2 2 2" xfId="24440" xr:uid="{706254C3-8533-4D1E-8926-BD59DBCC98B5}"/>
    <cellStyle name="40% - Accent5 6 2 2 3" xfId="32886" xr:uid="{FF4EB54D-1E5F-4809-B195-45525790C25A}"/>
    <cellStyle name="40% - Accent5 6 2 2 4" xfId="15999" xr:uid="{73C03C25-62C6-41F1-B849-04058EFA2C7D}"/>
    <cellStyle name="40% - Accent5 6 2 3" xfId="20222" xr:uid="{DF00560E-BAA5-47BB-AE76-EF30652324EE}"/>
    <cellStyle name="40% - Accent5 6 2 4" xfId="28669" xr:uid="{321FC486-14C8-4713-8F79-1E6C50C2E918}"/>
    <cellStyle name="40% - Accent5 6 2 5" xfId="11781" xr:uid="{6FDCD10F-CF61-4C1C-AE9F-7C1818493BDF}"/>
    <cellStyle name="40% - Accent5 6 3" xfId="5412" xr:uid="{00000000-0005-0000-0000-0000D5060000}"/>
    <cellStyle name="40% - Accent5 6 3 2" xfId="22295" xr:uid="{B5F5F646-87FD-4CB9-9C88-78C8D1EEFD35}"/>
    <cellStyle name="40% - Accent5 6 3 3" xfId="30741" xr:uid="{C6313A15-DE50-497C-8675-0171E3167FD2}"/>
    <cellStyle name="40% - Accent5 6 3 4" xfId="13854" xr:uid="{42910609-58F1-4BA3-9E9B-992BBB5DC65C}"/>
    <cellStyle name="40% - Accent5 6 4" xfId="18077" xr:uid="{54314569-A56F-4B52-A0D3-0CDC3F9F5DC4}"/>
    <cellStyle name="40% - Accent5 6 5" xfId="26522" xr:uid="{826B6659-9CD3-4F57-95A7-3892F4AFE459}"/>
    <cellStyle name="40% - Accent5 6 6" xfId="9636" xr:uid="{0EF5A67A-6B23-4BF9-87B7-BCF79970E64F}"/>
    <cellStyle name="40% - Accent5 7" xfId="1517" xr:uid="{00000000-0005-0000-0000-0000D6060000}"/>
    <cellStyle name="40% - Accent5 7 2" xfId="3747" xr:uid="{00000000-0005-0000-0000-0000D7060000}"/>
    <cellStyle name="40% - Accent5 7 2 2" xfId="7970" xr:uid="{00000000-0005-0000-0000-0000D8060000}"/>
    <cellStyle name="40% - Accent5 7 2 2 2" xfId="24853" xr:uid="{890B0304-7A81-49EA-946B-1C9F28BBE72B}"/>
    <cellStyle name="40% - Accent5 7 2 2 3" xfId="33299" xr:uid="{AE90AD7A-CAFF-493A-9F5A-72A53729C293}"/>
    <cellStyle name="40% - Accent5 7 2 2 4" xfId="16412" xr:uid="{41865E3E-A902-4615-ADCF-4629CC00A187}"/>
    <cellStyle name="40% - Accent5 7 2 3" xfId="20635" xr:uid="{FDFE48B6-FF78-45E0-B819-1A1EE08325A8}"/>
    <cellStyle name="40% - Accent5 7 2 4" xfId="29082" xr:uid="{4B445E71-E9E4-4BE2-8FF1-358562DCA3F9}"/>
    <cellStyle name="40% - Accent5 7 2 5" xfId="12194" xr:uid="{A038FD77-AAF2-4938-B993-2E8098ADC61C}"/>
    <cellStyle name="40% - Accent5 7 3" xfId="5825" xr:uid="{00000000-0005-0000-0000-0000D9060000}"/>
    <cellStyle name="40% - Accent5 7 3 2" xfId="22708" xr:uid="{992FAF49-3B91-4740-8C6E-D370CFA583F7}"/>
    <cellStyle name="40% - Accent5 7 3 3" xfId="31154" xr:uid="{3E8B1C3B-4779-422A-9DA7-563A023FF8B8}"/>
    <cellStyle name="40% - Accent5 7 3 4" xfId="14267" xr:uid="{C5850D26-EF27-400D-A574-F1387808062A}"/>
    <cellStyle name="40% - Accent5 7 4" xfId="18490" xr:uid="{3D5D69E1-E724-4CF7-B8BA-42310CAA8DDA}"/>
    <cellStyle name="40% - Accent5 7 5" xfId="26935" xr:uid="{1CEFB68E-7534-4FE1-89D9-B7745DDA376C}"/>
    <cellStyle name="40% - Accent5 7 6" xfId="10049" xr:uid="{0C8DD188-B276-4722-B515-5C8BAEA1B808}"/>
    <cellStyle name="40% - Accent5 8" xfId="1931" xr:uid="{00000000-0005-0000-0000-0000DA060000}"/>
    <cellStyle name="40% - Accent5 8 2" xfId="4160" xr:uid="{00000000-0005-0000-0000-0000DB060000}"/>
    <cellStyle name="40% - Accent5 8 2 2" xfId="8383" xr:uid="{00000000-0005-0000-0000-0000DC060000}"/>
    <cellStyle name="40% - Accent5 8 2 2 2" xfId="25266" xr:uid="{0C11BAA5-A08C-4F62-949E-1C2B7B66A421}"/>
    <cellStyle name="40% - Accent5 8 2 2 3" xfId="33712" xr:uid="{2B9D0035-7257-47D1-9B71-FF4C850F81AD}"/>
    <cellStyle name="40% - Accent5 8 2 2 4" xfId="16825" xr:uid="{6322AC3A-D133-4A5D-9103-0182C535ABE4}"/>
    <cellStyle name="40% - Accent5 8 2 3" xfId="21048" xr:uid="{797DC6F5-4DC9-4904-A745-D8B8AB025696}"/>
    <cellStyle name="40% - Accent5 8 2 4" xfId="29495" xr:uid="{63E3CC5D-87A4-4364-B765-3F4698B1D4CA}"/>
    <cellStyle name="40% - Accent5 8 2 5" xfId="12607" xr:uid="{D83A0EA2-BCF6-4048-91ED-AF38D16CE09C}"/>
    <cellStyle name="40% - Accent5 8 3" xfId="6238" xr:uid="{00000000-0005-0000-0000-0000DD060000}"/>
    <cellStyle name="40% - Accent5 8 3 2" xfId="23121" xr:uid="{AC1A1D09-FE82-4325-A4DF-C847C123D296}"/>
    <cellStyle name="40% - Accent5 8 3 3" xfId="31567" xr:uid="{6AB6357A-0B46-4BA3-995A-9DBAE8E2B35B}"/>
    <cellStyle name="40% - Accent5 8 3 4" xfId="14680" xr:uid="{63DE0E04-EB06-49D2-9B90-5E0AF726CA9A}"/>
    <cellStyle name="40% - Accent5 8 4" xfId="18903" xr:uid="{A57958C3-5C4E-4C6F-A37C-C0147BC16EB5}"/>
    <cellStyle name="40% - Accent5 8 5" xfId="27348" xr:uid="{C64FD49C-BD0F-4126-A722-5C65CAD3C5A0}"/>
    <cellStyle name="40% - Accent5 8 6" xfId="10462" xr:uid="{80A096B7-9D01-4085-8BBD-84A9569D9074}"/>
    <cellStyle name="40% - Accent5 9" xfId="2344" xr:uid="{00000000-0005-0000-0000-0000DE060000}"/>
    <cellStyle name="40% - Accent5 9 2" xfId="6651" xr:uid="{00000000-0005-0000-0000-0000DF060000}"/>
    <cellStyle name="40% - Accent5 9 2 2" xfId="23534" xr:uid="{1AF74A3C-D87F-476C-995A-1A953056CC99}"/>
    <cellStyle name="40% - Accent5 9 2 3" xfId="31980" xr:uid="{DC5DB890-6F44-49C3-AE64-967D9D1EA362}"/>
    <cellStyle name="40% - Accent5 9 2 4" xfId="15093" xr:uid="{9DABAE27-04EC-4BDF-8DAA-F9B0ECFF1B6B}"/>
    <cellStyle name="40% - Accent5 9 3" xfId="19316" xr:uid="{9CC3A0B9-0CDD-4D38-9D58-E807845DD878}"/>
    <cellStyle name="40% - Accent5 9 4" xfId="27761" xr:uid="{031D3D4D-C230-4DDE-AB03-57E136A0840D}"/>
    <cellStyle name="40% - Accent5 9 5" xfId="10875" xr:uid="{F0604760-105A-415D-AA0F-9513E7C4B043}"/>
    <cellStyle name="40% - Accent6" xfId="89" builtinId="51" customBuiltin="1"/>
    <cellStyle name="40% - Accent6 10" xfId="4593" xr:uid="{00000000-0005-0000-0000-0000E1060000}"/>
    <cellStyle name="40% - Accent6 10 2" xfId="21476" xr:uid="{0F11DA34-1CCC-4EB6-8AB3-B1DC64769D09}"/>
    <cellStyle name="40% - Accent6 10 3" xfId="29922" xr:uid="{2EEFB384-2A9E-4C36-B502-B6EE751883A2}"/>
    <cellStyle name="40% - Accent6 10 4" xfId="13035" xr:uid="{614DEADC-77D6-4135-8C27-D564FA35BD32}"/>
    <cellStyle name="40% - Accent6 11" xfId="17258" xr:uid="{EA26F44B-1D01-4370-8C76-9689DD6C8B7F}"/>
    <cellStyle name="40% - Accent6 12" xfId="25700" xr:uid="{8791D122-0C6E-47A0-8A0E-DE7351787FF6}"/>
    <cellStyle name="40% - Accent6 13" xfId="8817" xr:uid="{B50CA500-CCF2-405F-A641-827E3CBA1466}"/>
    <cellStyle name="40% - Accent6 2" xfId="90" xr:uid="{00000000-0005-0000-0000-0000E2060000}"/>
    <cellStyle name="40% - Accent6 2 10" xfId="17259" xr:uid="{F61A0ACD-FCC2-4DCA-B39C-F98C7E8A40F6}"/>
    <cellStyle name="40% - Accent6 2 11" xfId="25701" xr:uid="{DAE0A451-D23E-4842-A395-066D9B10C035}"/>
    <cellStyle name="40% - Accent6 2 12" xfId="8818" xr:uid="{D0144596-1D5D-4CF4-B868-8588619E9CCF}"/>
    <cellStyle name="40% - Accent6 2 2" xfId="91" xr:uid="{00000000-0005-0000-0000-0000E3060000}"/>
    <cellStyle name="40% - Accent6 2 2 10" xfId="25702" xr:uid="{A5E08C0A-FD16-483E-A8D1-81BC4C98B95F}"/>
    <cellStyle name="40% - Accent6 2 2 11" xfId="8819" xr:uid="{E8C79403-CFDC-4BD2-9DF6-A9C28F928C1B}"/>
    <cellStyle name="40% - Accent6 2 2 2" xfId="92" xr:uid="{00000000-0005-0000-0000-0000E4060000}"/>
    <cellStyle name="40% - Accent6 2 2 2 10" xfId="8820" xr:uid="{52B95553-4CBD-4A54-9A03-8BCF0157634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24038" xr:uid="{F2E439E3-603D-4E45-8660-48066DA89618}"/>
    <cellStyle name="40% - Accent6 2 2 2 2 2 2 3" xfId="32484" xr:uid="{316398E3-A927-49D8-8F50-A8E452F2534D}"/>
    <cellStyle name="40% - Accent6 2 2 2 2 2 2 4" xfId="15597" xr:uid="{4F7D94A9-CBE3-4B53-A541-77BE51647A68}"/>
    <cellStyle name="40% - Accent6 2 2 2 2 2 3" xfId="19820" xr:uid="{6E8781F4-4973-4E17-BB55-0E2CA58F899A}"/>
    <cellStyle name="40% - Accent6 2 2 2 2 2 4" xfId="28267" xr:uid="{9DFE2BD8-BF93-4A4C-B58F-967D67AFE0C6}"/>
    <cellStyle name="40% - Accent6 2 2 2 2 2 5" xfId="11379" xr:uid="{BBDA45EC-E226-41E6-8734-7170582540D2}"/>
    <cellStyle name="40% - Accent6 2 2 2 2 3" xfId="5010" xr:uid="{00000000-0005-0000-0000-0000E8060000}"/>
    <cellStyle name="40% - Accent6 2 2 2 2 3 2" xfId="21893" xr:uid="{627102C4-7D51-45F9-8ED1-78640AE19144}"/>
    <cellStyle name="40% - Accent6 2 2 2 2 3 3" xfId="30339" xr:uid="{7BC2F168-8458-4DED-92D4-E588D4DA2F6B}"/>
    <cellStyle name="40% - Accent6 2 2 2 2 3 4" xfId="13452" xr:uid="{638EC78D-D6B5-4200-82F4-2F6CC96948F3}"/>
    <cellStyle name="40% - Accent6 2 2 2 2 4" xfId="17675" xr:uid="{6A03EC9E-9C73-4C0A-8633-F4CCADF6EAAD}"/>
    <cellStyle name="40% - Accent6 2 2 2 2 5" xfId="26120" xr:uid="{6FA44E2B-9805-4FA0-A52E-BCCDA8974647}"/>
    <cellStyle name="40% - Accent6 2 2 2 2 6" xfId="9234" xr:uid="{429FA017-F792-45F8-AB03-0152C70B8F9D}"/>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24451" xr:uid="{2C3D2D07-0593-4872-924B-01D1F2F8A4CD}"/>
    <cellStyle name="40% - Accent6 2 2 2 3 2 2 3" xfId="32897" xr:uid="{764D884E-23C9-4367-9A1E-29C91120A655}"/>
    <cellStyle name="40% - Accent6 2 2 2 3 2 2 4" xfId="16010" xr:uid="{CFDC698F-967F-4DFD-989F-8A02143F7D17}"/>
    <cellStyle name="40% - Accent6 2 2 2 3 2 3" xfId="20233" xr:uid="{886C7BDD-B760-4A2C-88C7-3CCEA5281CC2}"/>
    <cellStyle name="40% - Accent6 2 2 2 3 2 4" xfId="28680" xr:uid="{859671AF-13CD-43A5-9D06-A4690DAE81D8}"/>
    <cellStyle name="40% - Accent6 2 2 2 3 2 5" xfId="11792" xr:uid="{0C68F5FA-C6FB-4A62-9076-02AAF403B54B}"/>
    <cellStyle name="40% - Accent6 2 2 2 3 3" xfId="5423" xr:uid="{00000000-0005-0000-0000-0000EC060000}"/>
    <cellStyle name="40% - Accent6 2 2 2 3 3 2" xfId="22306" xr:uid="{05EAFEBF-DAC8-43EB-B28F-05B535EAEE5D}"/>
    <cellStyle name="40% - Accent6 2 2 2 3 3 3" xfId="30752" xr:uid="{4A1F3D0C-288E-49CA-A8D2-F842F9B1CB6D}"/>
    <cellStyle name="40% - Accent6 2 2 2 3 3 4" xfId="13865" xr:uid="{FCE2067C-CE57-4710-B143-D4DF475B24B5}"/>
    <cellStyle name="40% - Accent6 2 2 2 3 4" xfId="18088" xr:uid="{C4A1EAA1-D150-447A-96A7-07F6028042AA}"/>
    <cellStyle name="40% - Accent6 2 2 2 3 5" xfId="26533" xr:uid="{C93F90AC-6E3D-43DB-9F01-95C77765F494}"/>
    <cellStyle name="40% - Accent6 2 2 2 3 6" xfId="9647" xr:uid="{D800D5D5-C8B7-43D0-A316-3417831E9231}"/>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24864" xr:uid="{12E3FBDB-0B92-4C9C-AE2C-F67DDB7662FC}"/>
    <cellStyle name="40% - Accent6 2 2 2 4 2 2 3" xfId="33310" xr:uid="{DD493A22-2C30-4C33-BF36-B2C38E3080B5}"/>
    <cellStyle name="40% - Accent6 2 2 2 4 2 2 4" xfId="16423" xr:uid="{88537420-780D-4561-8126-98C432F3C903}"/>
    <cellStyle name="40% - Accent6 2 2 2 4 2 3" xfId="20646" xr:uid="{7B398DE1-EDA9-4A00-AEBF-AB808B58F797}"/>
    <cellStyle name="40% - Accent6 2 2 2 4 2 4" xfId="29093" xr:uid="{DA24F31B-37E5-4C06-8EE6-5BDF18D0337A}"/>
    <cellStyle name="40% - Accent6 2 2 2 4 2 5" xfId="12205" xr:uid="{5EB18B85-76AF-41EA-919F-F1C06BCCCEFC}"/>
    <cellStyle name="40% - Accent6 2 2 2 4 3" xfId="5836" xr:uid="{00000000-0005-0000-0000-0000F0060000}"/>
    <cellStyle name="40% - Accent6 2 2 2 4 3 2" xfId="22719" xr:uid="{69539DEE-3C50-4E14-875F-B706CD1051A3}"/>
    <cellStyle name="40% - Accent6 2 2 2 4 3 3" xfId="31165" xr:uid="{70345A64-2F80-479F-9D29-E81D76002279}"/>
    <cellStyle name="40% - Accent6 2 2 2 4 3 4" xfId="14278" xr:uid="{2DD187BE-AEEB-4BD2-BC73-0BBC7B0A8130}"/>
    <cellStyle name="40% - Accent6 2 2 2 4 4" xfId="18501" xr:uid="{522B33B8-8B65-4E76-BC87-0C84F6745D4B}"/>
    <cellStyle name="40% - Accent6 2 2 2 4 5" xfId="26946" xr:uid="{A3C29CD5-BFF3-435C-91B3-F6E45DE6A87F}"/>
    <cellStyle name="40% - Accent6 2 2 2 4 6" xfId="10060" xr:uid="{FC38DCC6-78E6-4258-AF3D-45F5E1DEADFC}"/>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25277" xr:uid="{9F17A8D1-B9DC-4B3F-9082-442DDF2414AB}"/>
    <cellStyle name="40% - Accent6 2 2 2 5 2 2 3" xfId="33723" xr:uid="{04BB9F3D-178B-42ED-BA7F-898D763BF73F}"/>
    <cellStyle name="40% - Accent6 2 2 2 5 2 2 4" xfId="16836" xr:uid="{71DF224D-D79E-4B87-94C4-013BBA590E24}"/>
    <cellStyle name="40% - Accent6 2 2 2 5 2 3" xfId="21059" xr:uid="{6E8766C7-27F8-4428-BF72-B8F463759E7A}"/>
    <cellStyle name="40% - Accent6 2 2 2 5 2 4" xfId="29506" xr:uid="{1DFDB0E0-4A19-4EF9-BA0E-344639A3B1F5}"/>
    <cellStyle name="40% - Accent6 2 2 2 5 2 5" xfId="12618" xr:uid="{A0689858-E34E-4109-9299-68F14DAA43DC}"/>
    <cellStyle name="40% - Accent6 2 2 2 5 3" xfId="6249" xr:uid="{00000000-0005-0000-0000-0000F4060000}"/>
    <cellStyle name="40% - Accent6 2 2 2 5 3 2" xfId="23132" xr:uid="{F465896A-3700-4BBE-A65B-11CBD9EB3BB6}"/>
    <cellStyle name="40% - Accent6 2 2 2 5 3 3" xfId="31578" xr:uid="{18325946-AE81-4539-B6B9-C29B4F22452D}"/>
    <cellStyle name="40% - Accent6 2 2 2 5 3 4" xfId="14691" xr:uid="{EF680FAE-0A29-41D5-801F-98D99C44CE0C}"/>
    <cellStyle name="40% - Accent6 2 2 2 5 4" xfId="18914" xr:uid="{8BEAD2F6-57B9-4EA6-927B-D0CB51B6ED36}"/>
    <cellStyle name="40% - Accent6 2 2 2 5 5" xfId="27359" xr:uid="{0FBA5BE0-2549-4FE2-814C-D1845103500B}"/>
    <cellStyle name="40% - Accent6 2 2 2 5 6" xfId="10473" xr:uid="{17B54416-EBC0-40A6-B089-F5A69C05B4C5}"/>
    <cellStyle name="40% - Accent6 2 2 2 6" xfId="2355" xr:uid="{00000000-0005-0000-0000-0000F5060000}"/>
    <cellStyle name="40% - Accent6 2 2 2 6 2" xfId="6662" xr:uid="{00000000-0005-0000-0000-0000F6060000}"/>
    <cellStyle name="40% - Accent6 2 2 2 6 2 2" xfId="23545" xr:uid="{9108E527-D1CA-487C-AC8E-EC43115120AC}"/>
    <cellStyle name="40% - Accent6 2 2 2 6 2 3" xfId="31991" xr:uid="{67B2AA58-A2A1-4073-85E4-6FFEF0FAB1C6}"/>
    <cellStyle name="40% - Accent6 2 2 2 6 2 4" xfId="15104" xr:uid="{4B57C8D8-714C-4955-A5B3-4AB9C78FA19B}"/>
    <cellStyle name="40% - Accent6 2 2 2 6 3" xfId="19327" xr:uid="{F105EC23-F6D2-4806-82A0-68805994169B}"/>
    <cellStyle name="40% - Accent6 2 2 2 6 4" xfId="27772" xr:uid="{D15400FC-978C-4798-A294-BDE7D953BF66}"/>
    <cellStyle name="40% - Accent6 2 2 2 6 5" xfId="10886" xr:uid="{E6267DAE-4976-481D-BDF5-64C210C230CA}"/>
    <cellStyle name="40% - Accent6 2 2 2 7" xfId="4596" xr:uid="{00000000-0005-0000-0000-0000F7060000}"/>
    <cellStyle name="40% - Accent6 2 2 2 7 2" xfId="21479" xr:uid="{4F4FFB25-9ECA-43C8-9E40-7860E353E15A}"/>
    <cellStyle name="40% - Accent6 2 2 2 7 3" xfId="29925" xr:uid="{0815EA3C-1057-433A-B030-6E9D2B6B43A0}"/>
    <cellStyle name="40% - Accent6 2 2 2 7 4" xfId="13038" xr:uid="{91CC430A-E1A1-4402-AF94-028B064A3004}"/>
    <cellStyle name="40% - Accent6 2 2 2 8" xfId="17261" xr:uid="{5F5E8722-6684-4224-96B0-1643822C9100}"/>
    <cellStyle name="40% - Accent6 2 2 2 9" xfId="25703" xr:uid="{D65AD457-0814-456E-8D02-2A1CF7C8FB25}"/>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24037" xr:uid="{363999FD-D8A4-4E0B-A784-995F8B34A66A}"/>
    <cellStyle name="40% - Accent6 2 2 3 2 2 3" xfId="32483" xr:uid="{5C35EB6D-F748-4352-934D-918CCF425C88}"/>
    <cellStyle name="40% - Accent6 2 2 3 2 2 4" xfId="15596" xr:uid="{FFB1E072-57CA-49A8-9B23-025B13C8F2FF}"/>
    <cellStyle name="40% - Accent6 2 2 3 2 3" xfId="19819" xr:uid="{5D729ED9-A5EC-494A-A8A4-D1C6D7F52392}"/>
    <cellStyle name="40% - Accent6 2 2 3 2 4" xfId="28266" xr:uid="{F0FEFDB7-7E18-4711-AFA4-1E0CD011CE95}"/>
    <cellStyle name="40% - Accent6 2 2 3 2 5" xfId="11378" xr:uid="{F3C28E1A-8746-4593-BF55-1E36C06400AC}"/>
    <cellStyle name="40% - Accent6 2 2 3 3" xfId="5009" xr:uid="{00000000-0005-0000-0000-0000FB060000}"/>
    <cellStyle name="40% - Accent6 2 2 3 3 2" xfId="21892" xr:uid="{EA7E8A9C-41F6-4C6C-A561-8F35896472B8}"/>
    <cellStyle name="40% - Accent6 2 2 3 3 3" xfId="30338" xr:uid="{36FDEC7B-DF69-40EB-AE34-36B7B3E63961}"/>
    <cellStyle name="40% - Accent6 2 2 3 3 4" xfId="13451" xr:uid="{86DA084E-5E89-44D8-9F22-0ACD4B341FB6}"/>
    <cellStyle name="40% - Accent6 2 2 3 4" xfId="17674" xr:uid="{3B73870C-EB1E-40A1-8DB3-7EB20E18E98B}"/>
    <cellStyle name="40% - Accent6 2 2 3 5" xfId="26119" xr:uid="{86184FE8-0EF4-4297-9202-BE5F0687AA78}"/>
    <cellStyle name="40% - Accent6 2 2 3 6" xfId="9233" xr:uid="{9F39B9B4-3365-40A9-9C15-BE0078035E9C}"/>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24450" xr:uid="{F96648E0-394D-4FFA-B6A8-3A44C9DD9E10}"/>
    <cellStyle name="40% - Accent6 2 2 4 2 2 3" xfId="32896" xr:uid="{7809952E-8445-45FD-86E3-7E0E795A8E03}"/>
    <cellStyle name="40% - Accent6 2 2 4 2 2 4" xfId="16009" xr:uid="{6448BE3B-A9BF-4D63-982A-4712B2689535}"/>
    <cellStyle name="40% - Accent6 2 2 4 2 3" xfId="20232" xr:uid="{D18A95AF-D123-4F11-8B05-C97EB8F23CF2}"/>
    <cellStyle name="40% - Accent6 2 2 4 2 4" xfId="28679" xr:uid="{4C2030E9-EE81-44EA-BA58-914D6B792EBB}"/>
    <cellStyle name="40% - Accent6 2 2 4 2 5" xfId="11791" xr:uid="{9FD88CDF-0C66-4ACA-98EF-44F2BA1F9CD0}"/>
    <cellStyle name="40% - Accent6 2 2 4 3" xfId="5422" xr:uid="{00000000-0005-0000-0000-0000FF060000}"/>
    <cellStyle name="40% - Accent6 2 2 4 3 2" xfId="22305" xr:uid="{C8C9BAC4-4A3E-41F2-AA42-6655EFF1B1B5}"/>
    <cellStyle name="40% - Accent6 2 2 4 3 3" xfId="30751" xr:uid="{E28F6A29-2609-41CB-94ED-F8F3C1E7246A}"/>
    <cellStyle name="40% - Accent6 2 2 4 3 4" xfId="13864" xr:uid="{DA111C73-C6CD-4873-A2A5-BBC7C1B1E672}"/>
    <cellStyle name="40% - Accent6 2 2 4 4" xfId="18087" xr:uid="{DA9AAE17-5312-4330-8248-7B3C6A84D3F3}"/>
    <cellStyle name="40% - Accent6 2 2 4 5" xfId="26532" xr:uid="{95658C00-4026-47B9-B214-F044EC871EC4}"/>
    <cellStyle name="40% - Accent6 2 2 4 6" xfId="9646" xr:uid="{F75F69F9-A156-44D4-BA93-6CF379C56A38}"/>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24863" xr:uid="{76E67AAD-A104-442B-AFEA-31CEBC3114D2}"/>
    <cellStyle name="40% - Accent6 2 2 5 2 2 3" xfId="33309" xr:uid="{F16FAD12-0601-4732-B43C-EEE2E83FBACA}"/>
    <cellStyle name="40% - Accent6 2 2 5 2 2 4" xfId="16422" xr:uid="{F81497DF-6344-4BF1-9936-732B16611B54}"/>
    <cellStyle name="40% - Accent6 2 2 5 2 3" xfId="20645" xr:uid="{BEFE9C7C-9D76-4430-ACC1-FEFABF6EABA0}"/>
    <cellStyle name="40% - Accent6 2 2 5 2 4" xfId="29092" xr:uid="{626BEDE3-28B8-49D1-AD28-879F8314108E}"/>
    <cellStyle name="40% - Accent6 2 2 5 2 5" xfId="12204" xr:uid="{ACC7641F-C521-49CE-AA32-7560507CBF3B}"/>
    <cellStyle name="40% - Accent6 2 2 5 3" xfId="5835" xr:uid="{00000000-0005-0000-0000-000003070000}"/>
    <cellStyle name="40% - Accent6 2 2 5 3 2" xfId="22718" xr:uid="{C9D4088D-5D7D-4636-AFFC-1A6323DEA9C4}"/>
    <cellStyle name="40% - Accent6 2 2 5 3 3" xfId="31164" xr:uid="{D4087719-12D4-4BBB-BED3-7B740B085BC2}"/>
    <cellStyle name="40% - Accent6 2 2 5 3 4" xfId="14277" xr:uid="{02184360-2EBC-47C9-AFAE-BB34568FD2D4}"/>
    <cellStyle name="40% - Accent6 2 2 5 4" xfId="18500" xr:uid="{AA0D24AF-B96D-4CB0-94B5-7E7E725A3F20}"/>
    <cellStyle name="40% - Accent6 2 2 5 5" xfId="26945" xr:uid="{5693ED7B-D3A1-4431-AA30-FA7B4A18C4AB}"/>
    <cellStyle name="40% - Accent6 2 2 5 6" xfId="10059" xr:uid="{13EC3104-8B7E-4C7C-9705-E9BC8F2ECEC3}"/>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25276" xr:uid="{1D2D6860-F7FE-49C4-BC1E-10EFDB1B642E}"/>
    <cellStyle name="40% - Accent6 2 2 6 2 2 3" xfId="33722" xr:uid="{5FB461F9-489A-4F6C-BC74-99AE802ADE8B}"/>
    <cellStyle name="40% - Accent6 2 2 6 2 2 4" xfId="16835" xr:uid="{37319087-61E2-4F11-BC37-D8B10A12789C}"/>
    <cellStyle name="40% - Accent6 2 2 6 2 3" xfId="21058" xr:uid="{534A3119-2993-4107-8C21-A519B78B2B65}"/>
    <cellStyle name="40% - Accent6 2 2 6 2 4" xfId="29505" xr:uid="{E7CCB91B-374A-43A9-A5E8-8C968DDBA651}"/>
    <cellStyle name="40% - Accent6 2 2 6 2 5" xfId="12617" xr:uid="{12EB8BF2-D157-491D-A80A-6FA1F06D028F}"/>
    <cellStyle name="40% - Accent6 2 2 6 3" xfId="6248" xr:uid="{00000000-0005-0000-0000-000007070000}"/>
    <cellStyle name="40% - Accent6 2 2 6 3 2" xfId="23131" xr:uid="{95668230-58C5-40F2-85E8-83175E6AADF4}"/>
    <cellStyle name="40% - Accent6 2 2 6 3 3" xfId="31577" xr:uid="{7072DD97-8BA8-4208-8D8B-75F42F5DCA56}"/>
    <cellStyle name="40% - Accent6 2 2 6 3 4" xfId="14690" xr:uid="{BC9DA74F-99B9-4F7C-894D-EB66D9A9F957}"/>
    <cellStyle name="40% - Accent6 2 2 6 4" xfId="18913" xr:uid="{9B147CE2-40D6-40CE-AA32-CC8F98A7E769}"/>
    <cellStyle name="40% - Accent6 2 2 6 5" xfId="27358" xr:uid="{72519D56-5327-42D6-B550-F3B4EB51FD3F}"/>
    <cellStyle name="40% - Accent6 2 2 6 6" xfId="10472" xr:uid="{588CE157-1B2B-4620-BF3E-3F2E00F3CD50}"/>
    <cellStyle name="40% - Accent6 2 2 7" xfId="2354" xr:uid="{00000000-0005-0000-0000-000008070000}"/>
    <cellStyle name="40% - Accent6 2 2 7 2" xfId="6661" xr:uid="{00000000-0005-0000-0000-000009070000}"/>
    <cellStyle name="40% - Accent6 2 2 7 2 2" xfId="23544" xr:uid="{7367518D-4E90-4E22-A8C8-DBDDF2BB1551}"/>
    <cellStyle name="40% - Accent6 2 2 7 2 3" xfId="31990" xr:uid="{3089D3CA-D892-4A7E-90E0-1D6F2EF64E57}"/>
    <cellStyle name="40% - Accent6 2 2 7 2 4" xfId="15103" xr:uid="{08BE4F1D-BF53-4B97-A151-E70C81315AA1}"/>
    <cellStyle name="40% - Accent6 2 2 7 3" xfId="19326" xr:uid="{3BB4B7CB-70D9-4919-A8A6-1E8CDD628E8C}"/>
    <cellStyle name="40% - Accent6 2 2 7 4" xfId="27771" xr:uid="{0D48F018-9497-43E7-B713-455D0A9817E0}"/>
    <cellStyle name="40% - Accent6 2 2 7 5" xfId="10885" xr:uid="{94410E52-7B9B-46BD-8178-BF7032DB4FFA}"/>
    <cellStyle name="40% - Accent6 2 2 8" xfId="4595" xr:uid="{00000000-0005-0000-0000-00000A070000}"/>
    <cellStyle name="40% - Accent6 2 2 8 2" xfId="21478" xr:uid="{CF262CEB-BDC6-44AE-87B5-5AC529CEA37C}"/>
    <cellStyle name="40% - Accent6 2 2 8 3" xfId="29924" xr:uid="{6BDE9D81-90F7-4CD5-AE6E-C824676C5D51}"/>
    <cellStyle name="40% - Accent6 2 2 8 4" xfId="13037" xr:uid="{7643617A-9269-472C-BB9D-0CD49FFA53D2}"/>
    <cellStyle name="40% - Accent6 2 2 9" xfId="17260" xr:uid="{CFD00FAB-83C8-40FE-8168-A8E0F2527492}"/>
    <cellStyle name="40% - Accent6 2 3" xfId="93" xr:uid="{00000000-0005-0000-0000-00000B070000}"/>
    <cellStyle name="40% - Accent6 2 3 10" xfId="8821" xr:uid="{A769FA26-6341-4982-BDA4-234733CE112E}"/>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24039" xr:uid="{0425DCCE-5589-45BE-BFBC-83865B577643}"/>
    <cellStyle name="40% - Accent6 2 3 2 2 2 3" xfId="32485" xr:uid="{F23F9465-23D0-4DD2-B96B-081FE0BCBF12}"/>
    <cellStyle name="40% - Accent6 2 3 2 2 2 4" xfId="15598" xr:uid="{8D4F02A0-3E2F-4521-953D-36ADA6A2F853}"/>
    <cellStyle name="40% - Accent6 2 3 2 2 3" xfId="19821" xr:uid="{BE6C6CCC-7994-4A78-8528-277C075D602F}"/>
    <cellStyle name="40% - Accent6 2 3 2 2 4" xfId="28268" xr:uid="{3D95D24E-F6A3-45C1-B89E-BDE9ACDEDA52}"/>
    <cellStyle name="40% - Accent6 2 3 2 2 5" xfId="11380" xr:uid="{1D2FF4A2-C8BF-4E4A-A899-FF70B774947E}"/>
    <cellStyle name="40% - Accent6 2 3 2 3" xfId="5011" xr:uid="{00000000-0005-0000-0000-00000F070000}"/>
    <cellStyle name="40% - Accent6 2 3 2 3 2" xfId="21894" xr:uid="{A19E31AF-697F-42C0-8C32-E354586F79EC}"/>
    <cellStyle name="40% - Accent6 2 3 2 3 3" xfId="30340" xr:uid="{2D2312B8-A662-4991-A18E-FF1FCCACC68F}"/>
    <cellStyle name="40% - Accent6 2 3 2 3 4" xfId="13453" xr:uid="{6C61796A-AA9E-4A89-BB21-77D89709F270}"/>
    <cellStyle name="40% - Accent6 2 3 2 4" xfId="17676" xr:uid="{6FEC2BAD-D3CE-4485-B0F8-336DCEC0BAB0}"/>
    <cellStyle name="40% - Accent6 2 3 2 5" xfId="26121" xr:uid="{8DA07881-6793-4B33-8672-16448BB141ED}"/>
    <cellStyle name="40% - Accent6 2 3 2 6" xfId="9235" xr:uid="{88F37E97-EE99-4E90-BBCC-3544A38BAF8E}"/>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24452" xr:uid="{9B97F8CE-2936-4BC5-B57C-570241F236E8}"/>
    <cellStyle name="40% - Accent6 2 3 3 2 2 3" xfId="32898" xr:uid="{C81A25D7-2918-45EA-A1ED-5D4D9EE8DDFA}"/>
    <cellStyle name="40% - Accent6 2 3 3 2 2 4" xfId="16011" xr:uid="{05A1EE09-9B82-4C41-8E1D-691677E1D1EB}"/>
    <cellStyle name="40% - Accent6 2 3 3 2 3" xfId="20234" xr:uid="{F48C4290-51C8-4D2F-8B2A-B63B6E5CB9FE}"/>
    <cellStyle name="40% - Accent6 2 3 3 2 4" xfId="28681" xr:uid="{3392F452-9385-4549-B377-59796F3353C2}"/>
    <cellStyle name="40% - Accent6 2 3 3 2 5" xfId="11793" xr:uid="{AF9BC661-BC89-4DCB-84B9-19D1C9A45E59}"/>
    <cellStyle name="40% - Accent6 2 3 3 3" xfId="5424" xr:uid="{00000000-0005-0000-0000-000013070000}"/>
    <cellStyle name="40% - Accent6 2 3 3 3 2" xfId="22307" xr:uid="{B7D3F75D-D0E3-4DD6-AC28-2F975677AE5A}"/>
    <cellStyle name="40% - Accent6 2 3 3 3 3" xfId="30753" xr:uid="{4171F3D6-0DBA-4DB6-A97C-D9BF43DF6BD3}"/>
    <cellStyle name="40% - Accent6 2 3 3 3 4" xfId="13866" xr:uid="{B06BD005-893E-43A7-A5A8-628778E0D843}"/>
    <cellStyle name="40% - Accent6 2 3 3 4" xfId="18089" xr:uid="{D675FC9C-EB8E-4440-96AA-06F1B8FC16B2}"/>
    <cellStyle name="40% - Accent6 2 3 3 5" xfId="26534" xr:uid="{DF88C5AC-233F-4F7D-BE1C-ABB04006ABE5}"/>
    <cellStyle name="40% - Accent6 2 3 3 6" xfId="9648" xr:uid="{5FCBA361-9635-401B-804E-1AADF2289AF9}"/>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24865" xr:uid="{7FCCBD05-55A1-417E-9370-151C816CC29F}"/>
    <cellStyle name="40% - Accent6 2 3 4 2 2 3" xfId="33311" xr:uid="{93BFEA7F-F003-40C5-B305-07870B161805}"/>
    <cellStyle name="40% - Accent6 2 3 4 2 2 4" xfId="16424" xr:uid="{2A6A71CE-EB95-4A77-BB78-21A8AB13B97F}"/>
    <cellStyle name="40% - Accent6 2 3 4 2 3" xfId="20647" xr:uid="{9B6D164D-D7FE-4F75-BB9B-A3794C2A528A}"/>
    <cellStyle name="40% - Accent6 2 3 4 2 4" xfId="29094" xr:uid="{A0AD693C-0FFE-4ABD-96F7-9010E2193F7A}"/>
    <cellStyle name="40% - Accent6 2 3 4 2 5" xfId="12206" xr:uid="{39A101D3-737D-4719-88BC-CE00EC403A5F}"/>
    <cellStyle name="40% - Accent6 2 3 4 3" xfId="5837" xr:uid="{00000000-0005-0000-0000-000017070000}"/>
    <cellStyle name="40% - Accent6 2 3 4 3 2" xfId="22720" xr:uid="{BBBB7C8A-206F-48AF-B6A3-D556A88A2D75}"/>
    <cellStyle name="40% - Accent6 2 3 4 3 3" xfId="31166" xr:uid="{5199C11C-BEAA-4233-8108-A2770098AE55}"/>
    <cellStyle name="40% - Accent6 2 3 4 3 4" xfId="14279" xr:uid="{89463F71-7D98-4F7F-ADB7-EBBDB52E7E4E}"/>
    <cellStyle name="40% - Accent6 2 3 4 4" xfId="18502" xr:uid="{04AA9B1B-AC7C-413B-A871-9A5CB3EDA415}"/>
    <cellStyle name="40% - Accent6 2 3 4 5" xfId="26947" xr:uid="{F7F840E7-80A9-42BC-9734-7B6625CE83C5}"/>
    <cellStyle name="40% - Accent6 2 3 4 6" xfId="10061" xr:uid="{C95A53C0-04F8-4789-8908-1B590C6E0838}"/>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25278" xr:uid="{AA798D94-DAE0-4447-BC8A-216445FE337C}"/>
    <cellStyle name="40% - Accent6 2 3 5 2 2 3" xfId="33724" xr:uid="{077B2D33-CF2C-491F-A631-1140F7136598}"/>
    <cellStyle name="40% - Accent6 2 3 5 2 2 4" xfId="16837" xr:uid="{6E16D1B8-B956-4980-8296-B67735884ADF}"/>
    <cellStyle name="40% - Accent6 2 3 5 2 3" xfId="21060" xr:uid="{595A38B4-ACA9-4199-9FB0-6B337F3A4F7F}"/>
    <cellStyle name="40% - Accent6 2 3 5 2 4" xfId="29507" xr:uid="{99EC43C0-B1EE-4D43-8D32-4D7722F09520}"/>
    <cellStyle name="40% - Accent6 2 3 5 2 5" xfId="12619" xr:uid="{6830C3C9-6920-42FC-AC25-856528159301}"/>
    <cellStyle name="40% - Accent6 2 3 5 3" xfId="6250" xr:uid="{00000000-0005-0000-0000-00001B070000}"/>
    <cellStyle name="40% - Accent6 2 3 5 3 2" xfId="23133" xr:uid="{69E1C940-88FC-4A7D-B653-1767091C792D}"/>
    <cellStyle name="40% - Accent6 2 3 5 3 3" xfId="31579" xr:uid="{BD3E376B-E8B9-4AA9-BEA8-323DD570990F}"/>
    <cellStyle name="40% - Accent6 2 3 5 3 4" xfId="14692" xr:uid="{1CD1652D-A084-4D2B-BEE9-DD2D2EEBFC75}"/>
    <cellStyle name="40% - Accent6 2 3 5 4" xfId="18915" xr:uid="{02B4028F-C4F5-4089-A94F-70D6FC8AC606}"/>
    <cellStyle name="40% - Accent6 2 3 5 5" xfId="27360" xr:uid="{94413400-0DF9-4DAD-93D5-219DD29B2767}"/>
    <cellStyle name="40% - Accent6 2 3 5 6" xfId="10474" xr:uid="{8C4B2285-4925-4D50-A633-900EFB34F83B}"/>
    <cellStyle name="40% - Accent6 2 3 6" xfId="2356" xr:uid="{00000000-0005-0000-0000-00001C070000}"/>
    <cellStyle name="40% - Accent6 2 3 6 2" xfId="6663" xr:uid="{00000000-0005-0000-0000-00001D070000}"/>
    <cellStyle name="40% - Accent6 2 3 6 2 2" xfId="23546" xr:uid="{D61B0CCD-A3F8-45D3-A807-DDE6EC482E9E}"/>
    <cellStyle name="40% - Accent6 2 3 6 2 3" xfId="31992" xr:uid="{79921152-4311-4C0A-A1CF-412E5B5A317F}"/>
    <cellStyle name="40% - Accent6 2 3 6 2 4" xfId="15105" xr:uid="{BDB701BC-1E00-47B5-BE9B-1CBF3A229A30}"/>
    <cellStyle name="40% - Accent6 2 3 6 3" xfId="19328" xr:uid="{F4876DFF-A224-46F0-A580-BCB1AB426271}"/>
    <cellStyle name="40% - Accent6 2 3 6 4" xfId="27773" xr:uid="{84B44D75-926D-4974-B6D0-ABE83769C399}"/>
    <cellStyle name="40% - Accent6 2 3 6 5" xfId="10887" xr:uid="{226D2AF9-1436-4FBE-844B-DC085CF5EC19}"/>
    <cellStyle name="40% - Accent6 2 3 7" xfId="4597" xr:uid="{00000000-0005-0000-0000-00001E070000}"/>
    <cellStyle name="40% - Accent6 2 3 7 2" xfId="21480" xr:uid="{F56E2522-5986-4708-A33E-AACF7E90DE9B}"/>
    <cellStyle name="40% - Accent6 2 3 7 3" xfId="29926" xr:uid="{8DD5DA5A-E4A3-435F-9B11-63B2FC7B35E9}"/>
    <cellStyle name="40% - Accent6 2 3 7 4" xfId="13039" xr:uid="{6164175B-24EC-4C9D-AB6B-B827B94AC0E9}"/>
    <cellStyle name="40% - Accent6 2 3 8" xfId="17262" xr:uid="{DAF69348-79AF-4EAD-B187-A730486123A6}"/>
    <cellStyle name="40% - Accent6 2 3 9" xfId="25704" xr:uid="{A6A74919-427C-4F66-AB80-2498E813DFCF}"/>
    <cellStyle name="40% - Accent6 2 4" xfId="659" xr:uid="{00000000-0005-0000-0000-00001F070000}"/>
    <cellStyle name="40% - Accent6 2 4 2" xfId="2930" xr:uid="{00000000-0005-0000-0000-000020070000}"/>
    <cellStyle name="40% - Accent6 2 4 2 2" xfId="7153" xr:uid="{00000000-0005-0000-0000-000021070000}"/>
    <cellStyle name="40% - Accent6 2 4 2 2 2" xfId="24036" xr:uid="{FED5AAD8-77B1-4315-B9B6-2556A3A20958}"/>
    <cellStyle name="40% - Accent6 2 4 2 2 3" xfId="32482" xr:uid="{89D3B35F-8C7B-4320-9AB0-FFB9CB1B5857}"/>
    <cellStyle name="40% - Accent6 2 4 2 2 4" xfId="15595" xr:uid="{4C8DF98E-CBBE-4308-AD01-9224FDEEB3D6}"/>
    <cellStyle name="40% - Accent6 2 4 2 3" xfId="19818" xr:uid="{0E33E10A-63D5-4A8E-A36A-3B06593053A5}"/>
    <cellStyle name="40% - Accent6 2 4 2 4" xfId="28265" xr:uid="{44083499-BFB7-4137-8826-FACEAFAAEC28}"/>
    <cellStyle name="40% - Accent6 2 4 2 5" xfId="11377" xr:uid="{9EA50EC9-DEDE-48DA-A0D5-025068EF2D40}"/>
    <cellStyle name="40% - Accent6 2 4 3" xfId="5008" xr:uid="{00000000-0005-0000-0000-000022070000}"/>
    <cellStyle name="40% - Accent6 2 4 3 2" xfId="21891" xr:uid="{83C9DF48-415C-4507-B502-C02FE0D16F46}"/>
    <cellStyle name="40% - Accent6 2 4 3 3" xfId="30337" xr:uid="{51CC082B-D441-4807-9D51-7CEC9B462293}"/>
    <cellStyle name="40% - Accent6 2 4 3 4" xfId="13450" xr:uid="{680AB8CA-8941-4D30-8F23-90FE72FA185A}"/>
    <cellStyle name="40% - Accent6 2 4 4" xfId="17673" xr:uid="{A745D94C-0E07-493D-8D2B-7DF39597CD99}"/>
    <cellStyle name="40% - Accent6 2 4 5" xfId="26118" xr:uid="{DCA8E68C-E286-4F2D-B34A-9C25619DF00A}"/>
    <cellStyle name="40% - Accent6 2 4 6" xfId="9232" xr:uid="{23F2D43F-1157-4C1D-B707-412F1FF5CA68}"/>
    <cellStyle name="40% - Accent6 2 5" xfId="1112" xr:uid="{00000000-0005-0000-0000-000023070000}"/>
    <cellStyle name="40% - Accent6 2 5 2" xfId="3343" xr:uid="{00000000-0005-0000-0000-000024070000}"/>
    <cellStyle name="40% - Accent6 2 5 2 2" xfId="7566" xr:uid="{00000000-0005-0000-0000-000025070000}"/>
    <cellStyle name="40% - Accent6 2 5 2 2 2" xfId="24449" xr:uid="{8DD57517-FA7D-447A-9901-904536A380B0}"/>
    <cellStyle name="40% - Accent6 2 5 2 2 3" xfId="32895" xr:uid="{01807E37-72DE-4813-9F86-A2C65D03E39F}"/>
    <cellStyle name="40% - Accent6 2 5 2 2 4" xfId="16008" xr:uid="{7D1A2B61-72D5-4590-AA40-8BF651643815}"/>
    <cellStyle name="40% - Accent6 2 5 2 3" xfId="20231" xr:uid="{65C1A446-7B08-47EE-B52E-8F72B32EC4B0}"/>
    <cellStyle name="40% - Accent6 2 5 2 4" xfId="28678" xr:uid="{8145ED42-D65D-4112-93A7-022547FAC30E}"/>
    <cellStyle name="40% - Accent6 2 5 2 5" xfId="11790" xr:uid="{C2FED72A-1205-47F4-9803-B73242CBCC4F}"/>
    <cellStyle name="40% - Accent6 2 5 3" xfId="5421" xr:uid="{00000000-0005-0000-0000-000026070000}"/>
    <cellStyle name="40% - Accent6 2 5 3 2" xfId="22304" xr:uid="{96AB46DC-43E1-455E-81BC-D6B7A0C4856D}"/>
    <cellStyle name="40% - Accent6 2 5 3 3" xfId="30750" xr:uid="{33A372CF-E520-4213-B224-56DCDDEAD44C}"/>
    <cellStyle name="40% - Accent6 2 5 3 4" xfId="13863" xr:uid="{EA0DFCA9-BD95-4E49-899D-4BB23225FA52}"/>
    <cellStyle name="40% - Accent6 2 5 4" xfId="18086" xr:uid="{20FE7C99-5553-4929-8676-F32394B1CC57}"/>
    <cellStyle name="40% - Accent6 2 5 5" xfId="26531" xr:uid="{C5259204-4BF9-4A19-A151-E93744356129}"/>
    <cellStyle name="40% - Accent6 2 5 6" xfId="9645" xr:uid="{17FA538B-0D7A-4DC9-BF03-4F6F4F0D09CE}"/>
    <cellStyle name="40% - Accent6 2 6" xfId="1526" xr:uid="{00000000-0005-0000-0000-000027070000}"/>
    <cellStyle name="40% - Accent6 2 6 2" xfId="3756" xr:uid="{00000000-0005-0000-0000-000028070000}"/>
    <cellStyle name="40% - Accent6 2 6 2 2" xfId="7979" xr:uid="{00000000-0005-0000-0000-000029070000}"/>
    <cellStyle name="40% - Accent6 2 6 2 2 2" xfId="24862" xr:uid="{7BDD5CF8-82B4-4349-BFFF-C12DD72CFFB2}"/>
    <cellStyle name="40% - Accent6 2 6 2 2 3" xfId="33308" xr:uid="{3465D7B1-7A0C-4520-9030-BBA86EA85A91}"/>
    <cellStyle name="40% - Accent6 2 6 2 2 4" xfId="16421" xr:uid="{A10AAAB0-79C3-4AEB-B10D-D0F01153CB75}"/>
    <cellStyle name="40% - Accent6 2 6 2 3" xfId="20644" xr:uid="{591A2754-A0EF-494F-9777-471A09904645}"/>
    <cellStyle name="40% - Accent6 2 6 2 4" xfId="29091" xr:uid="{D33DDBF7-C653-4802-8CAC-6FF97E3C137F}"/>
    <cellStyle name="40% - Accent6 2 6 2 5" xfId="12203" xr:uid="{76DB32CF-152B-4D93-AF09-C7DB5AAADCDE}"/>
    <cellStyle name="40% - Accent6 2 6 3" xfId="5834" xr:uid="{00000000-0005-0000-0000-00002A070000}"/>
    <cellStyle name="40% - Accent6 2 6 3 2" xfId="22717" xr:uid="{A6B49D7F-C1FE-4094-B518-42C4EEC08CA7}"/>
    <cellStyle name="40% - Accent6 2 6 3 3" xfId="31163" xr:uid="{696205FF-70FB-4A83-9D6B-6CDF8C41ED88}"/>
    <cellStyle name="40% - Accent6 2 6 3 4" xfId="14276" xr:uid="{5D095688-C52E-493E-923E-C80779A7BE68}"/>
    <cellStyle name="40% - Accent6 2 6 4" xfId="18499" xr:uid="{DC4219C5-C7BA-4D47-BD7B-CD50FF7E348C}"/>
    <cellStyle name="40% - Accent6 2 6 5" xfId="26944" xr:uid="{F124AEB3-89A0-44AE-B033-BEF85D641C9F}"/>
    <cellStyle name="40% - Accent6 2 6 6" xfId="10058" xr:uid="{17CF89CD-59CA-4D51-9ECC-174FCB990D93}"/>
    <cellStyle name="40% - Accent6 2 7" xfId="1940" xr:uid="{00000000-0005-0000-0000-00002B070000}"/>
    <cellStyle name="40% - Accent6 2 7 2" xfId="4169" xr:uid="{00000000-0005-0000-0000-00002C070000}"/>
    <cellStyle name="40% - Accent6 2 7 2 2" xfId="8392" xr:uid="{00000000-0005-0000-0000-00002D070000}"/>
    <cellStyle name="40% - Accent6 2 7 2 2 2" xfId="25275" xr:uid="{18910B2F-D943-4013-8DD3-9B4CA1D61547}"/>
    <cellStyle name="40% - Accent6 2 7 2 2 3" xfId="33721" xr:uid="{066C0072-5E15-4106-B8D0-862CFA012DDB}"/>
    <cellStyle name="40% - Accent6 2 7 2 2 4" xfId="16834" xr:uid="{FA76314E-BB4E-4046-9608-F4D77FB25670}"/>
    <cellStyle name="40% - Accent6 2 7 2 3" xfId="21057" xr:uid="{BFB368EE-8900-4FCF-9D73-7F614467B035}"/>
    <cellStyle name="40% - Accent6 2 7 2 4" xfId="29504" xr:uid="{1CEA484C-3DA0-4887-85CC-EE35F905DCFE}"/>
    <cellStyle name="40% - Accent6 2 7 2 5" xfId="12616" xr:uid="{8A1552AC-A633-4818-8119-3896A508713A}"/>
    <cellStyle name="40% - Accent6 2 7 3" xfId="6247" xr:uid="{00000000-0005-0000-0000-00002E070000}"/>
    <cellStyle name="40% - Accent6 2 7 3 2" xfId="23130" xr:uid="{7B4E5B13-CBC2-4D54-94F5-2B5BEDCB1A32}"/>
    <cellStyle name="40% - Accent6 2 7 3 3" xfId="31576" xr:uid="{4F1E6C03-1375-4BDC-AEED-F86720BE602E}"/>
    <cellStyle name="40% - Accent6 2 7 3 4" xfId="14689" xr:uid="{15C380BF-BFED-4B5A-A380-36CAFA8FCF8F}"/>
    <cellStyle name="40% - Accent6 2 7 4" xfId="18912" xr:uid="{B470ECA4-E3C5-4123-8954-F864C9E3C001}"/>
    <cellStyle name="40% - Accent6 2 7 5" xfId="27357" xr:uid="{B7A02F11-08E3-41AB-8EC5-03362B3CC4AF}"/>
    <cellStyle name="40% - Accent6 2 7 6" xfId="10471" xr:uid="{57360E84-3C2E-4121-ACC0-88F8AF44504D}"/>
    <cellStyle name="40% - Accent6 2 8" xfId="2353" xr:uid="{00000000-0005-0000-0000-00002F070000}"/>
    <cellStyle name="40% - Accent6 2 8 2" xfId="6660" xr:uid="{00000000-0005-0000-0000-000030070000}"/>
    <cellStyle name="40% - Accent6 2 8 2 2" xfId="23543" xr:uid="{C880233D-6924-4996-AA60-2DC5F1903A36}"/>
    <cellStyle name="40% - Accent6 2 8 2 3" xfId="31989" xr:uid="{6CE067A9-29BF-429F-BB0F-0D2BE43D20A5}"/>
    <cellStyle name="40% - Accent6 2 8 2 4" xfId="15102" xr:uid="{02C2BE9B-7618-4051-92A3-A14AB0A0697E}"/>
    <cellStyle name="40% - Accent6 2 8 3" xfId="19325" xr:uid="{ADC31AAF-3CCC-4431-A737-35A97EC49D3D}"/>
    <cellStyle name="40% - Accent6 2 8 4" xfId="27770" xr:uid="{EAFDDD31-36BF-426B-BC9F-27453A2DEC4D}"/>
    <cellStyle name="40% - Accent6 2 8 5" xfId="10884" xr:uid="{D83FCC90-630C-409E-9129-EA22FB0D2E19}"/>
    <cellStyle name="40% - Accent6 2 9" xfId="4594" xr:uid="{00000000-0005-0000-0000-000031070000}"/>
    <cellStyle name="40% - Accent6 2 9 2" xfId="21477" xr:uid="{D3DD07BA-C9C4-4B5E-A4F2-73AEC84090C7}"/>
    <cellStyle name="40% - Accent6 2 9 3" xfId="29923" xr:uid="{0BEBF673-96DB-4600-8A27-2F5B8280B0FC}"/>
    <cellStyle name="40% - Accent6 2 9 4" xfId="13036" xr:uid="{B4509271-D466-4B71-B6D8-B23C0D8AAD81}"/>
    <cellStyle name="40% - Accent6 3" xfId="94" xr:uid="{00000000-0005-0000-0000-000032070000}"/>
    <cellStyle name="40% - Accent6 3 10" xfId="25705" xr:uid="{449EC6DB-C6DB-421E-936C-FE8D892D807A}"/>
    <cellStyle name="40% - Accent6 3 11" xfId="8822" xr:uid="{F1B70013-47BD-439B-8816-2C55CBCFD38B}"/>
    <cellStyle name="40% - Accent6 3 2" xfId="95" xr:uid="{00000000-0005-0000-0000-000033070000}"/>
    <cellStyle name="40% - Accent6 3 2 10" xfId="8823" xr:uid="{C709C593-C846-44E4-B132-4B439D3EB751}"/>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24041" xr:uid="{3C1B156E-FA42-4EA7-9312-5E3E5F463A95}"/>
    <cellStyle name="40% - Accent6 3 2 2 2 2 3" xfId="32487" xr:uid="{A5694B15-493C-43A2-9701-1EBC76832E59}"/>
    <cellStyle name="40% - Accent6 3 2 2 2 2 4" xfId="15600" xr:uid="{1CCB2610-5664-4FEC-A5B6-ECD32B020CC1}"/>
    <cellStyle name="40% - Accent6 3 2 2 2 3" xfId="19823" xr:uid="{5BD7E0E5-2379-4F4E-BB0D-2A5CD405B1B3}"/>
    <cellStyle name="40% - Accent6 3 2 2 2 4" xfId="28270" xr:uid="{12133438-EC1B-44EC-9A75-7F35DB6C5DA5}"/>
    <cellStyle name="40% - Accent6 3 2 2 2 5" xfId="11382" xr:uid="{65BCB27B-0EE0-4DBE-BCB5-FF475EA5BD6D}"/>
    <cellStyle name="40% - Accent6 3 2 2 3" xfId="5013" xr:uid="{00000000-0005-0000-0000-000037070000}"/>
    <cellStyle name="40% - Accent6 3 2 2 3 2" xfId="21896" xr:uid="{57BD0580-88E9-4962-95FC-B578C0D4770B}"/>
    <cellStyle name="40% - Accent6 3 2 2 3 3" xfId="30342" xr:uid="{34120582-E159-406E-8124-A6A094D23D4E}"/>
    <cellStyle name="40% - Accent6 3 2 2 3 4" xfId="13455" xr:uid="{AF7E8D7E-3ED8-4A12-9557-F38419931477}"/>
    <cellStyle name="40% - Accent6 3 2 2 4" xfId="17678" xr:uid="{905C39A4-E5C7-43FA-8407-69D2125AF765}"/>
    <cellStyle name="40% - Accent6 3 2 2 5" xfId="26123" xr:uid="{76D1DE54-159C-4851-AC14-D340930D4A06}"/>
    <cellStyle name="40% - Accent6 3 2 2 6" xfId="9237" xr:uid="{14EE3B3A-7209-467B-B387-C6217884A0DD}"/>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24454" xr:uid="{7D72F2F3-033D-4F77-93E1-208C6D44989B}"/>
    <cellStyle name="40% - Accent6 3 2 3 2 2 3" xfId="32900" xr:uid="{1E7202B9-DFF9-4DCC-8F9B-436978EDA6E2}"/>
    <cellStyle name="40% - Accent6 3 2 3 2 2 4" xfId="16013" xr:uid="{2F491FFF-CC2B-487E-BF27-61AD58EE4D18}"/>
    <cellStyle name="40% - Accent6 3 2 3 2 3" xfId="20236" xr:uid="{F30771D2-3F47-4540-8013-42A9880D50DA}"/>
    <cellStyle name="40% - Accent6 3 2 3 2 4" xfId="28683" xr:uid="{15D58E4C-78EF-49B5-A680-43E14147348F}"/>
    <cellStyle name="40% - Accent6 3 2 3 2 5" xfId="11795" xr:uid="{D1807872-5AAF-40F9-96A2-EB5802C03B4B}"/>
    <cellStyle name="40% - Accent6 3 2 3 3" xfId="5426" xr:uid="{00000000-0005-0000-0000-00003B070000}"/>
    <cellStyle name="40% - Accent6 3 2 3 3 2" xfId="22309" xr:uid="{EFD0766F-63A4-44A0-B946-CA154D651BE8}"/>
    <cellStyle name="40% - Accent6 3 2 3 3 3" xfId="30755" xr:uid="{E8E9DB9E-84DA-4C01-9C15-D675B7A672D5}"/>
    <cellStyle name="40% - Accent6 3 2 3 3 4" xfId="13868" xr:uid="{11909B6C-A8B8-4D8D-A2A6-6F8A6FA2A626}"/>
    <cellStyle name="40% - Accent6 3 2 3 4" xfId="18091" xr:uid="{861B4ADF-0A91-47D7-B92F-A16F48116373}"/>
    <cellStyle name="40% - Accent6 3 2 3 5" xfId="26536" xr:uid="{ECE8A14A-BD87-47A4-9583-1ED3F9128AE5}"/>
    <cellStyle name="40% - Accent6 3 2 3 6" xfId="9650" xr:uid="{B42C2CEE-8B9F-4F34-AA7E-48539C400559}"/>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24867" xr:uid="{EC86BC0B-7A88-4986-BD3C-F9AA5E963658}"/>
    <cellStyle name="40% - Accent6 3 2 4 2 2 3" xfId="33313" xr:uid="{839A76E2-7E31-47A6-8C8E-8D2C31E09773}"/>
    <cellStyle name="40% - Accent6 3 2 4 2 2 4" xfId="16426" xr:uid="{B5C235E8-A07B-4733-8A2C-6381540C2754}"/>
    <cellStyle name="40% - Accent6 3 2 4 2 3" xfId="20649" xr:uid="{43838E4A-A88D-4643-98BE-EA7420CA8B1B}"/>
    <cellStyle name="40% - Accent6 3 2 4 2 4" xfId="29096" xr:uid="{12697B83-9290-47C8-8EF6-6C6DD59E10E2}"/>
    <cellStyle name="40% - Accent6 3 2 4 2 5" xfId="12208" xr:uid="{81030C9A-0FA8-4B1C-952B-C830EAA829CE}"/>
    <cellStyle name="40% - Accent6 3 2 4 3" xfId="5839" xr:uid="{00000000-0005-0000-0000-00003F070000}"/>
    <cellStyle name="40% - Accent6 3 2 4 3 2" xfId="22722" xr:uid="{DF46B86E-964E-4152-8CDC-411B5E528AD6}"/>
    <cellStyle name="40% - Accent6 3 2 4 3 3" xfId="31168" xr:uid="{4C7DEBBE-1808-4E67-A791-FDC0E105D404}"/>
    <cellStyle name="40% - Accent6 3 2 4 3 4" xfId="14281" xr:uid="{DC92D7A2-E006-4D06-9970-AC85B547DC3A}"/>
    <cellStyle name="40% - Accent6 3 2 4 4" xfId="18504" xr:uid="{ADE770C3-0AA6-4E36-B991-89052CF4DE7D}"/>
    <cellStyle name="40% - Accent6 3 2 4 5" xfId="26949" xr:uid="{EA03F0CA-EC45-41EE-A1E8-B0FD9B9B4C6D}"/>
    <cellStyle name="40% - Accent6 3 2 4 6" xfId="10063" xr:uid="{E5CD3FC9-5485-4D41-B04F-959A6B783D0F}"/>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25280" xr:uid="{5A70D780-03AA-4F33-91D8-8BB3B7C29509}"/>
    <cellStyle name="40% - Accent6 3 2 5 2 2 3" xfId="33726" xr:uid="{B32830BF-EC9D-4DA8-9111-82CD1983E2EA}"/>
    <cellStyle name="40% - Accent6 3 2 5 2 2 4" xfId="16839" xr:uid="{612DE87A-D1C7-4753-9462-54A9FCBC5AFA}"/>
    <cellStyle name="40% - Accent6 3 2 5 2 3" xfId="21062" xr:uid="{DEDFF646-01A0-44D7-885A-434897694C4E}"/>
    <cellStyle name="40% - Accent6 3 2 5 2 4" xfId="29509" xr:uid="{4CFA6E52-630E-4F9C-965B-6F905822B4F2}"/>
    <cellStyle name="40% - Accent6 3 2 5 2 5" xfId="12621" xr:uid="{370415EF-5189-4173-9546-CD3A477356B4}"/>
    <cellStyle name="40% - Accent6 3 2 5 3" xfId="6252" xr:uid="{00000000-0005-0000-0000-000043070000}"/>
    <cellStyle name="40% - Accent6 3 2 5 3 2" xfId="23135" xr:uid="{2FC035EB-80B3-4648-961B-E8EC8885B12B}"/>
    <cellStyle name="40% - Accent6 3 2 5 3 3" xfId="31581" xr:uid="{619DEC3A-46C7-44B0-AC10-D3F8B736CFD1}"/>
    <cellStyle name="40% - Accent6 3 2 5 3 4" xfId="14694" xr:uid="{A30CBC71-9247-470F-AA3C-81562404086B}"/>
    <cellStyle name="40% - Accent6 3 2 5 4" xfId="18917" xr:uid="{6D7BF174-FB4E-4787-94AB-13FC8329A67A}"/>
    <cellStyle name="40% - Accent6 3 2 5 5" xfId="27362" xr:uid="{9EDEA27C-2F02-4834-8B5F-B0691FC62712}"/>
    <cellStyle name="40% - Accent6 3 2 5 6" xfId="10476" xr:uid="{85A52A69-6AC2-4FC0-9EE2-633C84605B68}"/>
    <cellStyle name="40% - Accent6 3 2 6" xfId="2358" xr:uid="{00000000-0005-0000-0000-000044070000}"/>
    <cellStyle name="40% - Accent6 3 2 6 2" xfId="6665" xr:uid="{00000000-0005-0000-0000-000045070000}"/>
    <cellStyle name="40% - Accent6 3 2 6 2 2" xfId="23548" xr:uid="{7165E9F7-7F72-4EC4-B958-3E9540401CFA}"/>
    <cellStyle name="40% - Accent6 3 2 6 2 3" xfId="31994" xr:uid="{A8B2B5B2-EB18-4F67-BFB1-3FBE7721E5D2}"/>
    <cellStyle name="40% - Accent6 3 2 6 2 4" xfId="15107" xr:uid="{58AFB46B-16DF-4CEC-B7AD-11CA9A655561}"/>
    <cellStyle name="40% - Accent6 3 2 6 3" xfId="19330" xr:uid="{6D57AB88-1A30-4E8C-BABD-56488F3B1D42}"/>
    <cellStyle name="40% - Accent6 3 2 6 4" xfId="27775" xr:uid="{38D4D53C-8700-4A1E-8DDA-A171474F793D}"/>
    <cellStyle name="40% - Accent6 3 2 6 5" xfId="10889" xr:uid="{6B7B7974-BCF2-4428-BC86-1EF436ED9073}"/>
    <cellStyle name="40% - Accent6 3 2 7" xfId="4599" xr:uid="{00000000-0005-0000-0000-000046070000}"/>
    <cellStyle name="40% - Accent6 3 2 7 2" xfId="21482" xr:uid="{598D0F3B-7DC3-4971-ABDD-631CAD135ACF}"/>
    <cellStyle name="40% - Accent6 3 2 7 3" xfId="29928" xr:uid="{33FB2228-1DB9-4DD6-8D45-F80953A6FDBE}"/>
    <cellStyle name="40% - Accent6 3 2 7 4" xfId="13041" xr:uid="{0CE0FC6A-4997-4CE2-A01E-2E52469773C0}"/>
    <cellStyle name="40% - Accent6 3 2 8" xfId="17264" xr:uid="{9902BFA5-C370-46AB-982A-7414318CBA8F}"/>
    <cellStyle name="40% - Accent6 3 2 9" xfId="25706" xr:uid="{4B183995-04CF-4CCA-B140-0FB75BAF7FD8}"/>
    <cellStyle name="40% - Accent6 3 3" xfId="663" xr:uid="{00000000-0005-0000-0000-000047070000}"/>
    <cellStyle name="40% - Accent6 3 3 2" xfId="2934" xr:uid="{00000000-0005-0000-0000-000048070000}"/>
    <cellStyle name="40% - Accent6 3 3 2 2" xfId="7157" xr:uid="{00000000-0005-0000-0000-000049070000}"/>
    <cellStyle name="40% - Accent6 3 3 2 2 2" xfId="24040" xr:uid="{CE197D89-09B3-4A1B-9643-6229A6A3CD1A}"/>
    <cellStyle name="40% - Accent6 3 3 2 2 3" xfId="32486" xr:uid="{F2D0C311-0432-4DE7-BC84-8AE2669EBAF4}"/>
    <cellStyle name="40% - Accent6 3 3 2 2 4" xfId="15599" xr:uid="{D317A533-8A28-42DF-B454-C0DBB208D2D0}"/>
    <cellStyle name="40% - Accent6 3 3 2 3" xfId="19822" xr:uid="{3F81E885-1348-4699-B2E5-2F762A6254A7}"/>
    <cellStyle name="40% - Accent6 3 3 2 4" xfId="28269" xr:uid="{7848CB4B-2546-4321-8A6E-83D5027A15D3}"/>
    <cellStyle name="40% - Accent6 3 3 2 5" xfId="11381" xr:uid="{0B67542A-86DA-4DAF-8869-04F17B20EF8E}"/>
    <cellStyle name="40% - Accent6 3 3 3" xfId="5012" xr:uid="{00000000-0005-0000-0000-00004A070000}"/>
    <cellStyle name="40% - Accent6 3 3 3 2" xfId="21895" xr:uid="{5A34AEC2-7D29-4CB5-BD22-1E977D54618B}"/>
    <cellStyle name="40% - Accent6 3 3 3 3" xfId="30341" xr:uid="{16A86A48-E05C-4434-9DC7-BDDFD8934F37}"/>
    <cellStyle name="40% - Accent6 3 3 3 4" xfId="13454" xr:uid="{3BA3B343-4BA8-4743-B4D7-C1689505E322}"/>
    <cellStyle name="40% - Accent6 3 3 4" xfId="17677" xr:uid="{277FD399-3208-4DD9-8276-9901533F94BB}"/>
    <cellStyle name="40% - Accent6 3 3 5" xfId="26122" xr:uid="{79B0656A-7162-4FE1-B0C2-FFCA4A2843B3}"/>
    <cellStyle name="40% - Accent6 3 3 6" xfId="9236" xr:uid="{D9D5D585-D6AB-4E4A-A8C3-0DB0E09587EE}"/>
    <cellStyle name="40% - Accent6 3 4" xfId="1116" xr:uid="{00000000-0005-0000-0000-00004B070000}"/>
    <cellStyle name="40% - Accent6 3 4 2" xfId="3347" xr:uid="{00000000-0005-0000-0000-00004C070000}"/>
    <cellStyle name="40% - Accent6 3 4 2 2" xfId="7570" xr:uid="{00000000-0005-0000-0000-00004D070000}"/>
    <cellStyle name="40% - Accent6 3 4 2 2 2" xfId="24453" xr:uid="{A7B0AE5E-215C-4647-8135-EB50E0239DDB}"/>
    <cellStyle name="40% - Accent6 3 4 2 2 3" xfId="32899" xr:uid="{301EB119-CBC7-45D0-8ADB-361ABB69BDCA}"/>
    <cellStyle name="40% - Accent6 3 4 2 2 4" xfId="16012" xr:uid="{AE9644C9-19CB-4DC7-A884-59D58F50634D}"/>
    <cellStyle name="40% - Accent6 3 4 2 3" xfId="20235" xr:uid="{31935071-41F0-46C8-ACD9-A1B77C85CF35}"/>
    <cellStyle name="40% - Accent6 3 4 2 4" xfId="28682" xr:uid="{33C6D7F7-7056-4FB5-95B0-3D594901142B}"/>
    <cellStyle name="40% - Accent6 3 4 2 5" xfId="11794" xr:uid="{04382F56-5079-4C39-915A-BCA083086A76}"/>
    <cellStyle name="40% - Accent6 3 4 3" xfId="5425" xr:uid="{00000000-0005-0000-0000-00004E070000}"/>
    <cellStyle name="40% - Accent6 3 4 3 2" xfId="22308" xr:uid="{AD1128B4-5663-4150-A4A3-FD96AF3EC9AB}"/>
    <cellStyle name="40% - Accent6 3 4 3 3" xfId="30754" xr:uid="{7B83103A-F26E-48BD-8684-F35489561F18}"/>
    <cellStyle name="40% - Accent6 3 4 3 4" xfId="13867" xr:uid="{05484043-10CE-44ED-9110-2FE25628ED74}"/>
    <cellStyle name="40% - Accent6 3 4 4" xfId="18090" xr:uid="{E05BC259-3D5B-4830-B537-DC67031E7338}"/>
    <cellStyle name="40% - Accent6 3 4 5" xfId="26535" xr:uid="{9C611559-D404-448F-982E-AF99E9825F4C}"/>
    <cellStyle name="40% - Accent6 3 4 6" xfId="9649" xr:uid="{F1FAC216-DCAA-4CE8-8B17-2C0863E88E0F}"/>
    <cellStyle name="40% - Accent6 3 5" xfId="1530" xr:uid="{00000000-0005-0000-0000-00004F070000}"/>
    <cellStyle name="40% - Accent6 3 5 2" xfId="3760" xr:uid="{00000000-0005-0000-0000-000050070000}"/>
    <cellStyle name="40% - Accent6 3 5 2 2" xfId="7983" xr:uid="{00000000-0005-0000-0000-000051070000}"/>
    <cellStyle name="40% - Accent6 3 5 2 2 2" xfId="24866" xr:uid="{2A0D3F51-6790-4501-8E1F-CC489E0505CD}"/>
    <cellStyle name="40% - Accent6 3 5 2 2 3" xfId="33312" xr:uid="{686CFB0A-7E8E-488F-B373-04D518993068}"/>
    <cellStyle name="40% - Accent6 3 5 2 2 4" xfId="16425" xr:uid="{624F023D-ECBE-4CDE-8861-85B13D5FC452}"/>
    <cellStyle name="40% - Accent6 3 5 2 3" xfId="20648" xr:uid="{132A31F2-17ED-42BA-80FC-149878228C8E}"/>
    <cellStyle name="40% - Accent6 3 5 2 4" xfId="29095" xr:uid="{83F39170-0DE7-413B-A071-C69F9654AB9A}"/>
    <cellStyle name="40% - Accent6 3 5 2 5" xfId="12207" xr:uid="{9B2A798A-789F-4EF5-AC94-4C3E3F2AE0E3}"/>
    <cellStyle name="40% - Accent6 3 5 3" xfId="5838" xr:uid="{00000000-0005-0000-0000-000052070000}"/>
    <cellStyle name="40% - Accent6 3 5 3 2" xfId="22721" xr:uid="{860CD948-FCD1-4B8B-A34E-A1B77C9489B3}"/>
    <cellStyle name="40% - Accent6 3 5 3 3" xfId="31167" xr:uid="{1188901E-B1AA-4B16-AB03-DADD5AFF099E}"/>
    <cellStyle name="40% - Accent6 3 5 3 4" xfId="14280" xr:uid="{2953BC28-C2D8-4C35-BD87-EC79446C41E1}"/>
    <cellStyle name="40% - Accent6 3 5 4" xfId="18503" xr:uid="{60117737-ECAD-4BFD-865D-C56720F42C23}"/>
    <cellStyle name="40% - Accent6 3 5 5" xfId="26948" xr:uid="{C48732D1-0FAD-4776-A518-FBB6F0637272}"/>
    <cellStyle name="40% - Accent6 3 5 6" xfId="10062" xr:uid="{3089695F-642A-418C-976E-B1EEC2101D63}"/>
    <cellStyle name="40% - Accent6 3 6" xfId="1944" xr:uid="{00000000-0005-0000-0000-000053070000}"/>
    <cellStyle name="40% - Accent6 3 6 2" xfId="4173" xr:uid="{00000000-0005-0000-0000-000054070000}"/>
    <cellStyle name="40% - Accent6 3 6 2 2" xfId="8396" xr:uid="{00000000-0005-0000-0000-000055070000}"/>
    <cellStyle name="40% - Accent6 3 6 2 2 2" xfId="25279" xr:uid="{1111F579-430A-4C43-B61B-DD10896BD41A}"/>
    <cellStyle name="40% - Accent6 3 6 2 2 3" xfId="33725" xr:uid="{3F194D5B-F937-45C1-9DD1-CD4C68C3C94D}"/>
    <cellStyle name="40% - Accent6 3 6 2 2 4" xfId="16838" xr:uid="{DB556AE1-1D9B-435B-9E57-FFA5400465FC}"/>
    <cellStyle name="40% - Accent6 3 6 2 3" xfId="21061" xr:uid="{CAE62D01-59BC-4B34-BBC6-1DE5CA41A366}"/>
    <cellStyle name="40% - Accent6 3 6 2 4" xfId="29508" xr:uid="{D19809D7-5417-4298-95BC-43C87A34C8F3}"/>
    <cellStyle name="40% - Accent6 3 6 2 5" xfId="12620" xr:uid="{2149E5D5-0806-45C2-90F0-52939D0F5708}"/>
    <cellStyle name="40% - Accent6 3 6 3" xfId="6251" xr:uid="{00000000-0005-0000-0000-000056070000}"/>
    <cellStyle name="40% - Accent6 3 6 3 2" xfId="23134" xr:uid="{30592DED-9B8B-4321-A4DC-CF4F22FC562C}"/>
    <cellStyle name="40% - Accent6 3 6 3 3" xfId="31580" xr:uid="{0B7D04C3-ED61-4D67-A2EC-399383B025EC}"/>
    <cellStyle name="40% - Accent6 3 6 3 4" xfId="14693" xr:uid="{2368A9D2-7AF9-460C-A5A5-15DE0D23C100}"/>
    <cellStyle name="40% - Accent6 3 6 4" xfId="18916" xr:uid="{E2572399-3454-4059-85B9-B91C93774997}"/>
    <cellStyle name="40% - Accent6 3 6 5" xfId="27361" xr:uid="{6A839BDE-F5E4-4B48-BA6E-9DB130901961}"/>
    <cellStyle name="40% - Accent6 3 6 6" xfId="10475" xr:uid="{920FC655-91A0-4ECF-8374-C98AECD23019}"/>
    <cellStyle name="40% - Accent6 3 7" xfId="2357" xr:uid="{00000000-0005-0000-0000-000057070000}"/>
    <cellStyle name="40% - Accent6 3 7 2" xfId="6664" xr:uid="{00000000-0005-0000-0000-000058070000}"/>
    <cellStyle name="40% - Accent6 3 7 2 2" xfId="23547" xr:uid="{44418069-2128-4EBF-87D8-3934942AF40C}"/>
    <cellStyle name="40% - Accent6 3 7 2 3" xfId="31993" xr:uid="{792A2A49-DF0D-4E0A-BE36-BB38D2B173EF}"/>
    <cellStyle name="40% - Accent6 3 7 2 4" xfId="15106" xr:uid="{FCD6A8C2-6CB3-41B1-B98B-95670FFEBD15}"/>
    <cellStyle name="40% - Accent6 3 7 3" xfId="19329" xr:uid="{6EAB1E51-660D-4A48-99CC-23048775944A}"/>
    <cellStyle name="40% - Accent6 3 7 4" xfId="27774" xr:uid="{034860E8-6AC0-43B4-9FD7-725037804C23}"/>
    <cellStyle name="40% - Accent6 3 7 5" xfId="10888" xr:uid="{716AB69C-9320-4A5C-9394-2F8E1815D5CA}"/>
    <cellStyle name="40% - Accent6 3 8" xfId="4598" xr:uid="{00000000-0005-0000-0000-000059070000}"/>
    <cellStyle name="40% - Accent6 3 8 2" xfId="21481" xr:uid="{3AB4494C-7572-45B5-ABE1-2CE01D738A62}"/>
    <cellStyle name="40% - Accent6 3 8 3" xfId="29927" xr:uid="{48A70907-60F8-48CF-8C67-72750220D551}"/>
    <cellStyle name="40% - Accent6 3 8 4" xfId="13040" xr:uid="{1E212CE6-BC9E-450F-9489-1E403A5A9064}"/>
    <cellStyle name="40% - Accent6 3 9" xfId="17263" xr:uid="{1F12F66B-AC10-43F0-9AA1-5A2B243C5F30}"/>
    <cellStyle name="40% - Accent6 4" xfId="96" xr:uid="{00000000-0005-0000-0000-00005A070000}"/>
    <cellStyle name="40% - Accent6 4 10" xfId="8824" xr:uid="{DCEA7CE2-54DC-4C15-A885-5660224DC6C1}"/>
    <cellStyle name="40% - Accent6 4 2" xfId="665" xr:uid="{00000000-0005-0000-0000-00005B070000}"/>
    <cellStyle name="40% - Accent6 4 2 2" xfId="2936" xr:uid="{00000000-0005-0000-0000-00005C070000}"/>
    <cellStyle name="40% - Accent6 4 2 2 2" xfId="7159" xr:uid="{00000000-0005-0000-0000-00005D070000}"/>
    <cellStyle name="40% - Accent6 4 2 2 2 2" xfId="24042" xr:uid="{6AEDB0C7-5566-4E29-9311-5B97E0D15F92}"/>
    <cellStyle name="40% - Accent6 4 2 2 2 3" xfId="32488" xr:uid="{72903282-CEAA-4E81-AC38-90E585CFBBA4}"/>
    <cellStyle name="40% - Accent6 4 2 2 2 4" xfId="15601" xr:uid="{428B4400-43BD-4A25-BC31-8B4E80C80897}"/>
    <cellStyle name="40% - Accent6 4 2 2 3" xfId="19824" xr:uid="{DBE6DCCC-E92B-4A6B-8921-EE9AE59E5AE8}"/>
    <cellStyle name="40% - Accent6 4 2 2 4" xfId="28271" xr:uid="{F3FA243C-EC78-48D4-BD2E-4D1201393490}"/>
    <cellStyle name="40% - Accent6 4 2 2 5" xfId="11383" xr:uid="{A55530E5-06B2-4651-9B6E-A0EA8BE57191}"/>
    <cellStyle name="40% - Accent6 4 2 3" xfId="5014" xr:uid="{00000000-0005-0000-0000-00005E070000}"/>
    <cellStyle name="40% - Accent6 4 2 3 2" xfId="21897" xr:uid="{83BE27ED-348B-4742-9DAE-D26B7DE2D67A}"/>
    <cellStyle name="40% - Accent6 4 2 3 3" xfId="30343" xr:uid="{41816318-41B2-4059-BEDC-2EC8E77734EC}"/>
    <cellStyle name="40% - Accent6 4 2 3 4" xfId="13456" xr:uid="{94827F58-BBBD-47AF-A678-E2624A56BC13}"/>
    <cellStyle name="40% - Accent6 4 2 4" xfId="17679" xr:uid="{8B3E2FE5-D285-4A84-8776-52315CA6A1E0}"/>
    <cellStyle name="40% - Accent6 4 2 5" xfId="26124" xr:uid="{88D434B3-B31D-4C16-8595-5BEE1C10878F}"/>
    <cellStyle name="40% - Accent6 4 2 6" xfId="9238" xr:uid="{717A7D74-F515-4C5D-8F69-461EFE80CD33}"/>
    <cellStyle name="40% - Accent6 4 3" xfId="1118" xr:uid="{00000000-0005-0000-0000-00005F070000}"/>
    <cellStyle name="40% - Accent6 4 3 2" xfId="3349" xr:uid="{00000000-0005-0000-0000-000060070000}"/>
    <cellStyle name="40% - Accent6 4 3 2 2" xfId="7572" xr:uid="{00000000-0005-0000-0000-000061070000}"/>
    <cellStyle name="40% - Accent6 4 3 2 2 2" xfId="24455" xr:uid="{9A92317B-26F0-4D90-A9CE-E86F11E29957}"/>
    <cellStyle name="40% - Accent6 4 3 2 2 3" xfId="32901" xr:uid="{9AD5826F-3EAD-4B3D-B83C-2342AB968A1C}"/>
    <cellStyle name="40% - Accent6 4 3 2 2 4" xfId="16014" xr:uid="{278027F9-1E2D-49FD-8587-0308017E6FD4}"/>
    <cellStyle name="40% - Accent6 4 3 2 3" xfId="20237" xr:uid="{AD3392AA-1347-4DA6-9707-3DE9BD2B4CF8}"/>
    <cellStyle name="40% - Accent6 4 3 2 4" xfId="28684" xr:uid="{C4DA749A-28BE-4138-B5F8-D1FF48D05B16}"/>
    <cellStyle name="40% - Accent6 4 3 2 5" xfId="11796" xr:uid="{E0A339D1-EA93-4037-9F3E-21F707B260AB}"/>
    <cellStyle name="40% - Accent6 4 3 3" xfId="5427" xr:uid="{00000000-0005-0000-0000-000062070000}"/>
    <cellStyle name="40% - Accent6 4 3 3 2" xfId="22310" xr:uid="{2DE3A5ED-00CB-4B8C-BA0B-55667DF73720}"/>
    <cellStyle name="40% - Accent6 4 3 3 3" xfId="30756" xr:uid="{449196A3-0389-4C24-9021-95C53E99CA94}"/>
    <cellStyle name="40% - Accent6 4 3 3 4" xfId="13869" xr:uid="{B4BB18A8-3454-4B73-BD1A-5D2513C498A0}"/>
    <cellStyle name="40% - Accent6 4 3 4" xfId="18092" xr:uid="{44F4327D-D823-4799-9CFC-DDFF88BB2DC7}"/>
    <cellStyle name="40% - Accent6 4 3 5" xfId="26537" xr:uid="{185D93CB-7DB8-4CA1-B4CC-37290DCFD29E}"/>
    <cellStyle name="40% - Accent6 4 3 6" xfId="9651" xr:uid="{F87075E9-4AE6-407A-8ED8-B8ED2143276D}"/>
    <cellStyle name="40% - Accent6 4 4" xfId="1532" xr:uid="{00000000-0005-0000-0000-000063070000}"/>
    <cellStyle name="40% - Accent6 4 4 2" xfId="3762" xr:uid="{00000000-0005-0000-0000-000064070000}"/>
    <cellStyle name="40% - Accent6 4 4 2 2" xfId="7985" xr:uid="{00000000-0005-0000-0000-000065070000}"/>
    <cellStyle name="40% - Accent6 4 4 2 2 2" xfId="24868" xr:uid="{81D23BD6-9D80-468C-961C-679E71363365}"/>
    <cellStyle name="40% - Accent6 4 4 2 2 3" xfId="33314" xr:uid="{5EF3802D-8BE3-4E92-89DD-15FCA09272CB}"/>
    <cellStyle name="40% - Accent6 4 4 2 2 4" xfId="16427" xr:uid="{53D08C42-3AAD-48D2-9055-41CD6B2780EE}"/>
    <cellStyle name="40% - Accent6 4 4 2 3" xfId="20650" xr:uid="{3837C8DB-E25F-4B7C-B495-2E10EE33125C}"/>
    <cellStyle name="40% - Accent6 4 4 2 4" xfId="29097" xr:uid="{6AE947C7-8AC9-47B5-A426-FDD3FE15CE07}"/>
    <cellStyle name="40% - Accent6 4 4 2 5" xfId="12209" xr:uid="{02548665-496F-4CFE-AF35-94A7D8F56D70}"/>
    <cellStyle name="40% - Accent6 4 4 3" xfId="5840" xr:uid="{00000000-0005-0000-0000-000066070000}"/>
    <cellStyle name="40% - Accent6 4 4 3 2" xfId="22723" xr:uid="{9490955E-9D2A-4098-9C9A-89352F69EF65}"/>
    <cellStyle name="40% - Accent6 4 4 3 3" xfId="31169" xr:uid="{EA292928-980C-40F8-ADDC-4EE98F06F483}"/>
    <cellStyle name="40% - Accent6 4 4 3 4" xfId="14282" xr:uid="{7C5CC838-079E-4DCF-8749-B6A673777FB0}"/>
    <cellStyle name="40% - Accent6 4 4 4" xfId="18505" xr:uid="{118C0E91-692C-495B-8B6C-DA4401E63BE2}"/>
    <cellStyle name="40% - Accent6 4 4 5" xfId="26950" xr:uid="{39CCB563-314C-4488-8064-AB648C2B82C0}"/>
    <cellStyle name="40% - Accent6 4 4 6" xfId="10064" xr:uid="{15A14FC7-0663-45DB-8125-F031F58D9E92}"/>
    <cellStyle name="40% - Accent6 4 5" xfId="1946" xr:uid="{00000000-0005-0000-0000-000067070000}"/>
    <cellStyle name="40% - Accent6 4 5 2" xfId="4175" xr:uid="{00000000-0005-0000-0000-000068070000}"/>
    <cellStyle name="40% - Accent6 4 5 2 2" xfId="8398" xr:uid="{00000000-0005-0000-0000-000069070000}"/>
    <cellStyle name="40% - Accent6 4 5 2 2 2" xfId="25281" xr:uid="{C07D8C97-9E16-415E-A5AD-82DABEBAE994}"/>
    <cellStyle name="40% - Accent6 4 5 2 2 3" xfId="33727" xr:uid="{F58EFC33-4FBF-4CDE-8E3C-23ED12E266FA}"/>
    <cellStyle name="40% - Accent6 4 5 2 2 4" xfId="16840" xr:uid="{C69A9970-DB35-482F-84AC-01FB70CE6EF5}"/>
    <cellStyle name="40% - Accent6 4 5 2 3" xfId="21063" xr:uid="{5001668F-8D78-4A7B-ABEC-B18D6821131D}"/>
    <cellStyle name="40% - Accent6 4 5 2 4" xfId="29510" xr:uid="{40B44DA2-3F0A-403D-9E75-89363F4DADDD}"/>
    <cellStyle name="40% - Accent6 4 5 2 5" xfId="12622" xr:uid="{2F17EA57-66BE-4611-BB98-700F49E824AB}"/>
    <cellStyle name="40% - Accent6 4 5 3" xfId="6253" xr:uid="{00000000-0005-0000-0000-00006A070000}"/>
    <cellStyle name="40% - Accent6 4 5 3 2" xfId="23136" xr:uid="{AFDFE212-BC7F-448E-B206-04DECE8A9515}"/>
    <cellStyle name="40% - Accent6 4 5 3 3" xfId="31582" xr:uid="{B88D2F16-C5D7-4859-87BF-3AFE889AF7B6}"/>
    <cellStyle name="40% - Accent6 4 5 3 4" xfId="14695" xr:uid="{6353D8B8-3599-4908-A3E4-62AB443A533C}"/>
    <cellStyle name="40% - Accent6 4 5 4" xfId="18918" xr:uid="{40185929-5CD6-40DF-9A4A-DF9B951521C7}"/>
    <cellStyle name="40% - Accent6 4 5 5" xfId="27363" xr:uid="{EFFF1E82-B119-4292-AFD2-A01EE1DF2359}"/>
    <cellStyle name="40% - Accent6 4 5 6" xfId="10477" xr:uid="{75F8655E-BCFD-456E-AA56-4F9FE2E82717}"/>
    <cellStyle name="40% - Accent6 4 6" xfId="2359" xr:uid="{00000000-0005-0000-0000-00006B070000}"/>
    <cellStyle name="40% - Accent6 4 6 2" xfId="6666" xr:uid="{00000000-0005-0000-0000-00006C070000}"/>
    <cellStyle name="40% - Accent6 4 6 2 2" xfId="23549" xr:uid="{CCD79C99-261E-4918-BBB7-CAC2911A4BB0}"/>
    <cellStyle name="40% - Accent6 4 6 2 3" xfId="31995" xr:uid="{2FEF0797-835C-42DF-9686-5149F4B733A2}"/>
    <cellStyle name="40% - Accent6 4 6 2 4" xfId="15108" xr:uid="{88174832-FFF2-431C-9511-3085619E5D78}"/>
    <cellStyle name="40% - Accent6 4 6 3" xfId="19331" xr:uid="{A9E6FF04-9F32-4408-BE62-98768402353C}"/>
    <cellStyle name="40% - Accent6 4 6 4" xfId="27776" xr:uid="{595823A7-772C-4F12-A6F4-8E2CE40A8B75}"/>
    <cellStyle name="40% - Accent6 4 6 5" xfId="10890" xr:uid="{157C3AE4-94E8-4612-B602-982D270594C0}"/>
    <cellStyle name="40% - Accent6 4 7" xfId="4600" xr:uid="{00000000-0005-0000-0000-00006D070000}"/>
    <cellStyle name="40% - Accent6 4 7 2" xfId="21483" xr:uid="{7CCEA9C4-AFB9-4EC6-8945-CE463CCD3BD5}"/>
    <cellStyle name="40% - Accent6 4 7 3" xfId="29929" xr:uid="{9E61B5A5-3106-4A7F-897D-6EF2507AFA3C}"/>
    <cellStyle name="40% - Accent6 4 7 4" xfId="13042" xr:uid="{68B3CE6C-FEC3-4BA2-B7A1-8ABD19B8FEFF}"/>
    <cellStyle name="40% - Accent6 4 8" xfId="17265" xr:uid="{05EB1633-E7F3-41C6-AED0-051A990DDC3D}"/>
    <cellStyle name="40% - Accent6 4 9" xfId="25707" xr:uid="{3CAF814E-7B62-404E-832D-88A88B5C9592}"/>
    <cellStyle name="40% - Accent6 5" xfId="658" xr:uid="{00000000-0005-0000-0000-00006E070000}"/>
    <cellStyle name="40% - Accent6 5 2" xfId="2929" xr:uid="{00000000-0005-0000-0000-00006F070000}"/>
    <cellStyle name="40% - Accent6 5 2 2" xfId="7152" xr:uid="{00000000-0005-0000-0000-000070070000}"/>
    <cellStyle name="40% - Accent6 5 2 2 2" xfId="24035" xr:uid="{341AED1C-F2C8-4C94-A5C6-7BAE58070A5D}"/>
    <cellStyle name="40% - Accent6 5 2 2 3" xfId="32481" xr:uid="{988D8337-6C54-4BB0-B17E-75456CB8987E}"/>
    <cellStyle name="40% - Accent6 5 2 2 4" xfId="15594" xr:uid="{732A1B65-9D00-4508-ABC5-1CA63E91C932}"/>
    <cellStyle name="40% - Accent6 5 2 3" xfId="19817" xr:uid="{FABC0D76-731F-4E32-AF05-EB35C29FBBEA}"/>
    <cellStyle name="40% - Accent6 5 2 4" xfId="28264" xr:uid="{41605DAC-AE74-4FAD-8664-1D30924D8B28}"/>
    <cellStyle name="40% - Accent6 5 2 5" xfId="11376" xr:uid="{F1DCA719-1CC6-4120-8BED-38A24030C1BA}"/>
    <cellStyle name="40% - Accent6 5 3" xfId="5007" xr:uid="{00000000-0005-0000-0000-000071070000}"/>
    <cellStyle name="40% - Accent6 5 3 2" xfId="21890" xr:uid="{907D0969-FA69-4272-9C73-34767EE058A9}"/>
    <cellStyle name="40% - Accent6 5 3 3" xfId="30336" xr:uid="{E91DFD77-A527-4ADF-A486-85318923814C}"/>
    <cellStyle name="40% - Accent6 5 3 4" xfId="13449" xr:uid="{403C9EC3-03ED-4423-A9F0-488CA8C0F405}"/>
    <cellStyle name="40% - Accent6 5 4" xfId="17672" xr:uid="{7CC94307-BB02-47B2-8EE0-B82D66BB2E45}"/>
    <cellStyle name="40% - Accent6 5 5" xfId="26117" xr:uid="{99D31665-6B77-4DBB-953B-520CFB099A29}"/>
    <cellStyle name="40% - Accent6 5 6" xfId="9231" xr:uid="{053ED50F-0EEA-475B-B07C-B29BB6D99246}"/>
    <cellStyle name="40% - Accent6 6" xfId="1111" xr:uid="{00000000-0005-0000-0000-000072070000}"/>
    <cellStyle name="40% - Accent6 6 2" xfId="3342" xr:uid="{00000000-0005-0000-0000-000073070000}"/>
    <cellStyle name="40% - Accent6 6 2 2" xfId="7565" xr:uid="{00000000-0005-0000-0000-000074070000}"/>
    <cellStyle name="40% - Accent6 6 2 2 2" xfId="24448" xr:uid="{D3F7FD7F-93AE-4621-8708-B45C85130A65}"/>
    <cellStyle name="40% - Accent6 6 2 2 3" xfId="32894" xr:uid="{79D6FC1E-523E-4EE5-B89D-D8D0E8CDEFD4}"/>
    <cellStyle name="40% - Accent6 6 2 2 4" xfId="16007" xr:uid="{1C6DDA70-9426-410F-979F-2B0B75C0346D}"/>
    <cellStyle name="40% - Accent6 6 2 3" xfId="20230" xr:uid="{289B4611-83E8-4EB6-BB50-0A4D12C2AAA3}"/>
    <cellStyle name="40% - Accent6 6 2 4" xfId="28677" xr:uid="{7C75AE95-B5A9-497E-99C7-8EADAD728065}"/>
    <cellStyle name="40% - Accent6 6 2 5" xfId="11789" xr:uid="{3FAE4A8D-0128-4D48-9396-0713B21E6F29}"/>
    <cellStyle name="40% - Accent6 6 3" xfId="5420" xr:uid="{00000000-0005-0000-0000-000075070000}"/>
    <cellStyle name="40% - Accent6 6 3 2" xfId="22303" xr:uid="{62B51C74-1132-433F-9CEF-E18760CB92EF}"/>
    <cellStyle name="40% - Accent6 6 3 3" xfId="30749" xr:uid="{1BDAB63C-2B7F-448A-80B0-5BA5DF815112}"/>
    <cellStyle name="40% - Accent6 6 3 4" xfId="13862" xr:uid="{AF26E03E-3B43-43C3-BCB2-15EEDF4CEC3B}"/>
    <cellStyle name="40% - Accent6 6 4" xfId="18085" xr:uid="{DD23691B-E9F6-404D-8536-9765B6FF64AC}"/>
    <cellStyle name="40% - Accent6 6 5" xfId="26530" xr:uid="{B18659D2-9E29-465A-B0D7-178E721E5F48}"/>
    <cellStyle name="40% - Accent6 6 6" xfId="9644" xr:uid="{C07D0148-E741-4A34-87A1-CFFDB294065B}"/>
    <cellStyle name="40% - Accent6 7" xfId="1525" xr:uid="{00000000-0005-0000-0000-000076070000}"/>
    <cellStyle name="40% - Accent6 7 2" xfId="3755" xr:uid="{00000000-0005-0000-0000-000077070000}"/>
    <cellStyle name="40% - Accent6 7 2 2" xfId="7978" xr:uid="{00000000-0005-0000-0000-000078070000}"/>
    <cellStyle name="40% - Accent6 7 2 2 2" xfId="24861" xr:uid="{1FC7089A-1ED0-4B41-8B02-EDA14B0F8C85}"/>
    <cellStyle name="40% - Accent6 7 2 2 3" xfId="33307" xr:uid="{C91C6164-A5F0-4027-9276-C0F31784F295}"/>
    <cellStyle name="40% - Accent6 7 2 2 4" xfId="16420" xr:uid="{0785B143-D944-4767-BFD1-E16AB791C620}"/>
    <cellStyle name="40% - Accent6 7 2 3" xfId="20643" xr:uid="{3063051D-D6B5-49D7-BFB8-A00781C7455D}"/>
    <cellStyle name="40% - Accent6 7 2 4" xfId="29090" xr:uid="{689E0ED1-5D19-4027-B062-AF6EC3D17652}"/>
    <cellStyle name="40% - Accent6 7 2 5" xfId="12202" xr:uid="{4BFACEFE-6596-4FB3-AC17-935510EDDE94}"/>
    <cellStyle name="40% - Accent6 7 3" xfId="5833" xr:uid="{00000000-0005-0000-0000-000079070000}"/>
    <cellStyle name="40% - Accent6 7 3 2" xfId="22716" xr:uid="{242FE28D-71D5-435D-917D-1BA360127E2F}"/>
    <cellStyle name="40% - Accent6 7 3 3" xfId="31162" xr:uid="{2432F096-709A-456C-A243-66AE664A8F39}"/>
    <cellStyle name="40% - Accent6 7 3 4" xfId="14275" xr:uid="{F2E40CDA-08E0-4777-BB53-64DA33D8B6AF}"/>
    <cellStyle name="40% - Accent6 7 4" xfId="18498" xr:uid="{BDDFC381-0AA2-4113-B2D2-F8DCF87761F0}"/>
    <cellStyle name="40% - Accent6 7 5" xfId="26943" xr:uid="{CBCF09F5-6841-4C50-BE60-C54276E7CF8D}"/>
    <cellStyle name="40% - Accent6 7 6" xfId="10057" xr:uid="{BC9E8563-5792-4088-BF59-67E3BD0B2CE2}"/>
    <cellStyle name="40% - Accent6 8" xfId="1939" xr:uid="{00000000-0005-0000-0000-00007A070000}"/>
    <cellStyle name="40% - Accent6 8 2" xfId="4168" xr:uid="{00000000-0005-0000-0000-00007B070000}"/>
    <cellStyle name="40% - Accent6 8 2 2" xfId="8391" xr:uid="{00000000-0005-0000-0000-00007C070000}"/>
    <cellStyle name="40% - Accent6 8 2 2 2" xfId="25274" xr:uid="{237397A1-9C15-47AB-9B06-6FB8C15318AE}"/>
    <cellStyle name="40% - Accent6 8 2 2 3" xfId="33720" xr:uid="{D1031BBE-87B4-4837-8AD0-05CC9007C53B}"/>
    <cellStyle name="40% - Accent6 8 2 2 4" xfId="16833" xr:uid="{54187DA4-D293-4E93-9D0A-FB8A5BD29D59}"/>
    <cellStyle name="40% - Accent6 8 2 3" xfId="21056" xr:uid="{89020EA5-9F87-48F7-9409-7BFA116D20C9}"/>
    <cellStyle name="40% - Accent6 8 2 4" xfId="29503" xr:uid="{AA551F5F-A29B-4540-AB9D-A8D400C6E5B7}"/>
    <cellStyle name="40% - Accent6 8 2 5" xfId="12615" xr:uid="{F3545AAC-FF80-42EA-8CF2-6DA956BC59A4}"/>
    <cellStyle name="40% - Accent6 8 3" xfId="6246" xr:uid="{00000000-0005-0000-0000-00007D070000}"/>
    <cellStyle name="40% - Accent6 8 3 2" xfId="23129" xr:uid="{49F27E5B-258F-4D3B-B9AD-4B4D9AAA43D3}"/>
    <cellStyle name="40% - Accent6 8 3 3" xfId="31575" xr:uid="{DCD4A832-29C2-4862-B3E0-D63C542BFB13}"/>
    <cellStyle name="40% - Accent6 8 3 4" xfId="14688" xr:uid="{B7D49C27-E937-4749-8E32-2BC66FA74C82}"/>
    <cellStyle name="40% - Accent6 8 4" xfId="18911" xr:uid="{EEA4354F-5D3D-4BD2-AD7C-DD075582E473}"/>
    <cellStyle name="40% - Accent6 8 5" xfId="27356" xr:uid="{9003C0E1-1394-45A2-8B82-FED4B5BC319F}"/>
    <cellStyle name="40% - Accent6 8 6" xfId="10470" xr:uid="{5D330E5B-F123-4C1D-AD4A-15E137AAC37A}"/>
    <cellStyle name="40% - Accent6 9" xfId="2352" xr:uid="{00000000-0005-0000-0000-00007E070000}"/>
    <cellStyle name="40% - Accent6 9 2" xfId="6659" xr:uid="{00000000-0005-0000-0000-00007F070000}"/>
    <cellStyle name="40% - Accent6 9 2 2" xfId="23542" xr:uid="{DCF69218-750B-42A2-B17C-BEF2FF3B926B}"/>
    <cellStyle name="40% - Accent6 9 2 3" xfId="31988" xr:uid="{2E8C1C07-85EF-42A3-BFCB-D5899DA5776C}"/>
    <cellStyle name="40% - Accent6 9 2 4" xfId="15101" xr:uid="{7DB81EE0-ED45-457E-ACF4-0E3877366BF4}"/>
    <cellStyle name="40% - Accent6 9 3" xfId="19324" xr:uid="{D53854BC-8502-4EC7-A3BB-E27BD7CD4EF8}"/>
    <cellStyle name="40% - Accent6 9 4" xfId="27769" xr:uid="{2CC6E03B-0EEC-4140-8CB7-6237AC2A1C98}"/>
    <cellStyle name="40% - Accent6 9 5" xfId="10883" xr:uid="{E815AB4C-E407-40C7-9F0A-D9BB30D845B2}"/>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Bad 2 2" xfId="34095" xr:uid="{6416397C-2423-459C-BEB3-5FF0F3666E3E}"/>
    <cellStyle name="Calculation" xfId="119" builtinId="22" customBuiltin="1"/>
    <cellStyle name="Calculation 2" xfId="120" xr:uid="{00000000-0005-0000-0000-000097070000}"/>
    <cellStyle name="Check Cell" xfId="121" builtinId="23" customBuiltin="1"/>
    <cellStyle name="Comma" xfId="4504" builtinId="3"/>
    <cellStyle name="Comma 10" xfId="34096" xr:uid="{CB29F7F8-4944-4B1D-8255-4A2CD58D1A98}"/>
    <cellStyle name="Comma 11" xfId="34194" xr:uid="{B06F9B22-219A-48E0-8F96-DC5928D98198}"/>
    <cellStyle name="Comma 2" xfId="122" xr:uid="{00000000-0005-0000-0000-00009A070000}"/>
    <cellStyle name="Comma 2 2" xfId="123" xr:uid="{00000000-0005-0000-0000-00009B070000}"/>
    <cellStyle name="Comma 2 3" xfId="34057" xr:uid="{E65E44A6-9501-41CE-9366-66609D1723DE}"/>
    <cellStyle name="Comma 3" xfId="124" xr:uid="{00000000-0005-0000-0000-00009C070000}"/>
    <cellStyle name="Comma 3 2" xfId="34206" xr:uid="{1EDEF285-8A73-42E8-9DE6-EE0E09E58C7B}"/>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23867" xr:uid="{0A16C353-BF66-4D0B-845A-7F218DB462C3}"/>
    <cellStyle name="Comma 4 2 2 2 10 2 3" xfId="32313" xr:uid="{4C734F3F-6834-4220-BB90-CC584AFA3BF2}"/>
    <cellStyle name="Comma 4 2 2 2 10 2 4" xfId="15426" xr:uid="{9B7F9F2B-D9A5-47E7-A76A-2E08ADE0A5FF}"/>
    <cellStyle name="Comma 4 2 2 2 10 3" xfId="19649" xr:uid="{50813E43-0D9B-493C-A5FF-985B53CF6F28}"/>
    <cellStyle name="Comma 4 2 2 2 10 4" xfId="28096" xr:uid="{F64E9E80-2060-448E-B7E3-7D19F271709C}"/>
    <cellStyle name="Comma 4 2 2 2 10 5" xfId="11208" xr:uid="{4395DE31-D66A-42D0-850F-50A86957EFE8}"/>
    <cellStyle name="Comma 4 2 2 2 11" xfId="4601" xr:uid="{00000000-0005-0000-0000-0000A3070000}"/>
    <cellStyle name="Comma 4 2 2 2 11 2" xfId="21484" xr:uid="{B8C73F8E-AA45-45F8-9E2E-6DDB6DE98189}"/>
    <cellStyle name="Comma 4 2 2 2 11 3" xfId="29930" xr:uid="{5D24A62E-7F08-4A7B-A92E-5FBFB227B1D8}"/>
    <cellStyle name="Comma 4 2 2 2 11 4" xfId="13043" xr:uid="{7AFC70BE-3C6A-448D-984C-418CED8B9B4D}"/>
    <cellStyle name="Comma 4 2 2 2 12" xfId="17266" xr:uid="{FDA28038-D5E9-491C-B713-EFFCFB0B0B9B}"/>
    <cellStyle name="Comma 4 2 2 2 13" xfId="25709" xr:uid="{9A515908-0C9D-418A-8F20-7F9091EED590}"/>
    <cellStyle name="Comma 4 2 2 2 14" xfId="8825" xr:uid="{66EE7B85-C2D1-4104-8340-111823301111}"/>
    <cellStyle name="Comma 4 2 2 2 2" xfId="129" xr:uid="{00000000-0005-0000-0000-0000A4070000}"/>
    <cellStyle name="Comma 4 2 2 2 2 10" xfId="4602" xr:uid="{00000000-0005-0000-0000-0000A5070000}"/>
    <cellStyle name="Comma 4 2 2 2 2 10 2" xfId="21485" xr:uid="{B0F771E9-1121-4A88-AE2C-17A95BDC193B}"/>
    <cellStyle name="Comma 4 2 2 2 2 10 3" xfId="29931" xr:uid="{81D8B7A2-8C60-43AE-97E9-CB43AC917024}"/>
    <cellStyle name="Comma 4 2 2 2 2 10 4" xfId="13044" xr:uid="{DCCDFADA-F4B8-40B5-AE70-92EA03C13A3D}"/>
    <cellStyle name="Comma 4 2 2 2 2 11" xfId="17267" xr:uid="{77832ADB-1DCF-42B8-BFDB-9D9F5410DCD3}"/>
    <cellStyle name="Comma 4 2 2 2 2 12" xfId="25710" xr:uid="{021AFA88-85FC-45B3-A1BC-5C4752386860}"/>
    <cellStyle name="Comma 4 2 2 2 2 13" xfId="8826" xr:uid="{4FD59E1F-611C-4782-8AA5-F0466837BD78}"/>
    <cellStyle name="Comma 4 2 2 2 2 2" xfId="130" xr:uid="{00000000-0005-0000-0000-0000A6070000}"/>
    <cellStyle name="Comma 4 2 2 2 2 2 10" xfId="17268" xr:uid="{140D9683-2FF8-4D03-BDCE-F50C022369DF}"/>
    <cellStyle name="Comma 4 2 2 2 2 2 11" xfId="25711" xr:uid="{B0AE40AC-5AE5-4CC3-9826-EFCC211F7B09}"/>
    <cellStyle name="Comma 4 2 2 2 2 2 12" xfId="8827" xr:uid="{4299BCF0-8554-4938-98E7-8AF0C3BC4811}"/>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24045" xr:uid="{D268F566-64D6-4D0D-9BA5-8ED35D424636}"/>
    <cellStyle name="Comma 4 2 2 2 2 2 2 2 2 3" xfId="32491" xr:uid="{A8581BBC-BAE7-4616-8488-980A76A57CF0}"/>
    <cellStyle name="Comma 4 2 2 2 2 2 2 2 2 4" xfId="15604" xr:uid="{358E2A0C-CE13-4632-BC48-D00D63EF04C5}"/>
    <cellStyle name="Comma 4 2 2 2 2 2 2 2 3" xfId="19827" xr:uid="{5AC9E879-7AD1-4D98-910C-D3B219E78766}"/>
    <cellStyle name="Comma 4 2 2 2 2 2 2 2 4" xfId="28274" xr:uid="{21B522F1-C770-41BB-AEC5-DC79B7CC0DEB}"/>
    <cellStyle name="Comma 4 2 2 2 2 2 2 2 5" xfId="11386" xr:uid="{A2DB79BA-EA8F-4691-AE70-40554478F369}"/>
    <cellStyle name="Comma 4 2 2 2 2 2 2 3" xfId="5017" xr:uid="{00000000-0005-0000-0000-0000AA070000}"/>
    <cellStyle name="Comma 4 2 2 2 2 2 2 3 2" xfId="21900" xr:uid="{3A6D313A-BBE8-4474-ABC4-8D9D7BD20922}"/>
    <cellStyle name="Comma 4 2 2 2 2 2 2 3 3" xfId="30346" xr:uid="{9CD61A36-ECB4-4E51-942A-9886315FBB0A}"/>
    <cellStyle name="Comma 4 2 2 2 2 2 2 3 4" xfId="13459" xr:uid="{02DEF0CD-85BE-4BB2-9944-92A13D42AB7D}"/>
    <cellStyle name="Comma 4 2 2 2 2 2 2 4" xfId="17682" xr:uid="{B5FD2DBF-1F24-450F-B1A9-BB9A5ACBFC89}"/>
    <cellStyle name="Comma 4 2 2 2 2 2 2 5" xfId="26127" xr:uid="{313DBDC8-E523-49B2-9684-5FD97CB1ED1B}"/>
    <cellStyle name="Comma 4 2 2 2 2 2 2 6" xfId="9241" xr:uid="{55FFF640-5398-42AA-AAD7-BA7E59EA1514}"/>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24458" xr:uid="{4FCB5D94-A6D3-45FE-B2BE-39893C362586}"/>
    <cellStyle name="Comma 4 2 2 2 2 2 3 2 2 3" xfId="32904" xr:uid="{7F7EF304-74BC-48AD-9E28-093FBDC0C6C9}"/>
    <cellStyle name="Comma 4 2 2 2 2 2 3 2 2 4" xfId="16017" xr:uid="{6050BA00-EF40-49FB-B549-6232DF72F8FC}"/>
    <cellStyle name="Comma 4 2 2 2 2 2 3 2 3" xfId="20240" xr:uid="{81649DC7-4D1B-4677-BAA8-8B1B891252E9}"/>
    <cellStyle name="Comma 4 2 2 2 2 2 3 2 4" xfId="28687" xr:uid="{985DDA61-CD81-4B50-ABA1-717E3F933DA7}"/>
    <cellStyle name="Comma 4 2 2 2 2 2 3 2 5" xfId="11799" xr:uid="{97906D90-35E9-435C-90B3-F3D381BC00F9}"/>
    <cellStyle name="Comma 4 2 2 2 2 2 3 3" xfId="5430" xr:uid="{00000000-0005-0000-0000-0000AE070000}"/>
    <cellStyle name="Comma 4 2 2 2 2 2 3 3 2" xfId="22313" xr:uid="{631996C9-D59A-4F5A-AFCD-E93977405001}"/>
    <cellStyle name="Comma 4 2 2 2 2 2 3 3 3" xfId="30759" xr:uid="{4273DFD7-F5C2-4338-90D9-53B60D25F7C3}"/>
    <cellStyle name="Comma 4 2 2 2 2 2 3 3 4" xfId="13872" xr:uid="{0C0FC063-8B4D-41D3-B2BC-E63B11A889BB}"/>
    <cellStyle name="Comma 4 2 2 2 2 2 3 4" xfId="18095" xr:uid="{367D8157-F03F-4DD1-A15B-1BEFE1D72AF2}"/>
    <cellStyle name="Comma 4 2 2 2 2 2 3 5" xfId="26540" xr:uid="{540E676D-8DD8-4702-BEC8-2099EB0F6051}"/>
    <cellStyle name="Comma 4 2 2 2 2 2 3 6" xfId="9654" xr:uid="{FD9DA8E5-8A33-4BF4-A2F1-FC1FB74A73CF}"/>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24871" xr:uid="{743891A0-16E2-44C6-9C1D-F2BB1B9C032D}"/>
    <cellStyle name="Comma 4 2 2 2 2 2 4 2 2 3" xfId="33317" xr:uid="{BCA68E3F-DFA8-4E5B-A698-F9DABDDD5078}"/>
    <cellStyle name="Comma 4 2 2 2 2 2 4 2 2 4" xfId="16430" xr:uid="{39B98B2B-E084-471C-BCF6-DD796C896DDD}"/>
    <cellStyle name="Comma 4 2 2 2 2 2 4 2 3" xfId="20653" xr:uid="{7C2A0ABF-2409-4C55-8C52-CFA35BEF8C79}"/>
    <cellStyle name="Comma 4 2 2 2 2 2 4 2 4" xfId="29100" xr:uid="{21448616-2B87-4369-A978-970B36450482}"/>
    <cellStyle name="Comma 4 2 2 2 2 2 4 2 5" xfId="12212" xr:uid="{DB969B3F-715F-4D38-9D03-6E8102D0735D}"/>
    <cellStyle name="Comma 4 2 2 2 2 2 4 3" xfId="5843" xr:uid="{00000000-0005-0000-0000-0000B2070000}"/>
    <cellStyle name="Comma 4 2 2 2 2 2 4 3 2" xfId="22726" xr:uid="{EFFC3857-779F-4934-891F-F880212993F9}"/>
    <cellStyle name="Comma 4 2 2 2 2 2 4 3 3" xfId="31172" xr:uid="{E19F6680-4E49-4DC0-B4C1-9C1E7E59C733}"/>
    <cellStyle name="Comma 4 2 2 2 2 2 4 3 4" xfId="14285" xr:uid="{5393E3B3-2CEB-41D1-A887-E3383B41F8EE}"/>
    <cellStyle name="Comma 4 2 2 2 2 2 4 4" xfId="18508" xr:uid="{FCF89BAB-3B0C-44E5-9CFD-17F7B391E73C}"/>
    <cellStyle name="Comma 4 2 2 2 2 2 4 5" xfId="26953" xr:uid="{786768F2-4442-4DAE-930D-618C40C472C8}"/>
    <cellStyle name="Comma 4 2 2 2 2 2 4 6" xfId="10067" xr:uid="{56816A94-0098-4630-AE47-737602029575}"/>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25284" xr:uid="{5B34FBD9-A93F-481A-BDE4-4A6611B1398B}"/>
    <cellStyle name="Comma 4 2 2 2 2 2 5 2 2 3" xfId="33730" xr:uid="{919B74C2-39AC-4FC3-8C80-2E298550CAEC}"/>
    <cellStyle name="Comma 4 2 2 2 2 2 5 2 2 4" xfId="16843" xr:uid="{32DAB39A-654F-4017-843B-75A92F77A11A}"/>
    <cellStyle name="Comma 4 2 2 2 2 2 5 2 3" xfId="21066" xr:uid="{7F9634D1-2193-42A9-9238-7432D4C86695}"/>
    <cellStyle name="Comma 4 2 2 2 2 2 5 2 4" xfId="29513" xr:uid="{14F4EB68-EA9D-4A81-836F-3189EFFB67A5}"/>
    <cellStyle name="Comma 4 2 2 2 2 2 5 2 5" xfId="12625" xr:uid="{24CF6FD2-3D46-4B72-AC44-B44A67AAE466}"/>
    <cellStyle name="Comma 4 2 2 2 2 2 5 3" xfId="6256" xr:uid="{00000000-0005-0000-0000-0000B6070000}"/>
    <cellStyle name="Comma 4 2 2 2 2 2 5 3 2" xfId="23139" xr:uid="{135100C5-7F53-4900-80CE-49088E5D13B6}"/>
    <cellStyle name="Comma 4 2 2 2 2 2 5 3 3" xfId="31585" xr:uid="{C588EF9F-D743-4C6B-B940-3DC8025F9559}"/>
    <cellStyle name="Comma 4 2 2 2 2 2 5 3 4" xfId="14698" xr:uid="{BCCB0C2F-46E8-4D38-B67D-BD129DA82354}"/>
    <cellStyle name="Comma 4 2 2 2 2 2 5 4" xfId="18921" xr:uid="{F7D7FDBD-02CC-42E9-934E-D2A1F706CC8D}"/>
    <cellStyle name="Comma 4 2 2 2 2 2 5 5" xfId="27366" xr:uid="{444A079E-B88C-40C5-B9F5-E50B05C07173}"/>
    <cellStyle name="Comma 4 2 2 2 2 2 5 6" xfId="10480" xr:uid="{5D90D183-E76E-4213-BB1C-05FBE14ABB41}"/>
    <cellStyle name="Comma 4 2 2 2 2 2 6" xfId="2384" xr:uid="{00000000-0005-0000-0000-0000B7070000}"/>
    <cellStyle name="Comma 4 2 2 2 2 2 6 2" xfId="6669" xr:uid="{00000000-0005-0000-0000-0000B8070000}"/>
    <cellStyle name="Comma 4 2 2 2 2 2 6 2 2" xfId="23552" xr:uid="{F61D2482-32D2-4309-AD37-C5623AFE988C}"/>
    <cellStyle name="Comma 4 2 2 2 2 2 6 2 3" xfId="31998" xr:uid="{F038509C-57FB-4B59-944D-92B38F586266}"/>
    <cellStyle name="Comma 4 2 2 2 2 2 6 2 4" xfId="15111" xr:uid="{138337A3-8B3A-447F-AACD-06F9FA27C0E4}"/>
    <cellStyle name="Comma 4 2 2 2 2 2 6 3" xfId="19334" xr:uid="{FE6FC74A-7216-4F64-B38E-F350319BB04F}"/>
    <cellStyle name="Comma 4 2 2 2 2 2 6 4" xfId="27779" xr:uid="{CAFBBD24-ADE4-4C2D-B57C-2AB21BA1D3D6}"/>
    <cellStyle name="Comma 4 2 2 2 2 2 6 5" xfId="10893" xr:uid="{776B7681-F35F-4997-BB1C-5DB5A872754C}"/>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23869" xr:uid="{9C3979A0-10BD-45F2-A15D-21F80880618F}"/>
    <cellStyle name="Comma 4 2 2 2 2 2 8 2 3" xfId="32315" xr:uid="{088C6094-2604-4135-9A6E-159DCF991364}"/>
    <cellStyle name="Comma 4 2 2 2 2 2 8 2 4" xfId="15428" xr:uid="{285C0086-2001-43EF-9D70-C89F62C31F3E}"/>
    <cellStyle name="Comma 4 2 2 2 2 2 8 3" xfId="19651" xr:uid="{31E95F8C-09AA-46F3-8B8D-71C5F92D0BEC}"/>
    <cellStyle name="Comma 4 2 2 2 2 2 8 4" xfId="28098" xr:uid="{CAEBC55D-AD35-4C73-AD45-3E11AF951B34}"/>
    <cellStyle name="Comma 4 2 2 2 2 2 8 5" xfId="11210" xr:uid="{54D046C4-A874-4542-9F8D-9DA2AD868479}"/>
    <cellStyle name="Comma 4 2 2 2 2 2 9" xfId="4603" xr:uid="{00000000-0005-0000-0000-0000BC070000}"/>
    <cellStyle name="Comma 4 2 2 2 2 2 9 2" xfId="21486" xr:uid="{21690165-DA79-4F47-9EC0-3680FECD1E8D}"/>
    <cellStyle name="Comma 4 2 2 2 2 2 9 3" xfId="29932" xr:uid="{9CB6360F-14AE-4794-BEF3-3D816A8E9238}"/>
    <cellStyle name="Comma 4 2 2 2 2 2 9 4" xfId="13045" xr:uid="{9C74E653-8293-4109-9A51-73B092205ECF}"/>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24044" xr:uid="{FB1A825F-DB58-4E8F-88DE-4612CB5E088E}"/>
    <cellStyle name="Comma 4 2 2 2 2 3 2 2 3" xfId="32490" xr:uid="{784D1F16-5128-491A-B115-387F39542F11}"/>
    <cellStyle name="Comma 4 2 2 2 2 3 2 2 4" xfId="15603" xr:uid="{A6D9D8DC-2365-4317-8F7D-89DC8542386F}"/>
    <cellStyle name="Comma 4 2 2 2 2 3 2 3" xfId="19826" xr:uid="{1E778758-5EBF-45F0-B196-5A673EF5DD45}"/>
    <cellStyle name="Comma 4 2 2 2 2 3 2 4" xfId="28273" xr:uid="{6B36B16A-AB85-4844-97A3-866CD2C673DF}"/>
    <cellStyle name="Comma 4 2 2 2 2 3 2 5" xfId="11385" xr:uid="{E3FFE52B-696A-432B-9BA3-272E11768A8A}"/>
    <cellStyle name="Comma 4 2 2 2 2 3 3" xfId="5016" xr:uid="{00000000-0005-0000-0000-0000C0070000}"/>
    <cellStyle name="Comma 4 2 2 2 2 3 3 2" xfId="21899" xr:uid="{D7589FA9-1F8F-4773-94C3-2D42FE43BB25}"/>
    <cellStyle name="Comma 4 2 2 2 2 3 3 3" xfId="30345" xr:uid="{C05D8FE3-D967-4A96-8A86-CC9FB1DC5DFE}"/>
    <cellStyle name="Comma 4 2 2 2 2 3 3 4" xfId="13458" xr:uid="{19042B32-E344-40E6-AFE6-1D1FEE0F4065}"/>
    <cellStyle name="Comma 4 2 2 2 2 3 4" xfId="17681" xr:uid="{FF89E71D-8B6C-42B5-9FC7-708EB8FA37C2}"/>
    <cellStyle name="Comma 4 2 2 2 2 3 5" xfId="26126" xr:uid="{D1787080-D72C-4C7F-B3B2-35E1AEF57568}"/>
    <cellStyle name="Comma 4 2 2 2 2 3 6" xfId="9240" xr:uid="{C1005FA5-50AE-4E05-B5C3-EC633042E84A}"/>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24457" xr:uid="{B44D6CBC-7B0C-4E7C-AE7B-70E7397ACF58}"/>
    <cellStyle name="Comma 4 2 2 2 2 4 2 2 3" xfId="32903" xr:uid="{9FAD03AB-4C70-4A6D-A501-C34EF77E78C9}"/>
    <cellStyle name="Comma 4 2 2 2 2 4 2 2 4" xfId="16016" xr:uid="{978D8B05-8244-4DEC-BCDC-2A96DC7E0DD1}"/>
    <cellStyle name="Comma 4 2 2 2 2 4 2 3" xfId="20239" xr:uid="{22303487-2A8F-4CB6-B399-7391802883E6}"/>
    <cellStyle name="Comma 4 2 2 2 2 4 2 4" xfId="28686" xr:uid="{BC373EB2-B479-4338-8600-9BE60CD306F1}"/>
    <cellStyle name="Comma 4 2 2 2 2 4 2 5" xfId="11798" xr:uid="{8F538EEF-9CCB-48F6-9AB6-163B3068A4C3}"/>
    <cellStyle name="Comma 4 2 2 2 2 4 3" xfId="5429" xr:uid="{00000000-0005-0000-0000-0000C4070000}"/>
    <cellStyle name="Comma 4 2 2 2 2 4 3 2" xfId="22312" xr:uid="{491155B8-9577-40DC-B82E-F37EF58FAB29}"/>
    <cellStyle name="Comma 4 2 2 2 2 4 3 3" xfId="30758" xr:uid="{005D0F5D-34BD-44E3-B765-ED09C234D007}"/>
    <cellStyle name="Comma 4 2 2 2 2 4 3 4" xfId="13871" xr:uid="{736960FA-5BD2-4F1C-915C-CA44D77D3C57}"/>
    <cellStyle name="Comma 4 2 2 2 2 4 4" xfId="18094" xr:uid="{7E3032C4-AE2E-4B72-AC33-CB4067CA2A99}"/>
    <cellStyle name="Comma 4 2 2 2 2 4 5" xfId="26539" xr:uid="{B49FC7B0-69F1-4995-9057-CD83B8DF7EFF}"/>
    <cellStyle name="Comma 4 2 2 2 2 4 6" xfId="9653" xr:uid="{029ADF22-90BD-435B-81AA-70FB314037CD}"/>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24870" xr:uid="{98EA9A42-E119-435E-99B8-8C12D811AAED}"/>
    <cellStyle name="Comma 4 2 2 2 2 5 2 2 3" xfId="33316" xr:uid="{F8B8018E-4796-452B-BFC7-2203A14AB39B}"/>
    <cellStyle name="Comma 4 2 2 2 2 5 2 2 4" xfId="16429" xr:uid="{4BC03996-4E08-4948-8C81-935332E872F6}"/>
    <cellStyle name="Comma 4 2 2 2 2 5 2 3" xfId="20652" xr:uid="{17908417-AA60-4B2D-AED0-A7A93D66DDEC}"/>
    <cellStyle name="Comma 4 2 2 2 2 5 2 4" xfId="29099" xr:uid="{B5E56F72-D148-4FD1-9436-B586F2A682C0}"/>
    <cellStyle name="Comma 4 2 2 2 2 5 2 5" xfId="12211" xr:uid="{F45453CD-7F7A-4F5B-AA44-1A8595B2BE91}"/>
    <cellStyle name="Comma 4 2 2 2 2 5 3" xfId="5842" xr:uid="{00000000-0005-0000-0000-0000C8070000}"/>
    <cellStyle name="Comma 4 2 2 2 2 5 3 2" xfId="22725" xr:uid="{745B4664-8423-4270-93EA-579A943153C1}"/>
    <cellStyle name="Comma 4 2 2 2 2 5 3 3" xfId="31171" xr:uid="{C92231C6-9047-4FD5-AAE0-48E5C9611C15}"/>
    <cellStyle name="Comma 4 2 2 2 2 5 3 4" xfId="14284" xr:uid="{2B5B094C-AA3A-47E5-9989-F21B931AAD81}"/>
    <cellStyle name="Comma 4 2 2 2 2 5 4" xfId="18507" xr:uid="{A584AACA-53EA-4FE4-9DA2-68C1146D102D}"/>
    <cellStyle name="Comma 4 2 2 2 2 5 5" xfId="26952" xr:uid="{065B3ACF-0B8E-4176-9381-28EBD1454FAA}"/>
    <cellStyle name="Comma 4 2 2 2 2 5 6" xfId="10066" xr:uid="{478FBE5C-1F0A-4628-B2F9-5593AE646D75}"/>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25283" xr:uid="{1A917F46-1C72-4A5B-B91A-DE8E851D91D4}"/>
    <cellStyle name="Comma 4 2 2 2 2 6 2 2 3" xfId="33729" xr:uid="{A342291B-6A0D-4F6B-BD12-2B1310EACA81}"/>
    <cellStyle name="Comma 4 2 2 2 2 6 2 2 4" xfId="16842" xr:uid="{C154E7BF-4556-4036-BF7E-7937F3BAD9D4}"/>
    <cellStyle name="Comma 4 2 2 2 2 6 2 3" xfId="21065" xr:uid="{925060FB-6FCA-4445-ADE8-4CB29EBDA211}"/>
    <cellStyle name="Comma 4 2 2 2 2 6 2 4" xfId="29512" xr:uid="{50243178-45BE-4773-BC53-3FC65108B20D}"/>
    <cellStyle name="Comma 4 2 2 2 2 6 2 5" xfId="12624" xr:uid="{232051B9-A815-45D4-BA80-9D81232ED9DA}"/>
    <cellStyle name="Comma 4 2 2 2 2 6 3" xfId="6255" xr:uid="{00000000-0005-0000-0000-0000CC070000}"/>
    <cellStyle name="Comma 4 2 2 2 2 6 3 2" xfId="23138" xr:uid="{591EBE2E-094B-4E95-8CF3-D04B90627F09}"/>
    <cellStyle name="Comma 4 2 2 2 2 6 3 3" xfId="31584" xr:uid="{1AD5679D-8DD1-447C-A9B5-2CAFD294BF30}"/>
    <cellStyle name="Comma 4 2 2 2 2 6 3 4" xfId="14697" xr:uid="{D1F0F01C-D3B3-493E-B07C-BAB67298ABCF}"/>
    <cellStyle name="Comma 4 2 2 2 2 6 4" xfId="18920" xr:uid="{A1544892-BD6C-435C-B184-BAB11431570B}"/>
    <cellStyle name="Comma 4 2 2 2 2 6 5" xfId="27365" xr:uid="{D25EBD7F-EE8D-46A8-856D-32BACB06977A}"/>
    <cellStyle name="Comma 4 2 2 2 2 6 6" xfId="10479" xr:uid="{783EFE4B-A6AE-4B70-A468-FBAB33640459}"/>
    <cellStyle name="Comma 4 2 2 2 2 7" xfId="2383" xr:uid="{00000000-0005-0000-0000-0000CD070000}"/>
    <cellStyle name="Comma 4 2 2 2 2 7 2" xfId="6668" xr:uid="{00000000-0005-0000-0000-0000CE070000}"/>
    <cellStyle name="Comma 4 2 2 2 2 7 2 2" xfId="23551" xr:uid="{019E40CF-ED28-48BF-9BB6-769E585EB913}"/>
    <cellStyle name="Comma 4 2 2 2 2 7 2 3" xfId="31997" xr:uid="{259B60CF-15E0-4DF6-8B9B-B994580BA0D5}"/>
    <cellStyle name="Comma 4 2 2 2 2 7 2 4" xfId="15110" xr:uid="{7383C0A9-3EB4-4DC9-AF04-D3753CF8B103}"/>
    <cellStyle name="Comma 4 2 2 2 2 7 3" xfId="19333" xr:uid="{30E48267-22B2-4A7F-B669-A220C0C2C3D2}"/>
    <cellStyle name="Comma 4 2 2 2 2 7 4" xfId="27778" xr:uid="{594DE2C5-000B-4235-9E2E-F4E70FF2AC46}"/>
    <cellStyle name="Comma 4 2 2 2 2 7 5" xfId="10892" xr:uid="{6E57A0ED-4DD0-4674-AE99-6FB6580CDA3B}"/>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23868" xr:uid="{1794186F-BFF2-42C3-89AF-8C08EED86316}"/>
    <cellStyle name="Comma 4 2 2 2 2 9 2 3" xfId="32314" xr:uid="{C2A702D8-6D5F-4AC5-B70B-4EDFF7457F87}"/>
    <cellStyle name="Comma 4 2 2 2 2 9 2 4" xfId="15427" xr:uid="{7EE4EF5F-D08E-42B7-8180-FB828CD1680E}"/>
    <cellStyle name="Comma 4 2 2 2 2 9 3" xfId="19650" xr:uid="{70843992-6667-46CF-A2CE-827FABCB063B}"/>
    <cellStyle name="Comma 4 2 2 2 2 9 4" xfId="28097" xr:uid="{385888B9-5259-4AC1-9690-8C906BEED36B}"/>
    <cellStyle name="Comma 4 2 2 2 2 9 5" xfId="11209" xr:uid="{60DB01CC-1AE4-495D-9907-6F0D64C3CD96}"/>
    <cellStyle name="Comma 4 2 2 2 3" xfId="131" xr:uid="{00000000-0005-0000-0000-0000D2070000}"/>
    <cellStyle name="Comma 4 2 2 2 3 10" xfId="17269" xr:uid="{084643E1-E2DE-4084-B713-ECC3A11E79EA}"/>
    <cellStyle name="Comma 4 2 2 2 3 11" xfId="25712" xr:uid="{9C02CEA8-D95F-41EC-9DFA-7F05F4BF4A69}"/>
    <cellStyle name="Comma 4 2 2 2 3 12" xfId="8828" xr:uid="{AB36CAD7-58E6-42F4-BF85-55651D5EAA82}"/>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24046" xr:uid="{ABF458D7-D5A0-4078-A1A3-141924CC7263}"/>
    <cellStyle name="Comma 4 2 2 2 3 2 2 2 3" xfId="32492" xr:uid="{B5ABCF4B-CC6D-4991-8533-2244DD2D1D5A}"/>
    <cellStyle name="Comma 4 2 2 2 3 2 2 2 4" xfId="15605" xr:uid="{C23568D7-20FD-4C48-8F83-5042EF22CB5D}"/>
    <cellStyle name="Comma 4 2 2 2 3 2 2 3" xfId="19828" xr:uid="{33E73CC9-6DB9-4E0D-8C70-6C9F537884DB}"/>
    <cellStyle name="Comma 4 2 2 2 3 2 2 4" xfId="28275" xr:uid="{0B2DAC7E-B600-4596-8234-98F5E5317E90}"/>
    <cellStyle name="Comma 4 2 2 2 3 2 2 5" xfId="11387" xr:uid="{34658B11-9878-4693-BF42-4500B298CC12}"/>
    <cellStyle name="Comma 4 2 2 2 3 2 3" xfId="5018" xr:uid="{00000000-0005-0000-0000-0000D6070000}"/>
    <cellStyle name="Comma 4 2 2 2 3 2 3 2" xfId="21901" xr:uid="{15836899-BE58-4520-9D10-8CBD8C37A3CA}"/>
    <cellStyle name="Comma 4 2 2 2 3 2 3 3" xfId="30347" xr:uid="{AD8DD934-92DF-4953-8113-3A1BC1F3E5CC}"/>
    <cellStyle name="Comma 4 2 2 2 3 2 3 4" xfId="13460" xr:uid="{F0E92C8A-AFF8-434C-9CB7-B06011061700}"/>
    <cellStyle name="Comma 4 2 2 2 3 2 4" xfId="17683" xr:uid="{D3EB1613-4C29-44D3-A9EA-0AC7262AB787}"/>
    <cellStyle name="Comma 4 2 2 2 3 2 5" xfId="26128" xr:uid="{49122CB8-481E-4578-82C9-7E3457B35E24}"/>
    <cellStyle name="Comma 4 2 2 2 3 2 6" xfId="9242" xr:uid="{F66CD3C2-37E5-4585-96F4-170512291B72}"/>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24459" xr:uid="{4186E909-018A-4B67-BAB3-BCF260DF1104}"/>
    <cellStyle name="Comma 4 2 2 2 3 3 2 2 3" xfId="32905" xr:uid="{A39B4117-3DD4-4A1E-B37E-3D3C3914F6E9}"/>
    <cellStyle name="Comma 4 2 2 2 3 3 2 2 4" xfId="16018" xr:uid="{692EF761-D456-4376-B8F7-AE9F4D43EC54}"/>
    <cellStyle name="Comma 4 2 2 2 3 3 2 3" xfId="20241" xr:uid="{555587D9-BBEC-4054-ACF7-ABCC0C297B90}"/>
    <cellStyle name="Comma 4 2 2 2 3 3 2 4" xfId="28688" xr:uid="{711DCAC3-F259-40CA-B081-951B476DBD8C}"/>
    <cellStyle name="Comma 4 2 2 2 3 3 2 5" xfId="11800" xr:uid="{533DF2FD-DD18-4496-BB17-4F3C1CF29EDF}"/>
    <cellStyle name="Comma 4 2 2 2 3 3 3" xfId="5431" xr:uid="{00000000-0005-0000-0000-0000DA070000}"/>
    <cellStyle name="Comma 4 2 2 2 3 3 3 2" xfId="22314" xr:uid="{7BFFFD4E-4749-427D-96AB-44C1A68D188F}"/>
    <cellStyle name="Comma 4 2 2 2 3 3 3 3" xfId="30760" xr:uid="{E8136762-D808-4A9B-A305-CCE652A2D5AA}"/>
    <cellStyle name="Comma 4 2 2 2 3 3 3 4" xfId="13873" xr:uid="{90EE68B6-0F94-479B-9584-B0C66554619B}"/>
    <cellStyle name="Comma 4 2 2 2 3 3 4" xfId="18096" xr:uid="{7E4A6F22-570D-4F91-A8F5-B88D9225F3BA}"/>
    <cellStyle name="Comma 4 2 2 2 3 3 5" xfId="26541" xr:uid="{91AC0110-9354-4E24-B6F4-78E360F7F3FB}"/>
    <cellStyle name="Comma 4 2 2 2 3 3 6" xfId="9655" xr:uid="{8381383F-CD8C-47FE-9737-09EDCB21F2BA}"/>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24872" xr:uid="{637470DC-C5DD-4FD5-BBAD-040BE0925C75}"/>
    <cellStyle name="Comma 4 2 2 2 3 4 2 2 3" xfId="33318" xr:uid="{3936DB4A-B0CC-4CA6-8008-560C3B992B20}"/>
    <cellStyle name="Comma 4 2 2 2 3 4 2 2 4" xfId="16431" xr:uid="{E2F42036-102C-4C2B-89B7-52CC30CEA638}"/>
    <cellStyle name="Comma 4 2 2 2 3 4 2 3" xfId="20654" xr:uid="{BB1BF72C-D73B-4A96-8B30-D6E0648E8267}"/>
    <cellStyle name="Comma 4 2 2 2 3 4 2 4" xfId="29101" xr:uid="{AC7A2FAE-FE98-43DB-96B8-A8CCDA94E2AD}"/>
    <cellStyle name="Comma 4 2 2 2 3 4 2 5" xfId="12213" xr:uid="{0112EB4B-EB4B-416D-8A5F-7EFFCF20BF8C}"/>
    <cellStyle name="Comma 4 2 2 2 3 4 3" xfId="5844" xr:uid="{00000000-0005-0000-0000-0000DE070000}"/>
    <cellStyle name="Comma 4 2 2 2 3 4 3 2" xfId="22727" xr:uid="{3D040200-40C6-46AA-9AA5-310E68E89C16}"/>
    <cellStyle name="Comma 4 2 2 2 3 4 3 3" xfId="31173" xr:uid="{FBDE24D6-07B4-42A4-9635-37BF3DF1A117}"/>
    <cellStyle name="Comma 4 2 2 2 3 4 3 4" xfId="14286" xr:uid="{A0127667-2409-4D3F-8981-4FE2F8FD537F}"/>
    <cellStyle name="Comma 4 2 2 2 3 4 4" xfId="18509" xr:uid="{0571ABEC-270B-41BF-A545-D88C9585EE91}"/>
    <cellStyle name="Comma 4 2 2 2 3 4 5" xfId="26954" xr:uid="{D786897C-D4C9-47C2-B160-3B7AE98E436A}"/>
    <cellStyle name="Comma 4 2 2 2 3 4 6" xfId="10068" xr:uid="{2798AE17-9F71-40AC-8ADB-8F229DF50326}"/>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25285" xr:uid="{D64ECC44-11A0-4E89-89A9-9AD6F17D2CA4}"/>
    <cellStyle name="Comma 4 2 2 2 3 5 2 2 3" xfId="33731" xr:uid="{919490B0-9232-4967-BC04-28DADC8F9432}"/>
    <cellStyle name="Comma 4 2 2 2 3 5 2 2 4" xfId="16844" xr:uid="{0867010F-99DA-4310-9D2F-66FF95FF03B5}"/>
    <cellStyle name="Comma 4 2 2 2 3 5 2 3" xfId="21067" xr:uid="{44422F1D-F776-41F0-8CED-2A490381C0C4}"/>
    <cellStyle name="Comma 4 2 2 2 3 5 2 4" xfId="29514" xr:uid="{2FA2E08A-DB18-4AC6-87B9-FADAEC1F4BD2}"/>
    <cellStyle name="Comma 4 2 2 2 3 5 2 5" xfId="12626" xr:uid="{69698FB5-1401-42F1-86CD-7E0D5F8B4BDE}"/>
    <cellStyle name="Comma 4 2 2 2 3 5 3" xfId="6257" xr:uid="{00000000-0005-0000-0000-0000E2070000}"/>
    <cellStyle name="Comma 4 2 2 2 3 5 3 2" xfId="23140" xr:uid="{7C17E43A-736B-47B4-9AEF-7164481F192C}"/>
    <cellStyle name="Comma 4 2 2 2 3 5 3 3" xfId="31586" xr:uid="{96E256AB-D885-4C7E-9C82-8501FA4F400B}"/>
    <cellStyle name="Comma 4 2 2 2 3 5 3 4" xfId="14699" xr:uid="{4A809B95-D741-4C7B-9426-9FB912BC7E4C}"/>
    <cellStyle name="Comma 4 2 2 2 3 5 4" xfId="18922" xr:uid="{6D4A24FF-53B9-406D-9EF6-1D32B86B41D2}"/>
    <cellStyle name="Comma 4 2 2 2 3 5 5" xfId="27367" xr:uid="{82DA09D3-D5DE-4887-80CC-078791448F36}"/>
    <cellStyle name="Comma 4 2 2 2 3 5 6" xfId="10481" xr:uid="{637AA846-62EC-44E7-9EC5-978BE06E506A}"/>
    <cellStyle name="Comma 4 2 2 2 3 6" xfId="2385" xr:uid="{00000000-0005-0000-0000-0000E3070000}"/>
    <cellStyle name="Comma 4 2 2 2 3 6 2" xfId="6670" xr:uid="{00000000-0005-0000-0000-0000E4070000}"/>
    <cellStyle name="Comma 4 2 2 2 3 6 2 2" xfId="23553" xr:uid="{557FF696-00B6-4F12-8C73-FF0EEF4A629B}"/>
    <cellStyle name="Comma 4 2 2 2 3 6 2 3" xfId="31999" xr:uid="{A2D8C981-2B7D-4DC3-917A-08C3F3FC17EE}"/>
    <cellStyle name="Comma 4 2 2 2 3 6 2 4" xfId="15112" xr:uid="{FA77B51D-031E-4A93-9AD0-88B65B86E42E}"/>
    <cellStyle name="Comma 4 2 2 2 3 6 3" xfId="19335" xr:uid="{35CCAFEC-E52E-400A-84FF-8CB34570CF4F}"/>
    <cellStyle name="Comma 4 2 2 2 3 6 4" xfId="27780" xr:uid="{7DCCE268-36EA-439F-99FD-3C93DE60CCF5}"/>
    <cellStyle name="Comma 4 2 2 2 3 6 5" xfId="10894" xr:uid="{EFCBFB9E-75EB-4EB4-9DE8-C8C2130261B1}"/>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23870" xr:uid="{E251C3AA-69EB-4254-8FA3-FC22B32247BA}"/>
    <cellStyle name="Comma 4 2 2 2 3 8 2 3" xfId="32316" xr:uid="{2D9BC879-BAA5-46AA-9D22-07C7FE96E0E4}"/>
    <cellStyle name="Comma 4 2 2 2 3 8 2 4" xfId="15429" xr:uid="{C416B0BA-5597-4EF1-8657-B89FA5501980}"/>
    <cellStyle name="Comma 4 2 2 2 3 8 3" xfId="19652" xr:uid="{780C77D6-4160-4EB4-9B37-175138EADB03}"/>
    <cellStyle name="Comma 4 2 2 2 3 8 4" xfId="28099" xr:uid="{9E2DB673-376C-425B-AC2C-6765527D6594}"/>
    <cellStyle name="Comma 4 2 2 2 3 8 5" xfId="11211" xr:uid="{E42FCDA5-C26A-46FA-8559-C72C07760A23}"/>
    <cellStyle name="Comma 4 2 2 2 3 9" xfId="4604" xr:uid="{00000000-0005-0000-0000-0000E8070000}"/>
    <cellStyle name="Comma 4 2 2 2 3 9 2" xfId="21487" xr:uid="{504F73C8-AA5A-498E-A651-F8619B2170C2}"/>
    <cellStyle name="Comma 4 2 2 2 3 9 3" xfId="29933" xr:uid="{ECE18FA7-C053-414A-B8E3-380B9BF076A3}"/>
    <cellStyle name="Comma 4 2 2 2 3 9 4" xfId="13046" xr:uid="{3F459C9A-34FD-4683-9D8B-E00F4DC887AB}"/>
    <cellStyle name="Comma 4 2 2 2 4" xfId="666" xr:uid="{00000000-0005-0000-0000-0000E9070000}"/>
    <cellStyle name="Comma 4 2 2 2 4 2" xfId="2937" xr:uid="{00000000-0005-0000-0000-0000EA070000}"/>
    <cellStyle name="Comma 4 2 2 2 4 2 2" xfId="7160" xr:uid="{00000000-0005-0000-0000-0000EB070000}"/>
    <cellStyle name="Comma 4 2 2 2 4 2 2 2" xfId="24043" xr:uid="{502F594C-C1EF-4153-88F9-FA4A395B22B9}"/>
    <cellStyle name="Comma 4 2 2 2 4 2 2 3" xfId="32489" xr:uid="{78C3B2C3-CE96-4375-AB62-C81ABB4A9B90}"/>
    <cellStyle name="Comma 4 2 2 2 4 2 2 4" xfId="15602" xr:uid="{6B2DFFA4-6A8A-4145-9343-EE290BCA9A0A}"/>
    <cellStyle name="Comma 4 2 2 2 4 2 3" xfId="19825" xr:uid="{DB818902-1B52-4482-AF13-028BF638ABC6}"/>
    <cellStyle name="Comma 4 2 2 2 4 2 4" xfId="28272" xr:uid="{BD3796DA-6CB2-4517-A483-62D3E005571F}"/>
    <cellStyle name="Comma 4 2 2 2 4 2 5" xfId="11384" xr:uid="{CB8EADA6-FDAB-4E16-A5A4-CC285BB465D2}"/>
    <cellStyle name="Comma 4 2 2 2 4 3" xfId="5015" xr:uid="{00000000-0005-0000-0000-0000EC070000}"/>
    <cellStyle name="Comma 4 2 2 2 4 3 2" xfId="21898" xr:uid="{756B4425-8156-45DB-B925-423037F22CD8}"/>
    <cellStyle name="Comma 4 2 2 2 4 3 3" xfId="30344" xr:uid="{54763E82-56D7-4B48-87C6-A20F33D00D27}"/>
    <cellStyle name="Comma 4 2 2 2 4 3 4" xfId="13457" xr:uid="{3896A067-49FC-4111-8DF2-82C78CE5961A}"/>
    <cellStyle name="Comma 4 2 2 2 4 4" xfId="17680" xr:uid="{C309D23A-FACD-4CB0-A1B3-E4AAB9B23AD0}"/>
    <cellStyle name="Comma 4 2 2 2 4 5" xfId="26125" xr:uid="{A364324E-8BAA-43F2-B118-60FF89D44717}"/>
    <cellStyle name="Comma 4 2 2 2 4 6" xfId="9239" xr:uid="{6276DF58-AA47-4A78-B685-99C4E8DAA4FC}"/>
    <cellStyle name="Comma 4 2 2 2 5" xfId="1119" xr:uid="{00000000-0005-0000-0000-0000ED070000}"/>
    <cellStyle name="Comma 4 2 2 2 5 2" xfId="3350" xr:uid="{00000000-0005-0000-0000-0000EE070000}"/>
    <cellStyle name="Comma 4 2 2 2 5 2 2" xfId="7573" xr:uid="{00000000-0005-0000-0000-0000EF070000}"/>
    <cellStyle name="Comma 4 2 2 2 5 2 2 2" xfId="24456" xr:uid="{B3403743-804C-479A-AD2D-BA9C7AF4C4D4}"/>
    <cellStyle name="Comma 4 2 2 2 5 2 2 3" xfId="32902" xr:uid="{4A3EED5A-18AD-45ED-BBE6-000731AD85EE}"/>
    <cellStyle name="Comma 4 2 2 2 5 2 2 4" xfId="16015" xr:uid="{4E81A212-5EC4-46B7-8D0C-2323B12E50C5}"/>
    <cellStyle name="Comma 4 2 2 2 5 2 3" xfId="20238" xr:uid="{FA640F7B-4428-4C42-8D13-1BA24C8C536B}"/>
    <cellStyle name="Comma 4 2 2 2 5 2 4" xfId="28685" xr:uid="{434CE4DA-43E6-433F-B7F1-93C4165373CA}"/>
    <cellStyle name="Comma 4 2 2 2 5 2 5" xfId="11797" xr:uid="{BE6F4D3B-8C63-496A-AE4E-D89E7FC5DF92}"/>
    <cellStyle name="Comma 4 2 2 2 5 3" xfId="5428" xr:uid="{00000000-0005-0000-0000-0000F0070000}"/>
    <cellStyle name="Comma 4 2 2 2 5 3 2" xfId="22311" xr:uid="{744458DF-1260-4519-B106-3A8317BE896A}"/>
    <cellStyle name="Comma 4 2 2 2 5 3 3" xfId="30757" xr:uid="{E4D54028-6F6C-4572-A9B6-FFB0D4272252}"/>
    <cellStyle name="Comma 4 2 2 2 5 3 4" xfId="13870" xr:uid="{84D08C42-6CA3-414A-BD3F-83ACF943AD73}"/>
    <cellStyle name="Comma 4 2 2 2 5 4" xfId="18093" xr:uid="{266DB4A9-523B-4236-A0DA-3169190E7920}"/>
    <cellStyle name="Comma 4 2 2 2 5 5" xfId="26538" xr:uid="{9DD15F2E-8E3A-43AE-A1BF-7DD31CF58098}"/>
    <cellStyle name="Comma 4 2 2 2 5 6" xfId="9652" xr:uid="{A48B7147-DDEB-4EF1-86BF-6A3287CDB3C7}"/>
    <cellStyle name="Comma 4 2 2 2 6" xfId="1533" xr:uid="{00000000-0005-0000-0000-0000F1070000}"/>
    <cellStyle name="Comma 4 2 2 2 6 2" xfId="3763" xr:uid="{00000000-0005-0000-0000-0000F2070000}"/>
    <cellStyle name="Comma 4 2 2 2 6 2 2" xfId="7986" xr:uid="{00000000-0005-0000-0000-0000F3070000}"/>
    <cellStyle name="Comma 4 2 2 2 6 2 2 2" xfId="24869" xr:uid="{03081FAB-C3A4-4270-9923-504622A61676}"/>
    <cellStyle name="Comma 4 2 2 2 6 2 2 3" xfId="33315" xr:uid="{BF6C1159-0B9E-457E-9625-52713C0D202E}"/>
    <cellStyle name="Comma 4 2 2 2 6 2 2 4" xfId="16428" xr:uid="{15E33B7F-1710-445E-A027-67CC061C0A61}"/>
    <cellStyle name="Comma 4 2 2 2 6 2 3" xfId="20651" xr:uid="{70996403-A4CB-4431-B57C-6036F758353D}"/>
    <cellStyle name="Comma 4 2 2 2 6 2 4" xfId="29098" xr:uid="{9BB680AE-5183-4E84-8038-101D5E7248E1}"/>
    <cellStyle name="Comma 4 2 2 2 6 2 5" xfId="12210" xr:uid="{8B518BA9-6A55-405A-83FD-F843EA42C624}"/>
    <cellStyle name="Comma 4 2 2 2 6 3" xfId="5841" xr:uid="{00000000-0005-0000-0000-0000F4070000}"/>
    <cellStyle name="Comma 4 2 2 2 6 3 2" xfId="22724" xr:uid="{350EB81C-D1CE-437B-876A-B80B53D31464}"/>
    <cellStyle name="Comma 4 2 2 2 6 3 3" xfId="31170" xr:uid="{1993489E-F238-4648-AD4C-D49CCF618661}"/>
    <cellStyle name="Comma 4 2 2 2 6 3 4" xfId="14283" xr:uid="{E3408D05-5DBC-4832-82E6-D5FC0DBFEC52}"/>
    <cellStyle name="Comma 4 2 2 2 6 4" xfId="18506" xr:uid="{690F33F1-5AE3-43A5-A831-F40532C5708B}"/>
    <cellStyle name="Comma 4 2 2 2 6 5" xfId="26951" xr:uid="{601679CE-4F13-4D4A-A6DA-DDDE9314C6AB}"/>
    <cellStyle name="Comma 4 2 2 2 6 6" xfId="10065" xr:uid="{F9CB3A68-D5EE-41A8-B9C4-E968A68CEDBB}"/>
    <cellStyle name="Comma 4 2 2 2 7" xfId="1947" xr:uid="{00000000-0005-0000-0000-0000F5070000}"/>
    <cellStyle name="Comma 4 2 2 2 7 2" xfId="4176" xr:uid="{00000000-0005-0000-0000-0000F6070000}"/>
    <cellStyle name="Comma 4 2 2 2 7 2 2" xfId="8399" xr:uid="{00000000-0005-0000-0000-0000F7070000}"/>
    <cellStyle name="Comma 4 2 2 2 7 2 2 2" xfId="25282" xr:uid="{B1284442-9C25-49B7-97B2-A31A91D36A4F}"/>
    <cellStyle name="Comma 4 2 2 2 7 2 2 3" xfId="33728" xr:uid="{40D44DE1-6692-4AE3-8438-BF6E94652BC5}"/>
    <cellStyle name="Comma 4 2 2 2 7 2 2 4" xfId="16841" xr:uid="{C0DAEF27-CFE4-430B-B2D6-629CA6A928C3}"/>
    <cellStyle name="Comma 4 2 2 2 7 2 3" xfId="21064" xr:uid="{BFC96E38-BF87-4A05-9382-EEBF776FA88F}"/>
    <cellStyle name="Comma 4 2 2 2 7 2 4" xfId="29511" xr:uid="{1093D714-33D0-4D82-860D-50C140F9904F}"/>
    <cellStyle name="Comma 4 2 2 2 7 2 5" xfId="12623" xr:uid="{A0F09D38-869C-467B-9B21-B254B9301030}"/>
    <cellStyle name="Comma 4 2 2 2 7 3" xfId="6254" xr:uid="{00000000-0005-0000-0000-0000F8070000}"/>
    <cellStyle name="Comma 4 2 2 2 7 3 2" xfId="23137" xr:uid="{FA5C82AD-3B03-4E48-92E8-A1DBC743A382}"/>
    <cellStyle name="Comma 4 2 2 2 7 3 3" xfId="31583" xr:uid="{AEDA7486-00E3-415C-9BCF-5E5F05EDBC38}"/>
    <cellStyle name="Comma 4 2 2 2 7 3 4" xfId="14696" xr:uid="{2AEB6DB2-754B-40CF-AD1C-69495012E874}"/>
    <cellStyle name="Comma 4 2 2 2 7 4" xfId="18919" xr:uid="{B9DCDB49-F60C-4431-9E2E-AF46CD0B3433}"/>
    <cellStyle name="Comma 4 2 2 2 7 5" xfId="27364" xr:uid="{93443F59-A309-4BE5-B7EB-4964730DF2B6}"/>
    <cellStyle name="Comma 4 2 2 2 7 6" xfId="10478" xr:uid="{2EDFD627-8B02-4C43-928E-C4796966148C}"/>
    <cellStyle name="Comma 4 2 2 2 8" xfId="2382" xr:uid="{00000000-0005-0000-0000-0000F9070000}"/>
    <cellStyle name="Comma 4 2 2 2 8 2" xfId="6667" xr:uid="{00000000-0005-0000-0000-0000FA070000}"/>
    <cellStyle name="Comma 4 2 2 2 8 2 2" xfId="23550" xr:uid="{0F83A5A4-46DA-40B3-9A52-D55932503C97}"/>
    <cellStyle name="Comma 4 2 2 2 8 2 3" xfId="31996" xr:uid="{241129B4-CAFA-41AB-AC89-265B2FAA68A7}"/>
    <cellStyle name="Comma 4 2 2 2 8 2 4" xfId="15109" xr:uid="{664E75AF-1167-4822-9D4F-9C4BCE19E40F}"/>
    <cellStyle name="Comma 4 2 2 2 8 3" xfId="19332" xr:uid="{5C3C60F4-9966-4FA1-BBE1-7A35DF06AA51}"/>
    <cellStyle name="Comma 4 2 2 2 8 4" xfId="27777" xr:uid="{F82B6381-2A37-4FEC-93E2-7E4B776F8887}"/>
    <cellStyle name="Comma 4 2 2 2 8 5" xfId="10891" xr:uid="{D5629569-D68E-4963-ADDF-700522D93490}"/>
    <cellStyle name="Comma 4 2 2 2 9" xfId="2381" xr:uid="{00000000-0005-0000-0000-0000FB070000}"/>
    <cellStyle name="Comma 4 2 2 3" xfId="132" xr:uid="{00000000-0005-0000-0000-0000FC070000}"/>
    <cellStyle name="Comma 4 2 2 3 10" xfId="4605" xr:uid="{00000000-0005-0000-0000-0000FD070000}"/>
    <cellStyle name="Comma 4 2 2 3 10 2" xfId="21488" xr:uid="{BCBE288B-6FE7-48E7-9AAA-39113F265267}"/>
    <cellStyle name="Comma 4 2 2 3 10 3" xfId="29934" xr:uid="{E0536F28-B337-44A1-B3B2-C3CE646A67CD}"/>
    <cellStyle name="Comma 4 2 2 3 10 4" xfId="13047" xr:uid="{452C4A77-E832-4CAE-9C94-A71128EE4805}"/>
    <cellStyle name="Comma 4 2 2 3 11" xfId="17270" xr:uid="{7E5AD29E-51C5-4A9F-B4A5-71A9DE8B10C7}"/>
    <cellStyle name="Comma 4 2 2 3 12" xfId="25713" xr:uid="{545B709A-D39A-4605-AF63-C6984E05E4FF}"/>
    <cellStyle name="Comma 4 2 2 3 13" xfId="8829" xr:uid="{D5E25CB9-32F0-4E25-9A19-5093CF8715B1}"/>
    <cellStyle name="Comma 4 2 2 3 2" xfId="133" xr:uid="{00000000-0005-0000-0000-0000FE070000}"/>
    <cellStyle name="Comma 4 2 2 3 2 10" xfId="17271" xr:uid="{DDFE8BBB-0F2A-40E2-B59C-03CBFAC06B2F}"/>
    <cellStyle name="Comma 4 2 2 3 2 11" xfId="25714" xr:uid="{39979498-0305-4CC1-BECD-56437E6DB8AC}"/>
    <cellStyle name="Comma 4 2 2 3 2 12" xfId="8830" xr:uid="{EC71819B-BF68-45EF-A8FB-7A4519F24C7D}"/>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24048" xr:uid="{633809E3-6548-4ADB-BA24-E1CA79E00885}"/>
    <cellStyle name="Comma 4 2 2 3 2 2 2 2 3" xfId="32494" xr:uid="{85264E72-F605-4ABA-914D-511B1799A49F}"/>
    <cellStyle name="Comma 4 2 2 3 2 2 2 2 4" xfId="15607" xr:uid="{E83BF3D7-7EFB-475A-BE23-A871088176C1}"/>
    <cellStyle name="Comma 4 2 2 3 2 2 2 3" xfId="19830" xr:uid="{B4F4D5B9-1C66-4968-AE10-CE86A502D5FB}"/>
    <cellStyle name="Comma 4 2 2 3 2 2 2 4" xfId="28277" xr:uid="{54F3FD2E-302E-472E-B149-96B4567E1CA3}"/>
    <cellStyle name="Comma 4 2 2 3 2 2 2 5" xfId="11389" xr:uid="{A1A72AD7-0EEC-4A69-93B9-683D1AF2AAD8}"/>
    <cellStyle name="Comma 4 2 2 3 2 2 3" xfId="5020" xr:uid="{00000000-0005-0000-0000-000002080000}"/>
    <cellStyle name="Comma 4 2 2 3 2 2 3 2" xfId="21903" xr:uid="{0740A562-039F-411F-B660-E5F486DD4CDF}"/>
    <cellStyle name="Comma 4 2 2 3 2 2 3 3" xfId="30349" xr:uid="{7C2F4376-5948-4EB4-9AED-8630406A23B8}"/>
    <cellStyle name="Comma 4 2 2 3 2 2 3 4" xfId="13462" xr:uid="{B3888757-9DC5-4277-BBF3-3670DB1F6162}"/>
    <cellStyle name="Comma 4 2 2 3 2 2 4" xfId="17685" xr:uid="{5CF2D077-510A-47FA-8106-6BBA85A377BF}"/>
    <cellStyle name="Comma 4 2 2 3 2 2 5" xfId="26130" xr:uid="{820B1288-52F7-40A8-95E9-561CF38EFDE5}"/>
    <cellStyle name="Comma 4 2 2 3 2 2 6" xfId="9244" xr:uid="{DFF145C0-0730-4316-BAB6-D4BEECC9E474}"/>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24461" xr:uid="{688C1C93-8130-4839-8B97-DB5D4194B1AD}"/>
    <cellStyle name="Comma 4 2 2 3 2 3 2 2 3" xfId="32907" xr:uid="{07DCE943-374E-4C82-AF2F-512CFCE3434E}"/>
    <cellStyle name="Comma 4 2 2 3 2 3 2 2 4" xfId="16020" xr:uid="{695C1A2C-C23D-4978-841A-5CA3BE0E5C99}"/>
    <cellStyle name="Comma 4 2 2 3 2 3 2 3" xfId="20243" xr:uid="{EDFA1B70-6518-4D83-9471-9E4BEF4EAC41}"/>
    <cellStyle name="Comma 4 2 2 3 2 3 2 4" xfId="28690" xr:uid="{EF5C3582-0287-4E93-8E1C-2284D0CFC2E3}"/>
    <cellStyle name="Comma 4 2 2 3 2 3 2 5" xfId="11802" xr:uid="{DDE1D7EE-B2DA-467A-BA97-3E0D95E9A980}"/>
    <cellStyle name="Comma 4 2 2 3 2 3 3" xfId="5433" xr:uid="{00000000-0005-0000-0000-000006080000}"/>
    <cellStyle name="Comma 4 2 2 3 2 3 3 2" xfId="22316" xr:uid="{54AF0FE3-EA52-4323-BE58-5C091A4FF7BC}"/>
    <cellStyle name="Comma 4 2 2 3 2 3 3 3" xfId="30762" xr:uid="{6C08855E-77BC-4CFF-AD99-CB8829ADB0ED}"/>
    <cellStyle name="Comma 4 2 2 3 2 3 3 4" xfId="13875" xr:uid="{E896EC22-8360-4DB9-ADB8-FF5F17A445D2}"/>
    <cellStyle name="Comma 4 2 2 3 2 3 4" xfId="18098" xr:uid="{3B7C79B1-0EF0-47DB-9535-C83DA1483EF1}"/>
    <cellStyle name="Comma 4 2 2 3 2 3 5" xfId="26543" xr:uid="{4B6EFFF2-355A-4610-BEBB-D52510A50B09}"/>
    <cellStyle name="Comma 4 2 2 3 2 3 6" xfId="9657" xr:uid="{1235A392-1112-43C4-B8ED-403B410267EE}"/>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24874" xr:uid="{07666CB5-F7E0-4C51-8E07-43C489C6EA24}"/>
    <cellStyle name="Comma 4 2 2 3 2 4 2 2 3" xfId="33320" xr:uid="{DC15EF48-D370-4A25-B41F-30758E1E79F2}"/>
    <cellStyle name="Comma 4 2 2 3 2 4 2 2 4" xfId="16433" xr:uid="{2FCE01D4-0585-43AA-9671-0FD3B393A044}"/>
    <cellStyle name="Comma 4 2 2 3 2 4 2 3" xfId="20656" xr:uid="{70CF005F-C533-4A3C-A33B-E6AF4A16E248}"/>
    <cellStyle name="Comma 4 2 2 3 2 4 2 4" xfId="29103" xr:uid="{64963AD9-3F48-47B2-B60C-0E26CFE2630A}"/>
    <cellStyle name="Comma 4 2 2 3 2 4 2 5" xfId="12215" xr:uid="{14340C30-BB22-4930-870A-21F8D37D7C1B}"/>
    <cellStyle name="Comma 4 2 2 3 2 4 3" xfId="5846" xr:uid="{00000000-0005-0000-0000-00000A080000}"/>
    <cellStyle name="Comma 4 2 2 3 2 4 3 2" xfId="22729" xr:uid="{77B573B1-A735-481B-B79F-65D47AAFE7E6}"/>
    <cellStyle name="Comma 4 2 2 3 2 4 3 3" xfId="31175" xr:uid="{6C086884-AE78-465E-98D5-A1EEF0D3D18A}"/>
    <cellStyle name="Comma 4 2 2 3 2 4 3 4" xfId="14288" xr:uid="{8E4D577E-E804-438C-8AAF-2D972D5D106A}"/>
    <cellStyle name="Comma 4 2 2 3 2 4 4" xfId="18511" xr:uid="{CA059AB1-0FC4-46FC-B0FE-95BE2C3283D7}"/>
    <cellStyle name="Comma 4 2 2 3 2 4 5" xfId="26956" xr:uid="{8D31CD23-3AB2-4590-9EB3-0921692DD244}"/>
    <cellStyle name="Comma 4 2 2 3 2 4 6" xfId="10070" xr:uid="{C95E1FEC-FF7C-4C19-AE13-E394D8B501A1}"/>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25287" xr:uid="{7B9806AA-7772-4C25-ABB9-27D07F7039B2}"/>
    <cellStyle name="Comma 4 2 2 3 2 5 2 2 3" xfId="33733" xr:uid="{7A90DA31-A80C-4DDA-9D75-D55D6D3AF532}"/>
    <cellStyle name="Comma 4 2 2 3 2 5 2 2 4" xfId="16846" xr:uid="{E825794F-E4E6-4D9A-B3B8-AA0331DCF734}"/>
    <cellStyle name="Comma 4 2 2 3 2 5 2 3" xfId="21069" xr:uid="{4EB25570-8188-4094-9525-70A5A53521B5}"/>
    <cellStyle name="Comma 4 2 2 3 2 5 2 4" xfId="29516" xr:uid="{81924E02-280D-455B-9C4C-DA220A9790A7}"/>
    <cellStyle name="Comma 4 2 2 3 2 5 2 5" xfId="12628" xr:uid="{E67452E8-92FF-4D44-947D-FAF9F8E391BC}"/>
    <cellStyle name="Comma 4 2 2 3 2 5 3" xfId="6259" xr:uid="{00000000-0005-0000-0000-00000E080000}"/>
    <cellStyle name="Comma 4 2 2 3 2 5 3 2" xfId="23142" xr:uid="{898D1BD4-3697-4FE1-87EF-2D67828B178F}"/>
    <cellStyle name="Comma 4 2 2 3 2 5 3 3" xfId="31588" xr:uid="{B7CB6689-87E5-4033-BE00-1EB3B9C202DA}"/>
    <cellStyle name="Comma 4 2 2 3 2 5 3 4" xfId="14701" xr:uid="{FDAB6443-83B7-46B9-B683-988405D93775}"/>
    <cellStyle name="Comma 4 2 2 3 2 5 4" xfId="18924" xr:uid="{3B23885E-1253-4A0C-B1B2-2E770779704B}"/>
    <cellStyle name="Comma 4 2 2 3 2 5 5" xfId="27369" xr:uid="{B962C652-BBC8-45E7-96F2-9F6E51B5B4F0}"/>
    <cellStyle name="Comma 4 2 2 3 2 5 6" xfId="10483" xr:uid="{62E6463F-CD03-40C3-9052-864D21457559}"/>
    <cellStyle name="Comma 4 2 2 3 2 6" xfId="2387" xr:uid="{00000000-0005-0000-0000-00000F080000}"/>
    <cellStyle name="Comma 4 2 2 3 2 6 2" xfId="6672" xr:uid="{00000000-0005-0000-0000-000010080000}"/>
    <cellStyle name="Comma 4 2 2 3 2 6 2 2" xfId="23555" xr:uid="{7EACB90F-ECB1-4E13-9C1E-53B747083783}"/>
    <cellStyle name="Comma 4 2 2 3 2 6 2 3" xfId="32001" xr:uid="{33E389D7-F7C4-405E-9C02-0F6B2EAAEDB5}"/>
    <cellStyle name="Comma 4 2 2 3 2 6 2 4" xfId="15114" xr:uid="{3FB48034-A09E-427A-B900-9DF2187D5C03}"/>
    <cellStyle name="Comma 4 2 2 3 2 6 3" xfId="19337" xr:uid="{B9E9DBD3-92AA-4F98-8F4A-109045422F45}"/>
    <cellStyle name="Comma 4 2 2 3 2 6 4" xfId="27782" xr:uid="{1A5106F4-23C1-4571-9056-60534D1636B1}"/>
    <cellStyle name="Comma 4 2 2 3 2 6 5" xfId="10896" xr:uid="{E1D84928-D274-47DA-A25C-8A58D96FB09D}"/>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23872" xr:uid="{2EE7880F-FB80-48F9-BBAF-0DA3535EB40A}"/>
    <cellStyle name="Comma 4 2 2 3 2 8 2 3" xfId="32318" xr:uid="{1C482DD0-F814-4BCB-96E9-44AF4F216C7D}"/>
    <cellStyle name="Comma 4 2 2 3 2 8 2 4" xfId="15431" xr:uid="{88E3E205-AF3C-40BC-9111-E515F1521C2A}"/>
    <cellStyle name="Comma 4 2 2 3 2 8 3" xfId="19654" xr:uid="{852DCF8D-99ED-4034-BAED-99504076312F}"/>
    <cellStyle name="Comma 4 2 2 3 2 8 4" xfId="28101" xr:uid="{63592A7A-B0A5-4722-A454-A108BBB2288F}"/>
    <cellStyle name="Comma 4 2 2 3 2 8 5" xfId="11213" xr:uid="{8CD2C260-5883-4CCB-8C65-5648B38AB629}"/>
    <cellStyle name="Comma 4 2 2 3 2 9" xfId="4606" xr:uid="{00000000-0005-0000-0000-000014080000}"/>
    <cellStyle name="Comma 4 2 2 3 2 9 2" xfId="21489" xr:uid="{EEF9BAF2-B844-4198-80F0-9182B9F2D13B}"/>
    <cellStyle name="Comma 4 2 2 3 2 9 3" xfId="29935" xr:uid="{7382A336-54C4-4C22-98AA-C765F443F800}"/>
    <cellStyle name="Comma 4 2 2 3 2 9 4" xfId="13048" xr:uid="{61303FFC-7571-4597-9030-3B29BEF9929F}"/>
    <cellStyle name="Comma 4 2 2 3 3" xfId="670" xr:uid="{00000000-0005-0000-0000-000015080000}"/>
    <cellStyle name="Comma 4 2 2 3 3 2" xfId="2941" xr:uid="{00000000-0005-0000-0000-000016080000}"/>
    <cellStyle name="Comma 4 2 2 3 3 2 2" xfId="7164" xr:uid="{00000000-0005-0000-0000-000017080000}"/>
    <cellStyle name="Comma 4 2 2 3 3 2 2 2" xfId="24047" xr:uid="{B83E4651-144F-4FAF-8FE4-DD33406F81F5}"/>
    <cellStyle name="Comma 4 2 2 3 3 2 2 3" xfId="32493" xr:uid="{BA17990C-2C46-4798-8038-2A7EB5608D59}"/>
    <cellStyle name="Comma 4 2 2 3 3 2 2 4" xfId="15606" xr:uid="{D0351F46-1491-4458-A141-A6E756B4B90E}"/>
    <cellStyle name="Comma 4 2 2 3 3 2 3" xfId="19829" xr:uid="{4D282F4D-9ECB-4EFA-B092-09B8F7F785B9}"/>
    <cellStyle name="Comma 4 2 2 3 3 2 4" xfId="28276" xr:uid="{FF77922B-67F8-403E-8D87-4C1D8A8408CD}"/>
    <cellStyle name="Comma 4 2 2 3 3 2 5" xfId="11388" xr:uid="{30D8DDB0-D256-4D98-B326-FA3A42E7F9DC}"/>
    <cellStyle name="Comma 4 2 2 3 3 3" xfId="5019" xr:uid="{00000000-0005-0000-0000-000018080000}"/>
    <cellStyle name="Comma 4 2 2 3 3 3 2" xfId="21902" xr:uid="{8C6253ED-573D-43EF-8B8B-F9F12806F637}"/>
    <cellStyle name="Comma 4 2 2 3 3 3 3" xfId="30348" xr:uid="{7808D08B-5087-49E0-95BC-A9E774A36EE6}"/>
    <cellStyle name="Comma 4 2 2 3 3 3 4" xfId="13461" xr:uid="{209E2F9A-89E9-4183-9AB7-0754CA18CA31}"/>
    <cellStyle name="Comma 4 2 2 3 3 4" xfId="17684" xr:uid="{C3A72344-C3BE-4EC1-B6BD-AAE496630E88}"/>
    <cellStyle name="Comma 4 2 2 3 3 5" xfId="26129" xr:uid="{73036D2B-1E96-46E4-9D21-7BD1C8ABE75F}"/>
    <cellStyle name="Comma 4 2 2 3 3 6" xfId="9243" xr:uid="{E46A6EA9-F024-4090-AFF2-F98D45310E3F}"/>
    <cellStyle name="Comma 4 2 2 3 4" xfId="1123" xr:uid="{00000000-0005-0000-0000-000019080000}"/>
    <cellStyle name="Comma 4 2 2 3 4 2" xfId="3354" xr:uid="{00000000-0005-0000-0000-00001A080000}"/>
    <cellStyle name="Comma 4 2 2 3 4 2 2" xfId="7577" xr:uid="{00000000-0005-0000-0000-00001B080000}"/>
    <cellStyle name="Comma 4 2 2 3 4 2 2 2" xfId="24460" xr:uid="{AA15FDA6-1AB4-4E76-8963-1B7F7DD019BD}"/>
    <cellStyle name="Comma 4 2 2 3 4 2 2 3" xfId="32906" xr:uid="{4706BAC7-3C43-4F2E-9C33-800136597ED0}"/>
    <cellStyle name="Comma 4 2 2 3 4 2 2 4" xfId="16019" xr:uid="{9686CE91-74EA-40BB-8CC0-C14B966F0A48}"/>
    <cellStyle name="Comma 4 2 2 3 4 2 3" xfId="20242" xr:uid="{1E00F7A3-9B74-4E6B-9C27-1C5B2A8A5955}"/>
    <cellStyle name="Comma 4 2 2 3 4 2 4" xfId="28689" xr:uid="{2DC298C7-B29D-457F-81FE-AB2419FD97BB}"/>
    <cellStyle name="Comma 4 2 2 3 4 2 5" xfId="11801" xr:uid="{0E9E6C95-2038-4C2E-81CD-39A15854ED9E}"/>
    <cellStyle name="Comma 4 2 2 3 4 3" xfId="5432" xr:uid="{00000000-0005-0000-0000-00001C080000}"/>
    <cellStyle name="Comma 4 2 2 3 4 3 2" xfId="22315" xr:uid="{85A32B4F-1D46-4863-995D-76704FA2E80D}"/>
    <cellStyle name="Comma 4 2 2 3 4 3 3" xfId="30761" xr:uid="{752A21EE-9456-40E6-A98D-A4AB82C40C53}"/>
    <cellStyle name="Comma 4 2 2 3 4 3 4" xfId="13874" xr:uid="{C61EE59B-D740-4E01-8383-BD625240A085}"/>
    <cellStyle name="Comma 4 2 2 3 4 4" xfId="18097" xr:uid="{A326E2D9-116C-4B48-9036-C68636AF2E27}"/>
    <cellStyle name="Comma 4 2 2 3 4 5" xfId="26542" xr:uid="{8BAC9244-ECD6-4A15-B279-9D533DABB281}"/>
    <cellStyle name="Comma 4 2 2 3 4 6" xfId="9656" xr:uid="{EB8B8E8B-1857-42D2-9290-7DA7CACFBBEE}"/>
    <cellStyle name="Comma 4 2 2 3 5" xfId="1537" xr:uid="{00000000-0005-0000-0000-00001D080000}"/>
    <cellStyle name="Comma 4 2 2 3 5 2" xfId="3767" xr:uid="{00000000-0005-0000-0000-00001E080000}"/>
    <cellStyle name="Comma 4 2 2 3 5 2 2" xfId="7990" xr:uid="{00000000-0005-0000-0000-00001F080000}"/>
    <cellStyle name="Comma 4 2 2 3 5 2 2 2" xfId="24873" xr:uid="{778061B4-D0F4-4AF2-B645-A78EC073D572}"/>
    <cellStyle name="Comma 4 2 2 3 5 2 2 3" xfId="33319" xr:uid="{6F2F05E3-A263-469C-B90B-48C6B52B6AF3}"/>
    <cellStyle name="Comma 4 2 2 3 5 2 2 4" xfId="16432" xr:uid="{E2372A9D-C3EF-415A-9FEF-F7F60C4A964D}"/>
    <cellStyle name="Comma 4 2 2 3 5 2 3" xfId="20655" xr:uid="{3D2D385E-D575-4C38-84C9-618332DC8B1E}"/>
    <cellStyle name="Comma 4 2 2 3 5 2 4" xfId="29102" xr:uid="{E92FDE28-EC8D-4028-995C-FF0F076474E5}"/>
    <cellStyle name="Comma 4 2 2 3 5 2 5" xfId="12214" xr:uid="{03F35EF6-70D7-46AA-821C-5AE8084A3830}"/>
    <cellStyle name="Comma 4 2 2 3 5 3" xfId="5845" xr:uid="{00000000-0005-0000-0000-000020080000}"/>
    <cellStyle name="Comma 4 2 2 3 5 3 2" xfId="22728" xr:uid="{16387B67-26B7-479D-8E32-DCC21B7A8C5E}"/>
    <cellStyle name="Comma 4 2 2 3 5 3 3" xfId="31174" xr:uid="{8E6F3DF9-BC9E-4136-B8CB-AC8A786C8C82}"/>
    <cellStyle name="Comma 4 2 2 3 5 3 4" xfId="14287" xr:uid="{829411C4-2B2F-47DD-9BC9-CB5DDB7A9C56}"/>
    <cellStyle name="Comma 4 2 2 3 5 4" xfId="18510" xr:uid="{2F44D051-2E52-4470-B65F-280ADCCE214F}"/>
    <cellStyle name="Comma 4 2 2 3 5 5" xfId="26955" xr:uid="{1A1D150A-94ED-4D6E-A475-AC200428F59C}"/>
    <cellStyle name="Comma 4 2 2 3 5 6" xfId="10069" xr:uid="{32474F32-645C-47B9-8739-C2AEC07A26F5}"/>
    <cellStyle name="Comma 4 2 2 3 6" xfId="1951" xr:uid="{00000000-0005-0000-0000-000021080000}"/>
    <cellStyle name="Comma 4 2 2 3 6 2" xfId="4180" xr:uid="{00000000-0005-0000-0000-000022080000}"/>
    <cellStyle name="Comma 4 2 2 3 6 2 2" xfId="8403" xr:uid="{00000000-0005-0000-0000-000023080000}"/>
    <cellStyle name="Comma 4 2 2 3 6 2 2 2" xfId="25286" xr:uid="{E56782EA-D5AD-4BE4-ABCB-9D5F43DD6625}"/>
    <cellStyle name="Comma 4 2 2 3 6 2 2 3" xfId="33732" xr:uid="{D1059AF1-8E6A-44BC-A2FF-A1101B03AAEB}"/>
    <cellStyle name="Comma 4 2 2 3 6 2 2 4" xfId="16845" xr:uid="{FD4AC767-68BE-402A-9034-7F9F8A49C162}"/>
    <cellStyle name="Comma 4 2 2 3 6 2 3" xfId="21068" xr:uid="{41106E3A-8DCD-4629-83B6-00D4E56617B1}"/>
    <cellStyle name="Comma 4 2 2 3 6 2 4" xfId="29515" xr:uid="{EE0D36FE-629F-4A41-9AD5-10AB28F357FA}"/>
    <cellStyle name="Comma 4 2 2 3 6 2 5" xfId="12627" xr:uid="{070FB003-CA0F-486C-855E-CB7357545661}"/>
    <cellStyle name="Comma 4 2 2 3 6 3" xfId="6258" xr:uid="{00000000-0005-0000-0000-000024080000}"/>
    <cellStyle name="Comma 4 2 2 3 6 3 2" xfId="23141" xr:uid="{398A6688-96B8-487F-A781-D117C29F86E0}"/>
    <cellStyle name="Comma 4 2 2 3 6 3 3" xfId="31587" xr:uid="{E5AC8D1F-C800-49B7-8874-A7883AA6D8E3}"/>
    <cellStyle name="Comma 4 2 2 3 6 3 4" xfId="14700" xr:uid="{30A81BC1-7331-4D7D-ABF2-F14076F2D8CA}"/>
    <cellStyle name="Comma 4 2 2 3 6 4" xfId="18923" xr:uid="{2D5498CC-03B9-4631-8098-8CFB28620461}"/>
    <cellStyle name="Comma 4 2 2 3 6 5" xfId="27368" xr:uid="{8DBA6B50-D518-4CE3-95D6-2E800AB9749A}"/>
    <cellStyle name="Comma 4 2 2 3 6 6" xfId="10482" xr:uid="{06E7DF5F-7977-4596-810C-888D931898BB}"/>
    <cellStyle name="Comma 4 2 2 3 7" xfId="2386" xr:uid="{00000000-0005-0000-0000-000025080000}"/>
    <cellStyle name="Comma 4 2 2 3 7 2" xfId="6671" xr:uid="{00000000-0005-0000-0000-000026080000}"/>
    <cellStyle name="Comma 4 2 2 3 7 2 2" xfId="23554" xr:uid="{C5980404-764C-4E49-A2CC-2FF757FF80F4}"/>
    <cellStyle name="Comma 4 2 2 3 7 2 3" xfId="32000" xr:uid="{78063F64-513A-4848-BB82-0DD24192C39B}"/>
    <cellStyle name="Comma 4 2 2 3 7 2 4" xfId="15113" xr:uid="{8BD2EA90-777A-451F-8A32-F0034E368E9B}"/>
    <cellStyle name="Comma 4 2 2 3 7 3" xfId="19336" xr:uid="{7FCDC9D3-9AE7-4CB0-AF61-D513A5EF0AE5}"/>
    <cellStyle name="Comma 4 2 2 3 7 4" xfId="27781" xr:uid="{B02EDAA7-B698-4E16-AB44-25B38A73E682}"/>
    <cellStyle name="Comma 4 2 2 3 7 5" xfId="10895" xr:uid="{4D6C510B-58C0-4F98-A1FF-6518E08E0588}"/>
    <cellStyle name="Comma 4 2 2 3 8" xfId="2377" xr:uid="{00000000-0005-0000-0000-000027080000}"/>
    <cellStyle name="Comma 4 2 2 3 9" xfId="2764" xr:uid="{00000000-0005-0000-0000-000028080000}"/>
    <cellStyle name="Comma 4 2 2 3 9 2" xfId="6988" xr:uid="{00000000-0005-0000-0000-000029080000}"/>
    <cellStyle name="Comma 4 2 2 3 9 2 2" xfId="23871" xr:uid="{38216F5C-22D2-408D-B6C3-0E6CFA877837}"/>
    <cellStyle name="Comma 4 2 2 3 9 2 3" xfId="32317" xr:uid="{E9F87025-958E-4EB3-8283-7FCEAFD6188C}"/>
    <cellStyle name="Comma 4 2 2 3 9 2 4" xfId="15430" xr:uid="{49FADEDF-AF75-4056-BDB8-0B01A6EB5DD5}"/>
    <cellStyle name="Comma 4 2 2 3 9 3" xfId="19653" xr:uid="{D24A512D-A2D9-4EAE-94AA-F6D32064F954}"/>
    <cellStyle name="Comma 4 2 2 3 9 4" xfId="28100" xr:uid="{C4743FF6-2C1F-4ED6-B236-51D770BF3853}"/>
    <cellStyle name="Comma 4 2 2 3 9 5" xfId="11212" xr:uid="{C8A21100-F2D1-440E-A6EE-DACEAC2CC915}"/>
    <cellStyle name="Comma 4 2 2 4" xfId="134" xr:uid="{00000000-0005-0000-0000-00002A080000}"/>
    <cellStyle name="Comma 4 2 2 4 10" xfId="17272" xr:uid="{F16A2109-1764-47AC-9E79-BA17CB6B7801}"/>
    <cellStyle name="Comma 4 2 2 4 11" xfId="25715" xr:uid="{3D1A85AA-5969-4A9C-B978-7D4E6A51127C}"/>
    <cellStyle name="Comma 4 2 2 4 12" xfId="8831" xr:uid="{63F6F9FB-5E95-4823-B987-106835A038F1}"/>
    <cellStyle name="Comma 4 2 2 4 2" xfId="672" xr:uid="{00000000-0005-0000-0000-00002B080000}"/>
    <cellStyle name="Comma 4 2 2 4 2 2" xfId="2943" xr:uid="{00000000-0005-0000-0000-00002C080000}"/>
    <cellStyle name="Comma 4 2 2 4 2 2 2" xfId="7166" xr:uid="{00000000-0005-0000-0000-00002D080000}"/>
    <cellStyle name="Comma 4 2 2 4 2 2 2 2" xfId="24049" xr:uid="{8AD3C8CB-FC36-4A45-8B4E-F8BF9AC4B630}"/>
    <cellStyle name="Comma 4 2 2 4 2 2 2 3" xfId="32495" xr:uid="{834AF7EC-A3F4-4B25-A0A5-F88E3FB90015}"/>
    <cellStyle name="Comma 4 2 2 4 2 2 2 4" xfId="15608" xr:uid="{71F7B6C7-DD87-451F-A82D-F4133BF55E29}"/>
    <cellStyle name="Comma 4 2 2 4 2 2 3" xfId="19831" xr:uid="{94A7046C-38A3-4448-A9A7-6136D5AE1711}"/>
    <cellStyle name="Comma 4 2 2 4 2 2 4" xfId="28278" xr:uid="{632B9413-150F-4F07-AEE7-E5330E8F521D}"/>
    <cellStyle name="Comma 4 2 2 4 2 2 5" xfId="11390" xr:uid="{373F84F2-52E5-4F30-8385-DA8EC5A59FB8}"/>
    <cellStyle name="Comma 4 2 2 4 2 3" xfId="5021" xr:uid="{00000000-0005-0000-0000-00002E080000}"/>
    <cellStyle name="Comma 4 2 2 4 2 3 2" xfId="21904" xr:uid="{73537410-E6C0-42FE-9A9F-27DBF70C2F46}"/>
    <cellStyle name="Comma 4 2 2 4 2 3 3" xfId="30350" xr:uid="{067F5B27-068C-45CB-8B8D-9902638208D6}"/>
    <cellStyle name="Comma 4 2 2 4 2 3 4" xfId="13463" xr:uid="{624AAABC-CF2D-4B7D-A03F-50B072687CA8}"/>
    <cellStyle name="Comma 4 2 2 4 2 4" xfId="17686" xr:uid="{8D4FF844-DFE3-4B31-A713-695B2CBD6204}"/>
    <cellStyle name="Comma 4 2 2 4 2 5" xfId="26131" xr:uid="{64E9BD57-6C1A-483B-AEFD-C8ADF8B1CE38}"/>
    <cellStyle name="Comma 4 2 2 4 2 6" xfId="9245" xr:uid="{96A894ED-A972-49B3-ADB4-65E9F22D0341}"/>
    <cellStyle name="Comma 4 2 2 4 3" xfId="1125" xr:uid="{00000000-0005-0000-0000-00002F080000}"/>
    <cellStyle name="Comma 4 2 2 4 3 2" xfId="3356" xr:uid="{00000000-0005-0000-0000-000030080000}"/>
    <cellStyle name="Comma 4 2 2 4 3 2 2" xfId="7579" xr:uid="{00000000-0005-0000-0000-000031080000}"/>
    <cellStyle name="Comma 4 2 2 4 3 2 2 2" xfId="24462" xr:uid="{135A2E81-F29B-4940-9924-F81CCC8303EC}"/>
    <cellStyle name="Comma 4 2 2 4 3 2 2 3" xfId="32908" xr:uid="{63CA349B-5E95-4CD3-A240-4AE2D537F489}"/>
    <cellStyle name="Comma 4 2 2 4 3 2 2 4" xfId="16021" xr:uid="{AC851FB8-A725-4359-8E3F-6746B71147BA}"/>
    <cellStyle name="Comma 4 2 2 4 3 2 3" xfId="20244" xr:uid="{6B993FDF-A779-48F0-9F92-A86386348484}"/>
    <cellStyle name="Comma 4 2 2 4 3 2 4" xfId="28691" xr:uid="{A4EFE13F-E27E-4A83-B67C-E591BE747C6E}"/>
    <cellStyle name="Comma 4 2 2 4 3 2 5" xfId="11803" xr:uid="{F076CC3A-C3CA-4682-8D48-1883E02226EA}"/>
    <cellStyle name="Comma 4 2 2 4 3 3" xfId="5434" xr:uid="{00000000-0005-0000-0000-000032080000}"/>
    <cellStyle name="Comma 4 2 2 4 3 3 2" xfId="22317" xr:uid="{BB9A7750-6679-457F-B535-972DD21B91D7}"/>
    <cellStyle name="Comma 4 2 2 4 3 3 3" xfId="30763" xr:uid="{1B0581CB-DB71-415D-8201-96EC9B190701}"/>
    <cellStyle name="Comma 4 2 2 4 3 3 4" xfId="13876" xr:uid="{19472CE6-159F-4B32-AEF2-E6496DC4E919}"/>
    <cellStyle name="Comma 4 2 2 4 3 4" xfId="18099" xr:uid="{B98D940A-15D7-46BB-A6F3-2EF00181A548}"/>
    <cellStyle name="Comma 4 2 2 4 3 5" xfId="26544" xr:uid="{1B05349C-8C01-416C-B41C-485AD33FFDC6}"/>
    <cellStyle name="Comma 4 2 2 4 3 6" xfId="9658" xr:uid="{F986E930-D28A-4ACD-8749-7B350612B7F4}"/>
    <cellStyle name="Comma 4 2 2 4 4" xfId="1539" xr:uid="{00000000-0005-0000-0000-000033080000}"/>
    <cellStyle name="Comma 4 2 2 4 4 2" xfId="3769" xr:uid="{00000000-0005-0000-0000-000034080000}"/>
    <cellStyle name="Comma 4 2 2 4 4 2 2" xfId="7992" xr:uid="{00000000-0005-0000-0000-000035080000}"/>
    <cellStyle name="Comma 4 2 2 4 4 2 2 2" xfId="24875" xr:uid="{6FDB0FE3-36C5-47D1-830A-42DA49DF570F}"/>
    <cellStyle name="Comma 4 2 2 4 4 2 2 3" xfId="33321" xr:uid="{F9B25393-669D-4752-AC47-16BF3F996318}"/>
    <cellStyle name="Comma 4 2 2 4 4 2 2 4" xfId="16434" xr:uid="{6D884663-C785-4FEA-99FB-EE6E1E29D53C}"/>
    <cellStyle name="Comma 4 2 2 4 4 2 3" xfId="20657" xr:uid="{4E13634C-DDEE-469C-8297-546E22E63453}"/>
    <cellStyle name="Comma 4 2 2 4 4 2 4" xfId="29104" xr:uid="{B736392D-F7E8-43D0-AF80-9A2E5CC7979E}"/>
    <cellStyle name="Comma 4 2 2 4 4 2 5" xfId="12216" xr:uid="{93E5E686-128D-4D43-BF0A-2DB6335AFF03}"/>
    <cellStyle name="Comma 4 2 2 4 4 3" xfId="5847" xr:uid="{00000000-0005-0000-0000-000036080000}"/>
    <cellStyle name="Comma 4 2 2 4 4 3 2" xfId="22730" xr:uid="{4A095AFE-30F1-4B07-8DA9-9DB4659A5D50}"/>
    <cellStyle name="Comma 4 2 2 4 4 3 3" xfId="31176" xr:uid="{8A587C55-2E20-4950-97F6-3763BC5AE3AD}"/>
    <cellStyle name="Comma 4 2 2 4 4 3 4" xfId="14289" xr:uid="{25197830-B47F-48DC-9DD4-251AF53818EC}"/>
    <cellStyle name="Comma 4 2 2 4 4 4" xfId="18512" xr:uid="{F98941AF-22D7-44E4-BAF1-4E7823E12FA6}"/>
    <cellStyle name="Comma 4 2 2 4 4 5" xfId="26957" xr:uid="{56A7AC7F-5D42-4785-BCEE-DCA198248FD9}"/>
    <cellStyle name="Comma 4 2 2 4 4 6" xfId="10071" xr:uid="{27381819-AEA9-41FA-91B8-BDCFC2035338}"/>
    <cellStyle name="Comma 4 2 2 4 5" xfId="1953" xr:uid="{00000000-0005-0000-0000-000037080000}"/>
    <cellStyle name="Comma 4 2 2 4 5 2" xfId="4182" xr:uid="{00000000-0005-0000-0000-000038080000}"/>
    <cellStyle name="Comma 4 2 2 4 5 2 2" xfId="8405" xr:uid="{00000000-0005-0000-0000-000039080000}"/>
    <cellStyle name="Comma 4 2 2 4 5 2 2 2" xfId="25288" xr:uid="{3A897F23-0C50-4941-ACBB-603F8E07444E}"/>
    <cellStyle name="Comma 4 2 2 4 5 2 2 3" xfId="33734" xr:uid="{6B369AE4-E25B-474E-9E61-45E83D20559D}"/>
    <cellStyle name="Comma 4 2 2 4 5 2 2 4" xfId="16847" xr:uid="{8C9D03C6-2FBE-4400-96DF-68205D526699}"/>
    <cellStyle name="Comma 4 2 2 4 5 2 3" xfId="21070" xr:uid="{3EE16CDE-4903-4812-8F3C-3BBD736024F0}"/>
    <cellStyle name="Comma 4 2 2 4 5 2 4" xfId="29517" xr:uid="{E8746E66-CC8E-49E6-BC0E-39A110A45C94}"/>
    <cellStyle name="Comma 4 2 2 4 5 2 5" xfId="12629" xr:uid="{8208AA5C-382D-452B-BFA4-34CDDAAA55E3}"/>
    <cellStyle name="Comma 4 2 2 4 5 3" xfId="6260" xr:uid="{00000000-0005-0000-0000-00003A080000}"/>
    <cellStyle name="Comma 4 2 2 4 5 3 2" xfId="23143" xr:uid="{6081E5BF-2B9F-4928-A148-EE72C4A9274C}"/>
    <cellStyle name="Comma 4 2 2 4 5 3 3" xfId="31589" xr:uid="{64DBD089-D563-4767-A75B-C650C7E916CF}"/>
    <cellStyle name="Comma 4 2 2 4 5 3 4" xfId="14702" xr:uid="{63CE5914-BE0C-44F9-9D49-FB5BD448DB40}"/>
    <cellStyle name="Comma 4 2 2 4 5 4" xfId="18925" xr:uid="{5A32A1A2-13CA-49CC-807E-9D0C6A209C50}"/>
    <cellStyle name="Comma 4 2 2 4 5 5" xfId="27370" xr:uid="{4225BA3E-F24D-44A6-9330-B654FC6DC269}"/>
    <cellStyle name="Comma 4 2 2 4 5 6" xfId="10484" xr:uid="{02DBFF49-65C4-4E73-A121-D3C292BAE65E}"/>
    <cellStyle name="Comma 4 2 2 4 6" xfId="2388" xr:uid="{00000000-0005-0000-0000-00003B080000}"/>
    <cellStyle name="Comma 4 2 2 4 6 2" xfId="6673" xr:uid="{00000000-0005-0000-0000-00003C080000}"/>
    <cellStyle name="Comma 4 2 2 4 6 2 2" xfId="23556" xr:uid="{EEB63EA7-841C-4717-A149-C53EE79960C2}"/>
    <cellStyle name="Comma 4 2 2 4 6 2 3" xfId="32002" xr:uid="{3DD8FE0F-3984-4FC3-85CA-E4F52EDEFA6C}"/>
    <cellStyle name="Comma 4 2 2 4 6 2 4" xfId="15115" xr:uid="{E93ADC11-0A93-4A21-8A12-8D926BF74FF6}"/>
    <cellStyle name="Comma 4 2 2 4 6 3" xfId="19338" xr:uid="{34F50E20-6444-405A-B293-8D6E16E35AB6}"/>
    <cellStyle name="Comma 4 2 2 4 6 4" xfId="27783" xr:uid="{81180E74-B987-442E-83FC-AC2A7EE1EF06}"/>
    <cellStyle name="Comma 4 2 2 4 6 5" xfId="10897" xr:uid="{0B8E4A4E-4991-4A31-84ED-701839536C7C}"/>
    <cellStyle name="Comma 4 2 2 4 7" xfId="2375" xr:uid="{00000000-0005-0000-0000-00003D080000}"/>
    <cellStyle name="Comma 4 2 2 4 8" xfId="2766" xr:uid="{00000000-0005-0000-0000-00003E080000}"/>
    <cellStyle name="Comma 4 2 2 4 8 2" xfId="6990" xr:uid="{00000000-0005-0000-0000-00003F080000}"/>
    <cellStyle name="Comma 4 2 2 4 8 2 2" xfId="23873" xr:uid="{D3A7C22C-0BE5-4544-B726-3EBC9D69803D}"/>
    <cellStyle name="Comma 4 2 2 4 8 2 3" xfId="32319" xr:uid="{A35531E0-99C9-4B63-AFB1-66C8D4240697}"/>
    <cellStyle name="Comma 4 2 2 4 8 2 4" xfId="15432" xr:uid="{FC5C21F4-E06E-44DF-A191-6E21013CC5AB}"/>
    <cellStyle name="Comma 4 2 2 4 8 3" xfId="19655" xr:uid="{FE644A07-3E39-49AE-AED1-0232ECC04553}"/>
    <cellStyle name="Comma 4 2 2 4 8 4" xfId="28102" xr:uid="{A68C777E-9A35-4B4E-B883-5CDCF3C51BCF}"/>
    <cellStyle name="Comma 4 2 2 4 8 5" xfId="11214" xr:uid="{2C72C380-0BA2-470F-84F1-5C092A23A978}"/>
    <cellStyle name="Comma 4 2 2 4 9" xfId="4607" xr:uid="{00000000-0005-0000-0000-000040080000}"/>
    <cellStyle name="Comma 4 2 2 4 9 2" xfId="21490" xr:uid="{79D6B512-3472-4B72-8CC1-9A5CB957542F}"/>
    <cellStyle name="Comma 4 2 2 4 9 3" xfId="29936" xr:uid="{C1277663-DB0A-4D41-B268-A5F265DB9A9E}"/>
    <cellStyle name="Comma 4 2 2 4 9 4" xfId="13049" xr:uid="{0E9F61A5-74D1-4EB7-B18C-C94BFF766984}"/>
    <cellStyle name="Comma 4 2 2 5" xfId="135" xr:uid="{00000000-0005-0000-0000-000041080000}"/>
    <cellStyle name="Comma 4 2 2 5 10" xfId="17273" xr:uid="{3DC75C1B-A744-47D3-B144-18BAD25B017E}"/>
    <cellStyle name="Comma 4 2 2 5 11" xfId="25716" xr:uid="{B5F2758F-5380-4449-925B-85DAF26A3951}"/>
    <cellStyle name="Comma 4 2 2 5 12" xfId="8832" xr:uid="{BDBE159D-8BEA-4AA8-ADB4-5DA794875D8E}"/>
    <cellStyle name="Comma 4 2 2 5 2" xfId="673" xr:uid="{00000000-0005-0000-0000-000042080000}"/>
    <cellStyle name="Comma 4 2 2 5 2 2" xfId="2944" xr:uid="{00000000-0005-0000-0000-000043080000}"/>
    <cellStyle name="Comma 4 2 2 5 2 2 2" xfId="7167" xr:uid="{00000000-0005-0000-0000-000044080000}"/>
    <cellStyle name="Comma 4 2 2 5 2 2 2 2" xfId="24050" xr:uid="{3A1724D8-108C-4A64-AE02-AE3CED05562D}"/>
    <cellStyle name="Comma 4 2 2 5 2 2 2 3" xfId="32496" xr:uid="{5DA3DC2D-0D2E-46C7-9F29-72B7E308DF1A}"/>
    <cellStyle name="Comma 4 2 2 5 2 2 2 4" xfId="15609" xr:uid="{68CADE59-D390-49E1-8A1C-0BA0EFB67121}"/>
    <cellStyle name="Comma 4 2 2 5 2 2 3" xfId="19832" xr:uid="{3C401AEB-310E-4BE2-9CC0-E8BE20F1F845}"/>
    <cellStyle name="Comma 4 2 2 5 2 2 4" xfId="28279" xr:uid="{280A45C7-71C4-4881-8396-F1FDB7731DAE}"/>
    <cellStyle name="Comma 4 2 2 5 2 2 5" xfId="11391" xr:uid="{3098973D-798F-4E45-A8DA-FBD0F56A5434}"/>
    <cellStyle name="Comma 4 2 2 5 2 3" xfId="5022" xr:uid="{00000000-0005-0000-0000-000045080000}"/>
    <cellStyle name="Comma 4 2 2 5 2 3 2" xfId="21905" xr:uid="{5CF98B52-515D-4BA3-BA2C-9D293F98E120}"/>
    <cellStyle name="Comma 4 2 2 5 2 3 3" xfId="30351" xr:uid="{D2851327-B22D-4AD6-AF9B-45515501AEFB}"/>
    <cellStyle name="Comma 4 2 2 5 2 3 4" xfId="13464" xr:uid="{B79EFD04-59AF-4B2C-BE2C-8DD127AA4EAB}"/>
    <cellStyle name="Comma 4 2 2 5 2 4" xfId="17687" xr:uid="{5CDA1A85-6133-4617-937F-0D6F44F0833D}"/>
    <cellStyle name="Comma 4 2 2 5 2 5" xfId="26132" xr:uid="{9001C918-2E5A-4C2F-98CC-CFFCED5D37DD}"/>
    <cellStyle name="Comma 4 2 2 5 2 6" xfId="9246" xr:uid="{9CCB52F8-BE75-4F35-97C3-AD473C50FE1A}"/>
    <cellStyle name="Comma 4 2 2 5 3" xfId="1126" xr:uid="{00000000-0005-0000-0000-000046080000}"/>
    <cellStyle name="Comma 4 2 2 5 3 2" xfId="3357" xr:uid="{00000000-0005-0000-0000-000047080000}"/>
    <cellStyle name="Comma 4 2 2 5 3 2 2" xfId="7580" xr:uid="{00000000-0005-0000-0000-000048080000}"/>
    <cellStyle name="Comma 4 2 2 5 3 2 2 2" xfId="24463" xr:uid="{435CD49E-AD11-4D41-BA3C-D1E5CF478FDB}"/>
    <cellStyle name="Comma 4 2 2 5 3 2 2 3" xfId="32909" xr:uid="{9EFA2A79-4B2E-40CB-BBFD-0F173BD300F0}"/>
    <cellStyle name="Comma 4 2 2 5 3 2 2 4" xfId="16022" xr:uid="{2CDBBB1F-D2EB-43F2-B618-C187E2B3C930}"/>
    <cellStyle name="Comma 4 2 2 5 3 2 3" xfId="20245" xr:uid="{619A5E4E-5EAB-4D2C-B676-DB5C817A3851}"/>
    <cellStyle name="Comma 4 2 2 5 3 2 4" xfId="28692" xr:uid="{DAC6ABC2-8548-4D06-A2DF-8E110E4AD605}"/>
    <cellStyle name="Comma 4 2 2 5 3 2 5" xfId="11804" xr:uid="{0161155F-69BB-4E2D-9D21-07071B0625F0}"/>
    <cellStyle name="Comma 4 2 2 5 3 3" xfId="5435" xr:uid="{00000000-0005-0000-0000-000049080000}"/>
    <cellStyle name="Comma 4 2 2 5 3 3 2" xfId="22318" xr:uid="{012D9E13-630C-459C-A0F2-F253E0E8FBCC}"/>
    <cellStyle name="Comma 4 2 2 5 3 3 3" xfId="30764" xr:uid="{E022468F-88C2-409F-B70C-2AE841C3308F}"/>
    <cellStyle name="Comma 4 2 2 5 3 3 4" xfId="13877" xr:uid="{5004887B-02D7-42D8-A677-0F120EF6DBE6}"/>
    <cellStyle name="Comma 4 2 2 5 3 4" xfId="18100" xr:uid="{86FE114C-4FBC-4028-9C70-5710E974EF6D}"/>
    <cellStyle name="Comma 4 2 2 5 3 5" xfId="26545" xr:uid="{177B6DAC-C086-4677-8B53-17DF932AAA59}"/>
    <cellStyle name="Comma 4 2 2 5 3 6" xfId="9659" xr:uid="{29E55E4C-5635-4ADE-9D64-EE75784FEAA5}"/>
    <cellStyle name="Comma 4 2 2 5 4" xfId="1540" xr:uid="{00000000-0005-0000-0000-00004A080000}"/>
    <cellStyle name="Comma 4 2 2 5 4 2" xfId="3770" xr:uid="{00000000-0005-0000-0000-00004B080000}"/>
    <cellStyle name="Comma 4 2 2 5 4 2 2" xfId="7993" xr:uid="{00000000-0005-0000-0000-00004C080000}"/>
    <cellStyle name="Comma 4 2 2 5 4 2 2 2" xfId="24876" xr:uid="{140BFBBA-A0AE-47DE-88E5-B6536E022E42}"/>
    <cellStyle name="Comma 4 2 2 5 4 2 2 3" xfId="33322" xr:uid="{1D87E89D-0DEF-4748-B042-39A831BDD852}"/>
    <cellStyle name="Comma 4 2 2 5 4 2 2 4" xfId="16435" xr:uid="{5D263004-85C5-4BBB-B944-BF1B27EFD6C4}"/>
    <cellStyle name="Comma 4 2 2 5 4 2 3" xfId="20658" xr:uid="{C9367F72-20D7-42A2-97D1-6F8FF2484B46}"/>
    <cellStyle name="Comma 4 2 2 5 4 2 4" xfId="29105" xr:uid="{44C4E682-FE42-4C47-AC15-789EE11B6B23}"/>
    <cellStyle name="Comma 4 2 2 5 4 2 5" xfId="12217" xr:uid="{CE4B3EDC-5F6F-4B55-8724-7AF0B2B0A722}"/>
    <cellStyle name="Comma 4 2 2 5 4 3" xfId="5848" xr:uid="{00000000-0005-0000-0000-00004D080000}"/>
    <cellStyle name="Comma 4 2 2 5 4 3 2" xfId="22731" xr:uid="{483A6587-9715-4A9B-9014-6170C80BDFBC}"/>
    <cellStyle name="Comma 4 2 2 5 4 3 3" xfId="31177" xr:uid="{00A0B091-53A3-49E9-9D1A-69A910F5C0DC}"/>
    <cellStyle name="Comma 4 2 2 5 4 3 4" xfId="14290" xr:uid="{B2587894-DCCD-4F5E-AF16-6EA090AD3C77}"/>
    <cellStyle name="Comma 4 2 2 5 4 4" xfId="18513" xr:uid="{D9730634-ECCD-4622-9D4C-3C50FDC842EE}"/>
    <cellStyle name="Comma 4 2 2 5 4 5" xfId="26958" xr:uid="{AA0F2BCE-D7A7-4422-869C-1F5CEC93236B}"/>
    <cellStyle name="Comma 4 2 2 5 4 6" xfId="10072" xr:uid="{4C4482BD-94E6-419C-A364-BFCE67D621D9}"/>
    <cellStyle name="Comma 4 2 2 5 5" xfId="1954" xr:uid="{00000000-0005-0000-0000-00004E080000}"/>
    <cellStyle name="Comma 4 2 2 5 5 2" xfId="4183" xr:uid="{00000000-0005-0000-0000-00004F080000}"/>
    <cellStyle name="Comma 4 2 2 5 5 2 2" xfId="8406" xr:uid="{00000000-0005-0000-0000-000050080000}"/>
    <cellStyle name="Comma 4 2 2 5 5 2 2 2" xfId="25289" xr:uid="{A1BA0829-CF2A-4008-948D-F1681A8984D1}"/>
    <cellStyle name="Comma 4 2 2 5 5 2 2 3" xfId="33735" xr:uid="{BE788407-6FC8-4847-9069-D7E6B69632F2}"/>
    <cellStyle name="Comma 4 2 2 5 5 2 2 4" xfId="16848" xr:uid="{B78BD9F9-9E29-4F5B-8AAE-D866F63528F6}"/>
    <cellStyle name="Comma 4 2 2 5 5 2 3" xfId="21071" xr:uid="{54F6B97C-02A3-4735-BCF7-EB252DEBFB80}"/>
    <cellStyle name="Comma 4 2 2 5 5 2 4" xfId="29518" xr:uid="{DDAD3EA3-D4B0-4BBF-B386-6645BE394E46}"/>
    <cellStyle name="Comma 4 2 2 5 5 2 5" xfId="12630" xr:uid="{A00F0AFB-3EBA-462A-90C7-9AC566D0984E}"/>
    <cellStyle name="Comma 4 2 2 5 5 3" xfId="6261" xr:uid="{00000000-0005-0000-0000-000051080000}"/>
    <cellStyle name="Comma 4 2 2 5 5 3 2" xfId="23144" xr:uid="{21360678-03F0-411D-90C1-84A82C346328}"/>
    <cellStyle name="Comma 4 2 2 5 5 3 3" xfId="31590" xr:uid="{B868B8D5-ED91-40E4-A815-4AEA0FAF8428}"/>
    <cellStyle name="Comma 4 2 2 5 5 3 4" xfId="14703" xr:uid="{BFF939D7-A215-4603-A03D-6F46BE7D7DF3}"/>
    <cellStyle name="Comma 4 2 2 5 5 4" xfId="18926" xr:uid="{04C86C97-E933-47B1-BD94-8A3945E628DC}"/>
    <cellStyle name="Comma 4 2 2 5 5 5" xfId="27371" xr:uid="{B66F90A6-9AF7-49A2-BD5C-84A8FE8F52FB}"/>
    <cellStyle name="Comma 4 2 2 5 5 6" xfId="10485" xr:uid="{1D9618AF-19CE-4BED-BFB7-DED2F864CE3D}"/>
    <cellStyle name="Comma 4 2 2 5 6" xfId="2389" xr:uid="{00000000-0005-0000-0000-000052080000}"/>
    <cellStyle name="Comma 4 2 2 5 6 2" xfId="6674" xr:uid="{00000000-0005-0000-0000-000053080000}"/>
    <cellStyle name="Comma 4 2 2 5 6 2 2" xfId="23557" xr:uid="{136B512C-71AC-4C6A-BADF-B4AC992268BD}"/>
    <cellStyle name="Comma 4 2 2 5 6 2 3" xfId="32003" xr:uid="{E00986FB-C354-454F-92D3-C1D74678E056}"/>
    <cellStyle name="Comma 4 2 2 5 6 2 4" xfId="15116" xr:uid="{3E6ED1B9-0CA7-46B7-8946-4820EEBB70FB}"/>
    <cellStyle name="Comma 4 2 2 5 6 3" xfId="19339" xr:uid="{B545FD37-AE3C-4E74-A3DF-B3DD98FEE082}"/>
    <cellStyle name="Comma 4 2 2 5 6 4" xfId="27784" xr:uid="{FB421529-7C76-4204-8946-1746D50685EF}"/>
    <cellStyle name="Comma 4 2 2 5 6 5" xfId="10898" xr:uid="{2A8536E6-E6BE-4391-B019-AE7C021FB144}"/>
    <cellStyle name="Comma 4 2 2 5 7" xfId="2374" xr:uid="{00000000-0005-0000-0000-000054080000}"/>
    <cellStyle name="Comma 4 2 2 5 8" xfId="2767" xr:uid="{00000000-0005-0000-0000-000055080000}"/>
    <cellStyle name="Comma 4 2 2 5 8 2" xfId="6991" xr:uid="{00000000-0005-0000-0000-000056080000}"/>
    <cellStyle name="Comma 4 2 2 5 8 2 2" xfId="23874" xr:uid="{F9F0BDD6-A0D9-4262-B4EB-8E48E5A1F215}"/>
    <cellStyle name="Comma 4 2 2 5 8 2 3" xfId="32320" xr:uid="{97410AB2-98AD-46E2-B989-A8AF89121C5F}"/>
    <cellStyle name="Comma 4 2 2 5 8 2 4" xfId="15433" xr:uid="{35376B86-0B2F-4EF5-BCF7-922796F9D096}"/>
    <cellStyle name="Comma 4 2 2 5 8 3" xfId="19656" xr:uid="{D390F46A-E791-41A0-857F-271CF3AB5248}"/>
    <cellStyle name="Comma 4 2 2 5 8 4" xfId="28103" xr:uid="{6161BE16-CE2B-41F6-84F4-B7EF8487AA44}"/>
    <cellStyle name="Comma 4 2 2 5 8 5" xfId="11215" xr:uid="{4A32329C-A035-49AC-B97D-5D66AC9795A8}"/>
    <cellStyle name="Comma 4 2 2 5 9" xfId="4608" xr:uid="{00000000-0005-0000-0000-000057080000}"/>
    <cellStyle name="Comma 4 2 2 5 9 2" xfId="21491" xr:uid="{AA4174F2-1834-40D6-A5E0-D06E846C1B42}"/>
    <cellStyle name="Comma 4 2 2 5 9 3" xfId="29937" xr:uid="{2B0979E2-8312-4438-A528-5D645415E11E}"/>
    <cellStyle name="Comma 4 2 2 5 9 4" xfId="13050" xr:uid="{E38F6654-9D80-43A1-AD9F-9B48A20D7009}"/>
    <cellStyle name="Comma 4 2 3" xfId="136" xr:uid="{00000000-0005-0000-0000-000058080000}"/>
    <cellStyle name="Comma 4 2 3 10" xfId="2768" xr:uid="{00000000-0005-0000-0000-000059080000}"/>
    <cellStyle name="Comma 4 2 3 10 2" xfId="6992" xr:uid="{00000000-0005-0000-0000-00005A080000}"/>
    <cellStyle name="Comma 4 2 3 10 2 2" xfId="23875" xr:uid="{112EEC21-8AA9-4FB2-846A-1281524BFC1A}"/>
    <cellStyle name="Comma 4 2 3 10 2 3" xfId="32321" xr:uid="{0B14525A-69D5-4806-B0AF-2618AE5CE200}"/>
    <cellStyle name="Comma 4 2 3 10 2 4" xfId="15434" xr:uid="{586B32ED-4DC2-45C7-ACF5-CBBA1D815ABF}"/>
    <cellStyle name="Comma 4 2 3 10 3" xfId="19657" xr:uid="{00A0A6C0-2818-4A5E-A3C1-7E089E95F36F}"/>
    <cellStyle name="Comma 4 2 3 10 4" xfId="28104" xr:uid="{0CBF9E2A-A778-4B00-912E-34A64D8794F8}"/>
    <cellStyle name="Comma 4 2 3 10 5" xfId="11216" xr:uid="{32CA6EFD-E203-448E-B953-28B16ECFE8D8}"/>
    <cellStyle name="Comma 4 2 3 11" xfId="4609" xr:uid="{00000000-0005-0000-0000-00005B080000}"/>
    <cellStyle name="Comma 4 2 3 11 2" xfId="21492" xr:uid="{E0C19D2C-0F97-4DB2-B80A-C6BC50EF9260}"/>
    <cellStyle name="Comma 4 2 3 11 3" xfId="29938" xr:uid="{3B2A865A-30F9-4772-98C7-C8FEAABD559C}"/>
    <cellStyle name="Comma 4 2 3 11 4" xfId="13051" xr:uid="{D89E57F8-89ED-4B2B-9CA2-4B875EB12416}"/>
    <cellStyle name="Comma 4 2 3 12" xfId="17274" xr:uid="{0D37EA8C-F26D-41A3-985E-C60B76619D1B}"/>
    <cellStyle name="Comma 4 2 3 13" xfId="25717" xr:uid="{5C31537F-E8F7-4000-BC66-64830A490014}"/>
    <cellStyle name="Comma 4 2 3 14" xfId="8833" xr:uid="{A2C634FA-6BCE-449D-B351-6F97F96B056F}"/>
    <cellStyle name="Comma 4 2 3 2" xfId="137" xr:uid="{00000000-0005-0000-0000-00005C080000}"/>
    <cellStyle name="Comma 4 2 3 2 10" xfId="4610" xr:uid="{00000000-0005-0000-0000-00005D080000}"/>
    <cellStyle name="Comma 4 2 3 2 10 2" xfId="21493" xr:uid="{2CF7F3CC-8668-4818-AEA7-A444776B1DD0}"/>
    <cellStyle name="Comma 4 2 3 2 10 3" xfId="29939" xr:uid="{4B95A689-2037-4610-9C5E-D8E34CA4AF29}"/>
    <cellStyle name="Comma 4 2 3 2 10 4" xfId="13052" xr:uid="{EF70E00B-2A4E-4FEA-800C-50404572C32F}"/>
    <cellStyle name="Comma 4 2 3 2 11" xfId="17275" xr:uid="{2A3A7986-416F-4128-8F2C-6E174C486081}"/>
    <cellStyle name="Comma 4 2 3 2 12" xfId="25718" xr:uid="{133CE86A-EA6E-4675-9AA2-549BB23A2367}"/>
    <cellStyle name="Comma 4 2 3 2 13" xfId="8834" xr:uid="{0840ABF8-6E7E-4B99-8E70-3D9872D9490C}"/>
    <cellStyle name="Comma 4 2 3 2 2" xfId="138" xr:uid="{00000000-0005-0000-0000-00005E080000}"/>
    <cellStyle name="Comma 4 2 3 2 2 10" xfId="17276" xr:uid="{4809A5CF-B8FD-4D74-8B76-E3A445C7829E}"/>
    <cellStyle name="Comma 4 2 3 2 2 11" xfId="25719" xr:uid="{EB9DC215-3699-4F2D-A869-2FD77838713E}"/>
    <cellStyle name="Comma 4 2 3 2 2 12" xfId="8835" xr:uid="{25DF3B5F-CEC9-4456-9BD5-0169ABB338AF}"/>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24053" xr:uid="{551384E0-E09D-4AC1-B190-1D53DF2CECF3}"/>
    <cellStyle name="Comma 4 2 3 2 2 2 2 2 3" xfId="32499" xr:uid="{86BA0F8D-FC99-4B6E-9F71-FD5AB90F9E59}"/>
    <cellStyle name="Comma 4 2 3 2 2 2 2 2 4" xfId="15612" xr:uid="{3DA62FA5-0241-46CA-A0F4-11C2C7BAA2D9}"/>
    <cellStyle name="Comma 4 2 3 2 2 2 2 3" xfId="19835" xr:uid="{2318FA87-E4D2-4B67-9354-03ECD9BAE929}"/>
    <cellStyle name="Comma 4 2 3 2 2 2 2 4" xfId="28282" xr:uid="{177C5947-F69E-420C-A1C0-521014C94CD4}"/>
    <cellStyle name="Comma 4 2 3 2 2 2 2 5" xfId="11394" xr:uid="{158EA494-F45E-4BF3-9155-7A82F85DAA23}"/>
    <cellStyle name="Comma 4 2 3 2 2 2 3" xfId="5025" xr:uid="{00000000-0005-0000-0000-000062080000}"/>
    <cellStyle name="Comma 4 2 3 2 2 2 3 2" xfId="21908" xr:uid="{A4A09F13-228A-4BD2-A3BC-71DEA08CBE26}"/>
    <cellStyle name="Comma 4 2 3 2 2 2 3 3" xfId="30354" xr:uid="{352A8755-A39F-41A0-836F-70B60B711E0F}"/>
    <cellStyle name="Comma 4 2 3 2 2 2 3 4" xfId="13467" xr:uid="{DD0DEA97-86C2-4D2D-B706-470913B656DD}"/>
    <cellStyle name="Comma 4 2 3 2 2 2 4" xfId="17690" xr:uid="{B6B91C05-BF56-4F44-BCCD-4D5E07E5E107}"/>
    <cellStyle name="Comma 4 2 3 2 2 2 5" xfId="26135" xr:uid="{62C0D5A4-E598-4957-8B6A-13F98E1E7BEA}"/>
    <cellStyle name="Comma 4 2 3 2 2 2 6" xfId="9249" xr:uid="{0AD8773F-B6C1-4F44-BD9A-B82484D93D03}"/>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24466" xr:uid="{AAFB7ACA-3E47-4943-977B-03540DA32942}"/>
    <cellStyle name="Comma 4 2 3 2 2 3 2 2 3" xfId="32912" xr:uid="{15CE45C1-F442-4319-8F6C-E7B6B10DBCEC}"/>
    <cellStyle name="Comma 4 2 3 2 2 3 2 2 4" xfId="16025" xr:uid="{71E0F06E-F526-4A4B-BDAD-219B2AFFEDE1}"/>
    <cellStyle name="Comma 4 2 3 2 2 3 2 3" xfId="20248" xr:uid="{EAE26DC9-5747-4659-BB76-7AB3D92C0886}"/>
    <cellStyle name="Comma 4 2 3 2 2 3 2 4" xfId="28695" xr:uid="{FE883C0F-5FDF-4BB5-BF1B-ADE5EF86813E}"/>
    <cellStyle name="Comma 4 2 3 2 2 3 2 5" xfId="11807" xr:uid="{D7D92015-EC96-4178-9150-2916A41E1059}"/>
    <cellStyle name="Comma 4 2 3 2 2 3 3" xfId="5438" xr:uid="{00000000-0005-0000-0000-000066080000}"/>
    <cellStyle name="Comma 4 2 3 2 2 3 3 2" xfId="22321" xr:uid="{45B3A419-C127-41E9-BB05-2C681AF66F57}"/>
    <cellStyle name="Comma 4 2 3 2 2 3 3 3" xfId="30767" xr:uid="{03659357-DC26-4A95-A119-C1202466C834}"/>
    <cellStyle name="Comma 4 2 3 2 2 3 3 4" xfId="13880" xr:uid="{0DD016D9-A4B2-4C62-BC48-AA5F8540BDAF}"/>
    <cellStyle name="Comma 4 2 3 2 2 3 4" xfId="18103" xr:uid="{EF0B3C20-4910-4AF8-8905-B3D27C9C94B5}"/>
    <cellStyle name="Comma 4 2 3 2 2 3 5" xfId="26548" xr:uid="{AD21F57D-A261-40FA-B485-2C76BED0748C}"/>
    <cellStyle name="Comma 4 2 3 2 2 3 6" xfId="9662" xr:uid="{F434068F-0C24-4B3D-AEF5-0ED65879BAAB}"/>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24879" xr:uid="{22A3FFCA-8C8F-48E8-9E70-A62F84590D33}"/>
    <cellStyle name="Comma 4 2 3 2 2 4 2 2 3" xfId="33325" xr:uid="{B165070B-192C-4078-B8A1-E52C2F733B78}"/>
    <cellStyle name="Comma 4 2 3 2 2 4 2 2 4" xfId="16438" xr:uid="{65A6013D-295B-4F20-AFF0-B83A1AEF0E9C}"/>
    <cellStyle name="Comma 4 2 3 2 2 4 2 3" xfId="20661" xr:uid="{E46F0316-5B53-4733-A4CC-8443B57B9869}"/>
    <cellStyle name="Comma 4 2 3 2 2 4 2 4" xfId="29108" xr:uid="{6775227C-1576-4DBA-B90B-A892E9F8C699}"/>
    <cellStyle name="Comma 4 2 3 2 2 4 2 5" xfId="12220" xr:uid="{D5E57060-186C-4D31-8F40-4844F5D4CDA0}"/>
    <cellStyle name="Comma 4 2 3 2 2 4 3" xfId="5851" xr:uid="{00000000-0005-0000-0000-00006A080000}"/>
    <cellStyle name="Comma 4 2 3 2 2 4 3 2" xfId="22734" xr:uid="{23704661-A0A1-4A2B-90B2-D5E14BA65463}"/>
    <cellStyle name="Comma 4 2 3 2 2 4 3 3" xfId="31180" xr:uid="{F76DAF24-E844-4F2B-A68D-81050194A693}"/>
    <cellStyle name="Comma 4 2 3 2 2 4 3 4" xfId="14293" xr:uid="{2F8E0245-E4FE-4BDA-AF91-7BF9177F42F7}"/>
    <cellStyle name="Comma 4 2 3 2 2 4 4" xfId="18516" xr:uid="{473A313A-6729-4017-B4A8-6AD71EBC94A8}"/>
    <cellStyle name="Comma 4 2 3 2 2 4 5" xfId="26961" xr:uid="{9715FD39-77D6-4D54-9206-36E56CBA23EC}"/>
    <cellStyle name="Comma 4 2 3 2 2 4 6" xfId="10075" xr:uid="{A7E339D3-0305-4FA8-9710-4969F7345DA9}"/>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25292" xr:uid="{CBCD2302-AB92-4200-BEAC-8EDF995A32A8}"/>
    <cellStyle name="Comma 4 2 3 2 2 5 2 2 3" xfId="33738" xr:uid="{35201C36-2398-408B-A45A-8E0B3AAA0E43}"/>
    <cellStyle name="Comma 4 2 3 2 2 5 2 2 4" xfId="16851" xr:uid="{F73167A9-84E6-492A-899C-D405EA1FB7F1}"/>
    <cellStyle name="Comma 4 2 3 2 2 5 2 3" xfId="21074" xr:uid="{CEAABAE4-667F-4397-AF10-1E33C93515BD}"/>
    <cellStyle name="Comma 4 2 3 2 2 5 2 4" xfId="29521" xr:uid="{93290E48-194C-4488-AD84-21E2641DA665}"/>
    <cellStyle name="Comma 4 2 3 2 2 5 2 5" xfId="12633" xr:uid="{8DF5B43E-E829-4973-911E-6A70FBFAEDCA}"/>
    <cellStyle name="Comma 4 2 3 2 2 5 3" xfId="6264" xr:uid="{00000000-0005-0000-0000-00006E080000}"/>
    <cellStyle name="Comma 4 2 3 2 2 5 3 2" xfId="23147" xr:uid="{DCCCF206-E91F-4AD6-8F1F-70D15C6DE079}"/>
    <cellStyle name="Comma 4 2 3 2 2 5 3 3" xfId="31593" xr:uid="{C6D4AC0A-54EB-4BF8-8E53-C06F7F8CA39F}"/>
    <cellStyle name="Comma 4 2 3 2 2 5 3 4" xfId="14706" xr:uid="{2F2F3AA6-0B01-4B8F-ACC7-EF7CC897ECB9}"/>
    <cellStyle name="Comma 4 2 3 2 2 5 4" xfId="18929" xr:uid="{01B5EC79-901E-491E-962D-9EA5DFD9C7D0}"/>
    <cellStyle name="Comma 4 2 3 2 2 5 5" xfId="27374" xr:uid="{E77B3AFC-5C48-4D43-8F94-F95601570581}"/>
    <cellStyle name="Comma 4 2 3 2 2 5 6" xfId="10488" xr:uid="{14BA1132-8621-47C7-92BB-77030FD6AE7D}"/>
    <cellStyle name="Comma 4 2 3 2 2 6" xfId="2392" xr:uid="{00000000-0005-0000-0000-00006F080000}"/>
    <cellStyle name="Comma 4 2 3 2 2 6 2" xfId="6677" xr:uid="{00000000-0005-0000-0000-000070080000}"/>
    <cellStyle name="Comma 4 2 3 2 2 6 2 2" xfId="23560" xr:uid="{C0AA0A46-6577-41CD-B9CD-E92C428E8018}"/>
    <cellStyle name="Comma 4 2 3 2 2 6 2 3" xfId="32006" xr:uid="{0D1D43CC-5301-462B-B59A-CCCA528E28E1}"/>
    <cellStyle name="Comma 4 2 3 2 2 6 2 4" xfId="15119" xr:uid="{3E0AA38D-9127-44D6-B172-B665E3E27A2B}"/>
    <cellStyle name="Comma 4 2 3 2 2 6 3" xfId="19342" xr:uid="{78794DBE-4BA6-407E-990A-602ADF35087E}"/>
    <cellStyle name="Comma 4 2 3 2 2 6 4" xfId="27787" xr:uid="{BF13370A-6BFE-4162-B69F-F68C6DDC0070}"/>
    <cellStyle name="Comma 4 2 3 2 2 6 5" xfId="10901" xr:uid="{A4B26C83-A679-421E-B692-3A9A29BF74F9}"/>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23877" xr:uid="{A8220F62-4634-48E9-AE90-3B2D992BB3F4}"/>
    <cellStyle name="Comma 4 2 3 2 2 8 2 3" xfId="32323" xr:uid="{EA678A18-2705-4BBD-8E52-03735A474DD8}"/>
    <cellStyle name="Comma 4 2 3 2 2 8 2 4" xfId="15436" xr:uid="{2566740A-E2B4-4B21-850D-183F3DC734C0}"/>
    <cellStyle name="Comma 4 2 3 2 2 8 3" xfId="19659" xr:uid="{105EEBBD-E91E-41D1-A19E-4948EE2E90A8}"/>
    <cellStyle name="Comma 4 2 3 2 2 8 4" xfId="28106" xr:uid="{4A0D4C84-2B90-4B44-9201-BFE8088BE453}"/>
    <cellStyle name="Comma 4 2 3 2 2 8 5" xfId="11218" xr:uid="{38748577-133F-496A-A914-12550CD20BF9}"/>
    <cellStyle name="Comma 4 2 3 2 2 9" xfId="4611" xr:uid="{00000000-0005-0000-0000-000074080000}"/>
    <cellStyle name="Comma 4 2 3 2 2 9 2" xfId="21494" xr:uid="{183BCA29-B44B-41AC-AA43-5EE75901A148}"/>
    <cellStyle name="Comma 4 2 3 2 2 9 3" xfId="29940" xr:uid="{D119E55F-02A3-4FD1-9ED9-4D1E26E3DD92}"/>
    <cellStyle name="Comma 4 2 3 2 2 9 4" xfId="13053" xr:uid="{97D37235-08DF-4BDA-8EB7-A54DA75DF2C6}"/>
    <cellStyle name="Comma 4 2 3 2 3" xfId="675" xr:uid="{00000000-0005-0000-0000-000075080000}"/>
    <cellStyle name="Comma 4 2 3 2 3 2" xfId="2946" xr:uid="{00000000-0005-0000-0000-000076080000}"/>
    <cellStyle name="Comma 4 2 3 2 3 2 2" xfId="7169" xr:uid="{00000000-0005-0000-0000-000077080000}"/>
    <cellStyle name="Comma 4 2 3 2 3 2 2 2" xfId="24052" xr:uid="{BFA3A091-9702-47A6-A32B-22B452C5EF06}"/>
    <cellStyle name="Comma 4 2 3 2 3 2 2 3" xfId="32498" xr:uid="{2C9D52C8-360A-4536-8CE7-B8F8DF664FCA}"/>
    <cellStyle name="Comma 4 2 3 2 3 2 2 4" xfId="15611" xr:uid="{CAE24D7A-0C96-441B-ACEE-B3F995FED32A}"/>
    <cellStyle name="Comma 4 2 3 2 3 2 3" xfId="19834" xr:uid="{3BD0649D-EAB0-4542-921C-80FFF76882A2}"/>
    <cellStyle name="Comma 4 2 3 2 3 2 4" xfId="28281" xr:uid="{D4CACB23-8085-454B-AA3F-6A50732183B7}"/>
    <cellStyle name="Comma 4 2 3 2 3 2 5" xfId="11393" xr:uid="{C240A7F3-933F-4367-90DC-A65BD95066D4}"/>
    <cellStyle name="Comma 4 2 3 2 3 3" xfId="5024" xr:uid="{00000000-0005-0000-0000-000078080000}"/>
    <cellStyle name="Comma 4 2 3 2 3 3 2" xfId="21907" xr:uid="{88F94483-4030-43F2-8065-575CBE7C3C06}"/>
    <cellStyle name="Comma 4 2 3 2 3 3 3" xfId="30353" xr:uid="{4DE21CE0-996B-4845-88F4-4665275DBD82}"/>
    <cellStyle name="Comma 4 2 3 2 3 3 4" xfId="13466" xr:uid="{C75A4A00-1846-410E-B431-12B10528E6B8}"/>
    <cellStyle name="Comma 4 2 3 2 3 4" xfId="17689" xr:uid="{8FDA30CF-0E52-44C1-B4F1-810A38955317}"/>
    <cellStyle name="Comma 4 2 3 2 3 5" xfId="26134" xr:uid="{62EE63E7-92E0-479B-8684-06036D3F062A}"/>
    <cellStyle name="Comma 4 2 3 2 3 6" xfId="9248" xr:uid="{F702BE75-1BF7-4EF5-9A24-6506B89F2BE4}"/>
    <cellStyle name="Comma 4 2 3 2 4" xfId="1128" xr:uid="{00000000-0005-0000-0000-000079080000}"/>
    <cellStyle name="Comma 4 2 3 2 4 2" xfId="3359" xr:uid="{00000000-0005-0000-0000-00007A080000}"/>
    <cellStyle name="Comma 4 2 3 2 4 2 2" xfId="7582" xr:uid="{00000000-0005-0000-0000-00007B080000}"/>
    <cellStyle name="Comma 4 2 3 2 4 2 2 2" xfId="24465" xr:uid="{783052F0-38A9-4854-A4AA-16CBD16B5B09}"/>
    <cellStyle name="Comma 4 2 3 2 4 2 2 3" xfId="32911" xr:uid="{CCAAC5DE-021F-480C-B400-C17A442F0484}"/>
    <cellStyle name="Comma 4 2 3 2 4 2 2 4" xfId="16024" xr:uid="{629802C1-2652-4639-9528-6AD9885E01D4}"/>
    <cellStyle name="Comma 4 2 3 2 4 2 3" xfId="20247" xr:uid="{F8C4BAAF-2416-475E-AC0D-CE0CE866DB43}"/>
    <cellStyle name="Comma 4 2 3 2 4 2 4" xfId="28694" xr:uid="{704EFCFB-E48A-4F99-9EB1-955BEA580668}"/>
    <cellStyle name="Comma 4 2 3 2 4 2 5" xfId="11806" xr:uid="{ECB38FE9-3D5E-481E-A4E0-C37A5AC0450B}"/>
    <cellStyle name="Comma 4 2 3 2 4 3" xfId="5437" xr:uid="{00000000-0005-0000-0000-00007C080000}"/>
    <cellStyle name="Comma 4 2 3 2 4 3 2" xfId="22320" xr:uid="{E0DD83DA-FCCB-402D-95E7-F8166D4C6A1E}"/>
    <cellStyle name="Comma 4 2 3 2 4 3 3" xfId="30766" xr:uid="{D996A317-34C6-43B6-B566-DE0B69791F02}"/>
    <cellStyle name="Comma 4 2 3 2 4 3 4" xfId="13879" xr:uid="{86010BEC-9A9F-49F2-9A9F-1416E508B9B5}"/>
    <cellStyle name="Comma 4 2 3 2 4 4" xfId="18102" xr:uid="{9F00B7E7-AE00-4936-B64A-3BC5055BB933}"/>
    <cellStyle name="Comma 4 2 3 2 4 5" xfId="26547" xr:uid="{1D632AFD-F067-4DFD-B5C4-7E6E9DA78E93}"/>
    <cellStyle name="Comma 4 2 3 2 4 6" xfId="9661" xr:uid="{2BE2FF3D-CA8A-45B5-9FB6-417C14D8E834}"/>
    <cellStyle name="Comma 4 2 3 2 5" xfId="1542" xr:uid="{00000000-0005-0000-0000-00007D080000}"/>
    <cellStyle name="Comma 4 2 3 2 5 2" xfId="3772" xr:uid="{00000000-0005-0000-0000-00007E080000}"/>
    <cellStyle name="Comma 4 2 3 2 5 2 2" xfId="7995" xr:uid="{00000000-0005-0000-0000-00007F080000}"/>
    <cellStyle name="Comma 4 2 3 2 5 2 2 2" xfId="24878" xr:uid="{2CC459C7-0778-4387-B76E-DA5F2F07F5C8}"/>
    <cellStyle name="Comma 4 2 3 2 5 2 2 3" xfId="33324" xr:uid="{3DDA67F4-5B3C-4754-BB97-71575A595910}"/>
    <cellStyle name="Comma 4 2 3 2 5 2 2 4" xfId="16437" xr:uid="{099C6F41-1AB1-4CC1-BFD2-49F1F2D8D84D}"/>
    <cellStyle name="Comma 4 2 3 2 5 2 3" xfId="20660" xr:uid="{BB0881BE-835B-4321-A517-4A7042331433}"/>
    <cellStyle name="Comma 4 2 3 2 5 2 4" xfId="29107" xr:uid="{EAD4FF8C-B42D-4B32-BC78-9B29BC59724D}"/>
    <cellStyle name="Comma 4 2 3 2 5 2 5" xfId="12219" xr:uid="{9AA9D119-966A-4D32-9591-5BA7E0C5F835}"/>
    <cellStyle name="Comma 4 2 3 2 5 3" xfId="5850" xr:uid="{00000000-0005-0000-0000-000080080000}"/>
    <cellStyle name="Comma 4 2 3 2 5 3 2" xfId="22733" xr:uid="{E7DD4700-7FA2-467E-ABC6-DF9ABF15375B}"/>
    <cellStyle name="Comma 4 2 3 2 5 3 3" xfId="31179" xr:uid="{83976389-748E-4775-A165-EF34BB740208}"/>
    <cellStyle name="Comma 4 2 3 2 5 3 4" xfId="14292" xr:uid="{B5F73DA0-1D86-42C2-9133-E384BEFF8333}"/>
    <cellStyle name="Comma 4 2 3 2 5 4" xfId="18515" xr:uid="{8DD40D6D-BE47-4949-98DC-4826A8114B17}"/>
    <cellStyle name="Comma 4 2 3 2 5 5" xfId="26960" xr:uid="{4CDE4855-BF01-4E16-8409-C76A526EA623}"/>
    <cellStyle name="Comma 4 2 3 2 5 6" xfId="10074" xr:uid="{DEB9A5B6-3A3F-4F1C-9345-DF0372671E01}"/>
    <cellStyle name="Comma 4 2 3 2 6" xfId="1956" xr:uid="{00000000-0005-0000-0000-000081080000}"/>
    <cellStyle name="Comma 4 2 3 2 6 2" xfId="4185" xr:uid="{00000000-0005-0000-0000-000082080000}"/>
    <cellStyle name="Comma 4 2 3 2 6 2 2" xfId="8408" xr:uid="{00000000-0005-0000-0000-000083080000}"/>
    <cellStyle name="Comma 4 2 3 2 6 2 2 2" xfId="25291" xr:uid="{266BA1D7-EB44-4020-B815-9195EB4B6B1B}"/>
    <cellStyle name="Comma 4 2 3 2 6 2 2 3" xfId="33737" xr:uid="{5B198760-4BE4-47D8-8B41-0A8FB826E2AA}"/>
    <cellStyle name="Comma 4 2 3 2 6 2 2 4" xfId="16850" xr:uid="{6AD8E546-CD1C-4708-BDCE-E758D5F6DDDA}"/>
    <cellStyle name="Comma 4 2 3 2 6 2 3" xfId="21073" xr:uid="{D534DF8F-CF01-46F1-9A13-C78030362888}"/>
    <cellStyle name="Comma 4 2 3 2 6 2 4" xfId="29520" xr:uid="{0E97E48E-BC0E-4DD4-964F-EED0F3868F0A}"/>
    <cellStyle name="Comma 4 2 3 2 6 2 5" xfId="12632" xr:uid="{40A5D15E-5354-4AF6-8059-8F8895094223}"/>
    <cellStyle name="Comma 4 2 3 2 6 3" xfId="6263" xr:uid="{00000000-0005-0000-0000-000084080000}"/>
    <cellStyle name="Comma 4 2 3 2 6 3 2" xfId="23146" xr:uid="{3EFC7116-11C3-4C25-9CB0-76B07EE28B9E}"/>
    <cellStyle name="Comma 4 2 3 2 6 3 3" xfId="31592" xr:uid="{E46395ED-F006-499D-93B8-69275F69C68C}"/>
    <cellStyle name="Comma 4 2 3 2 6 3 4" xfId="14705" xr:uid="{72654989-4B22-47CF-AF9A-067D051E3B7C}"/>
    <cellStyle name="Comma 4 2 3 2 6 4" xfId="18928" xr:uid="{B7C583A8-63B5-4546-97B0-E392D7FB52D6}"/>
    <cellStyle name="Comma 4 2 3 2 6 5" xfId="27373" xr:uid="{6B63A589-CC36-4D06-A8F6-D483D410DDC4}"/>
    <cellStyle name="Comma 4 2 3 2 6 6" xfId="10487" xr:uid="{4351C51B-0B74-482D-B72F-44DC26D36106}"/>
    <cellStyle name="Comma 4 2 3 2 7" xfId="2391" xr:uid="{00000000-0005-0000-0000-000085080000}"/>
    <cellStyle name="Comma 4 2 3 2 7 2" xfId="6676" xr:uid="{00000000-0005-0000-0000-000086080000}"/>
    <cellStyle name="Comma 4 2 3 2 7 2 2" xfId="23559" xr:uid="{39F6A9A9-81C1-47C9-817A-C69EC7A6EE55}"/>
    <cellStyle name="Comma 4 2 3 2 7 2 3" xfId="32005" xr:uid="{FFF1B634-8E28-4A4D-9D1B-CD0C7AD45C0E}"/>
    <cellStyle name="Comma 4 2 3 2 7 2 4" xfId="15118" xr:uid="{D2389E7C-638F-4C2C-8839-0220DE52648D}"/>
    <cellStyle name="Comma 4 2 3 2 7 3" xfId="19341" xr:uid="{F1A68884-4D8E-49F5-85D4-D4C9E174772A}"/>
    <cellStyle name="Comma 4 2 3 2 7 4" xfId="27786" xr:uid="{D0474894-1431-4E48-96B8-6A76C2B7CE8A}"/>
    <cellStyle name="Comma 4 2 3 2 7 5" xfId="10900" xr:uid="{C735C0C1-3FAA-47C5-9F58-8A5A7733D602}"/>
    <cellStyle name="Comma 4 2 3 2 8" xfId="2372" xr:uid="{00000000-0005-0000-0000-000087080000}"/>
    <cellStyle name="Comma 4 2 3 2 9" xfId="2769" xr:uid="{00000000-0005-0000-0000-000088080000}"/>
    <cellStyle name="Comma 4 2 3 2 9 2" xfId="6993" xr:uid="{00000000-0005-0000-0000-000089080000}"/>
    <cellStyle name="Comma 4 2 3 2 9 2 2" xfId="23876" xr:uid="{645CF640-CF13-4F12-B487-383187E4816C}"/>
    <cellStyle name="Comma 4 2 3 2 9 2 3" xfId="32322" xr:uid="{B075DEEC-C299-45F1-A7ED-89C2DCD98765}"/>
    <cellStyle name="Comma 4 2 3 2 9 2 4" xfId="15435" xr:uid="{4CA10286-EADF-4E3E-A895-17ED83D5D4BB}"/>
    <cellStyle name="Comma 4 2 3 2 9 3" xfId="19658" xr:uid="{58B77EBE-0B6B-44DD-BE5C-974AD94F3B62}"/>
    <cellStyle name="Comma 4 2 3 2 9 4" xfId="28105" xr:uid="{4EBC5435-A09D-439B-9643-F717DB41F46B}"/>
    <cellStyle name="Comma 4 2 3 2 9 5" xfId="11217" xr:uid="{598E9EF0-E1D0-485B-9A56-F741DF9C1B65}"/>
    <cellStyle name="Comma 4 2 3 3" xfId="139" xr:uid="{00000000-0005-0000-0000-00008A080000}"/>
    <cellStyle name="Comma 4 2 3 3 10" xfId="17277" xr:uid="{1C5D02D7-363D-4AD1-B24E-8EFB702F0CFA}"/>
    <cellStyle name="Comma 4 2 3 3 11" xfId="25720" xr:uid="{9F4DCE70-4855-419C-A3FA-86C84E2911CF}"/>
    <cellStyle name="Comma 4 2 3 3 12" xfId="8836" xr:uid="{76CDA55A-A723-4EA4-B1F0-4CE6C75AA867}"/>
    <cellStyle name="Comma 4 2 3 3 2" xfId="677" xr:uid="{00000000-0005-0000-0000-00008B080000}"/>
    <cellStyle name="Comma 4 2 3 3 2 2" xfId="2948" xr:uid="{00000000-0005-0000-0000-00008C080000}"/>
    <cellStyle name="Comma 4 2 3 3 2 2 2" xfId="7171" xr:uid="{00000000-0005-0000-0000-00008D080000}"/>
    <cellStyle name="Comma 4 2 3 3 2 2 2 2" xfId="24054" xr:uid="{12A89AEB-67E5-4BE4-A119-8EB343912EA2}"/>
    <cellStyle name="Comma 4 2 3 3 2 2 2 3" xfId="32500" xr:uid="{4B2DE172-0C31-424D-A020-D12019AAE8B1}"/>
    <cellStyle name="Comma 4 2 3 3 2 2 2 4" xfId="15613" xr:uid="{AE1D99EC-CB0B-4A9A-8EC4-49ACE85FFDA7}"/>
    <cellStyle name="Comma 4 2 3 3 2 2 3" xfId="19836" xr:uid="{C552909A-B0CC-4BB1-9826-E39C75C911B6}"/>
    <cellStyle name="Comma 4 2 3 3 2 2 4" xfId="28283" xr:uid="{AF6187F7-679D-4A83-B49A-D0E05F713DDD}"/>
    <cellStyle name="Comma 4 2 3 3 2 2 5" xfId="11395" xr:uid="{5A04E12E-20A1-4564-8862-47A597D546FC}"/>
    <cellStyle name="Comma 4 2 3 3 2 3" xfId="5026" xr:uid="{00000000-0005-0000-0000-00008E080000}"/>
    <cellStyle name="Comma 4 2 3 3 2 3 2" xfId="21909" xr:uid="{1DAC785C-9D28-4CA5-B680-9E4BCBAA4A35}"/>
    <cellStyle name="Comma 4 2 3 3 2 3 3" xfId="30355" xr:uid="{D05B1D02-6B90-422F-AA60-0D1570734FCE}"/>
    <cellStyle name="Comma 4 2 3 3 2 3 4" xfId="13468" xr:uid="{CFABE0DF-97AE-4342-89AF-C77483A2CBFB}"/>
    <cellStyle name="Comma 4 2 3 3 2 4" xfId="17691" xr:uid="{31001633-FB5A-423D-9528-46AFBD692A86}"/>
    <cellStyle name="Comma 4 2 3 3 2 5" xfId="26136" xr:uid="{1F0A2C26-D221-4CFC-876B-6EEE59A81AF5}"/>
    <cellStyle name="Comma 4 2 3 3 2 6" xfId="9250" xr:uid="{DE9ECBFA-3CDA-4352-9DAE-324709C1B958}"/>
    <cellStyle name="Comma 4 2 3 3 3" xfId="1130" xr:uid="{00000000-0005-0000-0000-00008F080000}"/>
    <cellStyle name="Comma 4 2 3 3 3 2" xfId="3361" xr:uid="{00000000-0005-0000-0000-000090080000}"/>
    <cellStyle name="Comma 4 2 3 3 3 2 2" xfId="7584" xr:uid="{00000000-0005-0000-0000-000091080000}"/>
    <cellStyle name="Comma 4 2 3 3 3 2 2 2" xfId="24467" xr:uid="{32A827CF-8E2E-4F14-A1FB-FD0915C8A81E}"/>
    <cellStyle name="Comma 4 2 3 3 3 2 2 3" xfId="32913" xr:uid="{9D67C549-C3B9-427E-9106-E363AEA000A8}"/>
    <cellStyle name="Comma 4 2 3 3 3 2 2 4" xfId="16026" xr:uid="{0B4AFEA2-6D6E-4FB8-9842-492AEA714E51}"/>
    <cellStyle name="Comma 4 2 3 3 3 2 3" xfId="20249" xr:uid="{B1E7B8E4-58F9-4C89-A788-6F1A98D83D42}"/>
    <cellStyle name="Comma 4 2 3 3 3 2 4" xfId="28696" xr:uid="{AD5421C2-A75F-4E9B-A3CA-2FE68430246B}"/>
    <cellStyle name="Comma 4 2 3 3 3 2 5" xfId="11808" xr:uid="{2CBDD9C1-7CEF-44ED-A344-A50B9DBF1DF6}"/>
    <cellStyle name="Comma 4 2 3 3 3 3" xfId="5439" xr:uid="{00000000-0005-0000-0000-000092080000}"/>
    <cellStyle name="Comma 4 2 3 3 3 3 2" xfId="22322" xr:uid="{6FBABBCD-4E99-447B-BAAE-555E102C23A7}"/>
    <cellStyle name="Comma 4 2 3 3 3 3 3" xfId="30768" xr:uid="{CCB82A6D-885E-4652-91D9-D261FAFEF58A}"/>
    <cellStyle name="Comma 4 2 3 3 3 3 4" xfId="13881" xr:uid="{172936FE-867B-4344-90CF-E9A3468EE19E}"/>
    <cellStyle name="Comma 4 2 3 3 3 4" xfId="18104" xr:uid="{9EF38473-6AA1-44A4-BC7F-AD6E34CFEEFC}"/>
    <cellStyle name="Comma 4 2 3 3 3 5" xfId="26549" xr:uid="{5AEB241E-55D2-4EBF-BE38-1E616212401D}"/>
    <cellStyle name="Comma 4 2 3 3 3 6" xfId="9663" xr:uid="{DA7CA4D0-AB17-45D3-8C27-8CE1FAC22CD3}"/>
    <cellStyle name="Comma 4 2 3 3 4" xfId="1544" xr:uid="{00000000-0005-0000-0000-000093080000}"/>
    <cellStyle name="Comma 4 2 3 3 4 2" xfId="3774" xr:uid="{00000000-0005-0000-0000-000094080000}"/>
    <cellStyle name="Comma 4 2 3 3 4 2 2" xfId="7997" xr:uid="{00000000-0005-0000-0000-000095080000}"/>
    <cellStyle name="Comma 4 2 3 3 4 2 2 2" xfId="24880" xr:uid="{B3F96817-34FE-4C33-B1EF-24E2C54A6B9F}"/>
    <cellStyle name="Comma 4 2 3 3 4 2 2 3" xfId="33326" xr:uid="{FEDD5A63-0274-4E02-B5D3-23305EC42747}"/>
    <cellStyle name="Comma 4 2 3 3 4 2 2 4" xfId="16439" xr:uid="{EA8ADA6E-8345-4DB6-A3C8-EB3039CA1416}"/>
    <cellStyle name="Comma 4 2 3 3 4 2 3" xfId="20662" xr:uid="{990C5BC8-B0B1-4CEE-A7D9-CC8D4308D303}"/>
    <cellStyle name="Comma 4 2 3 3 4 2 4" xfId="29109" xr:uid="{185541FA-D9C2-456B-ACF2-A2142AF703FE}"/>
    <cellStyle name="Comma 4 2 3 3 4 2 5" xfId="12221" xr:uid="{8DEA11B7-8BF8-47E7-8783-DEF8DF268F3C}"/>
    <cellStyle name="Comma 4 2 3 3 4 3" xfId="5852" xr:uid="{00000000-0005-0000-0000-000096080000}"/>
    <cellStyle name="Comma 4 2 3 3 4 3 2" xfId="22735" xr:uid="{573DAECA-3AF7-4300-8398-9901500F501B}"/>
    <cellStyle name="Comma 4 2 3 3 4 3 3" xfId="31181" xr:uid="{ADD81529-E2AD-41CE-9684-1F9E3760A0A1}"/>
    <cellStyle name="Comma 4 2 3 3 4 3 4" xfId="14294" xr:uid="{A74C115F-D65C-4DAA-9C6A-F9F8C8596AFD}"/>
    <cellStyle name="Comma 4 2 3 3 4 4" xfId="18517" xr:uid="{B4CD8B5E-A773-46D1-A278-0D55AAC7DBA2}"/>
    <cellStyle name="Comma 4 2 3 3 4 5" xfId="26962" xr:uid="{08054CD9-5027-40E2-AFFB-F7657188FAF5}"/>
    <cellStyle name="Comma 4 2 3 3 4 6" xfId="10076" xr:uid="{D8C9F568-5E11-4F8D-8715-E220C32DCCB7}"/>
    <cellStyle name="Comma 4 2 3 3 5" xfId="1958" xr:uid="{00000000-0005-0000-0000-000097080000}"/>
    <cellStyle name="Comma 4 2 3 3 5 2" xfId="4187" xr:uid="{00000000-0005-0000-0000-000098080000}"/>
    <cellStyle name="Comma 4 2 3 3 5 2 2" xfId="8410" xr:uid="{00000000-0005-0000-0000-000099080000}"/>
    <cellStyle name="Comma 4 2 3 3 5 2 2 2" xfId="25293" xr:uid="{C37CC830-133C-4D52-9FF8-B3A0F085AC3C}"/>
    <cellStyle name="Comma 4 2 3 3 5 2 2 3" xfId="33739" xr:uid="{2A3B76C8-F6A8-44A3-90B2-4EF741489E23}"/>
    <cellStyle name="Comma 4 2 3 3 5 2 2 4" xfId="16852" xr:uid="{9B8FC730-B010-4CB6-A548-0EAC18489E85}"/>
    <cellStyle name="Comma 4 2 3 3 5 2 3" xfId="21075" xr:uid="{0B864E15-C2F6-4C47-A14B-DEE8546ECE20}"/>
    <cellStyle name="Comma 4 2 3 3 5 2 4" xfId="29522" xr:uid="{158A2318-FB3D-4D88-93D1-054A4D49BF20}"/>
    <cellStyle name="Comma 4 2 3 3 5 2 5" xfId="12634" xr:uid="{2204DAB7-8AA4-43B2-AA23-659B32C8DA63}"/>
    <cellStyle name="Comma 4 2 3 3 5 3" xfId="6265" xr:uid="{00000000-0005-0000-0000-00009A080000}"/>
    <cellStyle name="Comma 4 2 3 3 5 3 2" xfId="23148" xr:uid="{6F13FA03-DC27-4293-A7C9-90A5EDA3558D}"/>
    <cellStyle name="Comma 4 2 3 3 5 3 3" xfId="31594" xr:uid="{8BC64254-F5C9-4FA4-90CB-A11B9E7F6A05}"/>
    <cellStyle name="Comma 4 2 3 3 5 3 4" xfId="14707" xr:uid="{098DDB1F-5924-4246-B50F-F8A4FC63BB2C}"/>
    <cellStyle name="Comma 4 2 3 3 5 4" xfId="18930" xr:uid="{3EDBD6DA-5E52-4CDC-8F80-BA5624D26F4B}"/>
    <cellStyle name="Comma 4 2 3 3 5 5" xfId="27375" xr:uid="{780D6C4D-D1EA-49DE-8709-0A2E74A89C8A}"/>
    <cellStyle name="Comma 4 2 3 3 5 6" xfId="10489" xr:uid="{5CE4521E-8847-4F59-9253-670BE892EAAC}"/>
    <cellStyle name="Comma 4 2 3 3 6" xfId="2393" xr:uid="{00000000-0005-0000-0000-00009B080000}"/>
    <cellStyle name="Comma 4 2 3 3 6 2" xfId="6678" xr:uid="{00000000-0005-0000-0000-00009C080000}"/>
    <cellStyle name="Comma 4 2 3 3 6 2 2" xfId="23561" xr:uid="{2CA4A2DC-C1D7-4D48-AE1B-77C5AD367943}"/>
    <cellStyle name="Comma 4 2 3 3 6 2 3" xfId="32007" xr:uid="{1189FE09-52E9-4ECE-8019-43036D1C9676}"/>
    <cellStyle name="Comma 4 2 3 3 6 2 4" xfId="15120" xr:uid="{F74C7A84-1E9A-4B70-8A64-C1395FFB4539}"/>
    <cellStyle name="Comma 4 2 3 3 6 3" xfId="19343" xr:uid="{BA9B9455-9870-4CBF-B5A7-53F953F33A83}"/>
    <cellStyle name="Comma 4 2 3 3 6 4" xfId="27788" xr:uid="{66452E95-FAEB-445D-8369-485897B4C137}"/>
    <cellStyle name="Comma 4 2 3 3 6 5" xfId="10902" xr:uid="{89F4C892-FA2E-4066-8A16-AB7CDD642E8C}"/>
    <cellStyle name="Comma 4 2 3 3 7" xfId="2370" xr:uid="{00000000-0005-0000-0000-00009D080000}"/>
    <cellStyle name="Comma 4 2 3 3 8" xfId="2771" xr:uid="{00000000-0005-0000-0000-00009E080000}"/>
    <cellStyle name="Comma 4 2 3 3 8 2" xfId="6995" xr:uid="{00000000-0005-0000-0000-00009F080000}"/>
    <cellStyle name="Comma 4 2 3 3 8 2 2" xfId="23878" xr:uid="{B2DF8C5A-456B-4B26-8A78-DD9854CEADAE}"/>
    <cellStyle name="Comma 4 2 3 3 8 2 3" xfId="32324" xr:uid="{83873CB6-E5FC-4AA7-8447-CCD06E4BE78D}"/>
    <cellStyle name="Comma 4 2 3 3 8 2 4" xfId="15437" xr:uid="{9FB6C903-C934-4EAA-865A-5B8BB1A61A3F}"/>
    <cellStyle name="Comma 4 2 3 3 8 3" xfId="19660" xr:uid="{F166388E-961D-451B-ACEB-79A82D14F9EF}"/>
    <cellStyle name="Comma 4 2 3 3 8 4" xfId="28107" xr:uid="{AA5FE67F-78F9-4CBF-B0B2-1699695330D2}"/>
    <cellStyle name="Comma 4 2 3 3 8 5" xfId="11219" xr:uid="{EB684616-6C9B-4250-8466-41D3139E0BFB}"/>
    <cellStyle name="Comma 4 2 3 3 9" xfId="4612" xr:uid="{00000000-0005-0000-0000-0000A0080000}"/>
    <cellStyle name="Comma 4 2 3 3 9 2" xfId="21495" xr:uid="{F7C8B385-1C4C-44D6-9656-0D0FD31A8AE7}"/>
    <cellStyle name="Comma 4 2 3 3 9 3" xfId="29941" xr:uid="{0B6C1986-B605-4E6B-9A8C-26CBF0C0E49A}"/>
    <cellStyle name="Comma 4 2 3 3 9 4" xfId="13054" xr:uid="{0A75FB8B-CBBB-4E39-8B59-4C50E264D822}"/>
    <cellStyle name="Comma 4 2 3 4" xfId="674" xr:uid="{00000000-0005-0000-0000-0000A1080000}"/>
    <cellStyle name="Comma 4 2 3 4 2" xfId="2945" xr:uid="{00000000-0005-0000-0000-0000A2080000}"/>
    <cellStyle name="Comma 4 2 3 4 2 2" xfId="7168" xr:uid="{00000000-0005-0000-0000-0000A3080000}"/>
    <cellStyle name="Comma 4 2 3 4 2 2 2" xfId="24051" xr:uid="{9848D9EF-A920-44C2-B769-55F4C7520788}"/>
    <cellStyle name="Comma 4 2 3 4 2 2 3" xfId="32497" xr:uid="{41C8578D-CFA1-436F-9B35-5311CF33C24D}"/>
    <cellStyle name="Comma 4 2 3 4 2 2 4" xfId="15610" xr:uid="{C3D3BEDC-BA34-4677-B50E-EFE94BB9E74C}"/>
    <cellStyle name="Comma 4 2 3 4 2 3" xfId="19833" xr:uid="{C9ABC815-8E55-4DAA-970F-369A0D62C2F8}"/>
    <cellStyle name="Comma 4 2 3 4 2 4" xfId="28280" xr:uid="{74D994B9-E23C-4425-A071-B663F5798D96}"/>
    <cellStyle name="Comma 4 2 3 4 2 5" xfId="11392" xr:uid="{57EB655E-545C-4741-A78A-51D33DE18CBB}"/>
    <cellStyle name="Comma 4 2 3 4 3" xfId="5023" xr:uid="{00000000-0005-0000-0000-0000A4080000}"/>
    <cellStyle name="Comma 4 2 3 4 3 2" xfId="21906" xr:uid="{E4C2D575-2BF6-408C-AAEA-ABE21882AE6A}"/>
    <cellStyle name="Comma 4 2 3 4 3 3" xfId="30352" xr:uid="{2A5EFFF7-A93A-46F2-A447-CA14CA98FF48}"/>
    <cellStyle name="Comma 4 2 3 4 3 4" xfId="13465" xr:uid="{C2348A3D-13D1-4C6D-BFC1-FFA885BB595A}"/>
    <cellStyle name="Comma 4 2 3 4 4" xfId="17688" xr:uid="{72681E4A-F264-471E-8BD0-3A8D45668D2E}"/>
    <cellStyle name="Comma 4 2 3 4 5" xfId="26133" xr:uid="{99F18C02-510D-4D40-9E90-2488E3358EA5}"/>
    <cellStyle name="Comma 4 2 3 4 6" xfId="9247" xr:uid="{1D1BE30F-298A-47C9-B82D-0BBADF6F8C2D}"/>
    <cellStyle name="Comma 4 2 3 5" xfId="1127" xr:uid="{00000000-0005-0000-0000-0000A5080000}"/>
    <cellStyle name="Comma 4 2 3 5 2" xfId="3358" xr:uid="{00000000-0005-0000-0000-0000A6080000}"/>
    <cellStyle name="Comma 4 2 3 5 2 2" xfId="7581" xr:uid="{00000000-0005-0000-0000-0000A7080000}"/>
    <cellStyle name="Comma 4 2 3 5 2 2 2" xfId="24464" xr:uid="{843A82E2-E0CC-4BC6-92E7-7D1D1B14FF9D}"/>
    <cellStyle name="Comma 4 2 3 5 2 2 3" xfId="32910" xr:uid="{B4583D9A-7DB6-4A2A-93CA-06BC1B101804}"/>
    <cellStyle name="Comma 4 2 3 5 2 2 4" xfId="16023" xr:uid="{F5ADF441-729B-4D52-B990-EE180CA58A59}"/>
    <cellStyle name="Comma 4 2 3 5 2 3" xfId="20246" xr:uid="{A369B990-3EB9-450E-87B0-C91A47D22F7C}"/>
    <cellStyle name="Comma 4 2 3 5 2 4" xfId="28693" xr:uid="{E7EF1B92-3FA7-42E6-B4DD-5191A1D82019}"/>
    <cellStyle name="Comma 4 2 3 5 2 5" xfId="11805" xr:uid="{57DAB120-6193-410C-B057-1E4E6B3FDE6C}"/>
    <cellStyle name="Comma 4 2 3 5 3" xfId="5436" xr:uid="{00000000-0005-0000-0000-0000A8080000}"/>
    <cellStyle name="Comma 4 2 3 5 3 2" xfId="22319" xr:uid="{39640FAD-423E-485E-A5B2-5AA09A0B2D68}"/>
    <cellStyle name="Comma 4 2 3 5 3 3" xfId="30765" xr:uid="{CE4A9D01-5BCD-4560-AD0F-7817F3D5A92E}"/>
    <cellStyle name="Comma 4 2 3 5 3 4" xfId="13878" xr:uid="{73183C48-388E-43EB-AAE5-62E7266B56E3}"/>
    <cellStyle name="Comma 4 2 3 5 4" xfId="18101" xr:uid="{8485AE9A-16FB-4FFD-8663-1B69209F2969}"/>
    <cellStyle name="Comma 4 2 3 5 5" xfId="26546" xr:uid="{0EA73D78-69FD-4B2A-832C-EA863BF98409}"/>
    <cellStyle name="Comma 4 2 3 5 6" xfId="9660" xr:uid="{2CE2EEAF-7229-4DBB-B6CE-A2090E2FE642}"/>
    <cellStyle name="Comma 4 2 3 6" xfId="1541" xr:uid="{00000000-0005-0000-0000-0000A9080000}"/>
    <cellStyle name="Comma 4 2 3 6 2" xfId="3771" xr:uid="{00000000-0005-0000-0000-0000AA080000}"/>
    <cellStyle name="Comma 4 2 3 6 2 2" xfId="7994" xr:uid="{00000000-0005-0000-0000-0000AB080000}"/>
    <cellStyle name="Comma 4 2 3 6 2 2 2" xfId="24877" xr:uid="{1066E628-1151-458A-8713-758005FCBF4F}"/>
    <cellStyle name="Comma 4 2 3 6 2 2 3" xfId="33323" xr:uid="{7209D0C4-19E3-4F57-ACF5-3F21CFA87313}"/>
    <cellStyle name="Comma 4 2 3 6 2 2 4" xfId="16436" xr:uid="{BDD8A96C-6FB2-4DC1-995C-4C356C281FF4}"/>
    <cellStyle name="Comma 4 2 3 6 2 3" xfId="20659" xr:uid="{DE7FF112-857B-435F-8B60-72E3B2F6489A}"/>
    <cellStyle name="Comma 4 2 3 6 2 4" xfId="29106" xr:uid="{89DE8398-00AB-49BE-A0C6-333DA080D810}"/>
    <cellStyle name="Comma 4 2 3 6 2 5" xfId="12218" xr:uid="{2158EA82-A151-4FB2-A99B-0DAC479CFE52}"/>
    <cellStyle name="Comma 4 2 3 6 3" xfId="5849" xr:uid="{00000000-0005-0000-0000-0000AC080000}"/>
    <cellStyle name="Comma 4 2 3 6 3 2" xfId="22732" xr:uid="{DEF63E65-126E-4523-AF63-A05DDFCAB915}"/>
    <cellStyle name="Comma 4 2 3 6 3 3" xfId="31178" xr:uid="{26282C88-2337-4858-A83B-4D56A65F34D7}"/>
    <cellStyle name="Comma 4 2 3 6 3 4" xfId="14291" xr:uid="{6C55C96A-40ED-443A-B7FC-9DF268AAD323}"/>
    <cellStyle name="Comma 4 2 3 6 4" xfId="18514" xr:uid="{2DBD67C7-241A-4F23-BA08-FE7645FEA79E}"/>
    <cellStyle name="Comma 4 2 3 6 5" xfId="26959" xr:uid="{14B21D98-4D00-442A-A06E-902F3BB959D2}"/>
    <cellStyle name="Comma 4 2 3 6 6" xfId="10073" xr:uid="{82AB07DE-28FD-471E-B35F-9FD24E851206}"/>
    <cellStyle name="Comma 4 2 3 7" xfId="1955" xr:uid="{00000000-0005-0000-0000-0000AD080000}"/>
    <cellStyle name="Comma 4 2 3 7 2" xfId="4184" xr:uid="{00000000-0005-0000-0000-0000AE080000}"/>
    <cellStyle name="Comma 4 2 3 7 2 2" xfId="8407" xr:uid="{00000000-0005-0000-0000-0000AF080000}"/>
    <cellStyle name="Comma 4 2 3 7 2 2 2" xfId="25290" xr:uid="{FA860B9E-8683-4FEC-B7F2-A7F1562EF484}"/>
    <cellStyle name="Comma 4 2 3 7 2 2 3" xfId="33736" xr:uid="{17BC08B6-5D74-47E0-A181-BCBA241B480C}"/>
    <cellStyle name="Comma 4 2 3 7 2 2 4" xfId="16849" xr:uid="{5AE1C205-2702-4AE5-B7EE-5829E00CB34B}"/>
    <cellStyle name="Comma 4 2 3 7 2 3" xfId="21072" xr:uid="{5D5972A3-6C8D-4580-BD66-0D4423D34D70}"/>
    <cellStyle name="Comma 4 2 3 7 2 4" xfId="29519" xr:uid="{DE07CBA8-2488-4806-A82B-7E61FE937716}"/>
    <cellStyle name="Comma 4 2 3 7 2 5" xfId="12631" xr:uid="{72F5DA1E-ED1B-44BD-917E-F6213B630B61}"/>
    <cellStyle name="Comma 4 2 3 7 3" xfId="6262" xr:uid="{00000000-0005-0000-0000-0000B0080000}"/>
    <cellStyle name="Comma 4 2 3 7 3 2" xfId="23145" xr:uid="{5AD67AC9-A1DF-4CF3-838B-61ECA9BA2756}"/>
    <cellStyle name="Comma 4 2 3 7 3 3" xfId="31591" xr:uid="{5FCEE3E5-ED7A-40CD-80A3-C4D733DE17A1}"/>
    <cellStyle name="Comma 4 2 3 7 3 4" xfId="14704" xr:uid="{BEBC8071-9DF1-4F03-AAF3-DFAE3507ABB8}"/>
    <cellStyle name="Comma 4 2 3 7 4" xfId="18927" xr:uid="{7644B6AD-A958-4C2E-936B-1A3283028E31}"/>
    <cellStyle name="Comma 4 2 3 7 5" xfId="27372" xr:uid="{2B686CCF-B6A7-4D0A-AEF0-E36C7367AE1A}"/>
    <cellStyle name="Comma 4 2 3 7 6" xfId="10486" xr:uid="{D6F3DFF4-7197-4BC9-AC61-3FD89E6D99A2}"/>
    <cellStyle name="Comma 4 2 3 8" xfId="2390" xr:uid="{00000000-0005-0000-0000-0000B1080000}"/>
    <cellStyle name="Comma 4 2 3 8 2" xfId="6675" xr:uid="{00000000-0005-0000-0000-0000B2080000}"/>
    <cellStyle name="Comma 4 2 3 8 2 2" xfId="23558" xr:uid="{F8A12B39-20D8-4ADC-B4D2-627CAA0D388F}"/>
    <cellStyle name="Comma 4 2 3 8 2 3" xfId="32004" xr:uid="{185BD123-CA7B-42D3-B500-D9E32537E94C}"/>
    <cellStyle name="Comma 4 2 3 8 2 4" xfId="15117" xr:uid="{EB8C267E-290D-4DA3-831E-6828639A443D}"/>
    <cellStyle name="Comma 4 2 3 8 3" xfId="19340" xr:uid="{25633A20-3443-48A0-96D4-F65C9DC76339}"/>
    <cellStyle name="Comma 4 2 3 8 4" xfId="27785" xr:uid="{A0C8982C-BD3E-44B8-8E72-81A8993F9453}"/>
    <cellStyle name="Comma 4 2 3 8 5" xfId="10899" xr:uid="{0BC1DC96-3009-4BDB-AFA1-7AB4EE4A32EF}"/>
    <cellStyle name="Comma 4 2 3 9" xfId="2373" xr:uid="{00000000-0005-0000-0000-0000B3080000}"/>
    <cellStyle name="Comma 4 2 4" xfId="140" xr:uid="{00000000-0005-0000-0000-0000B4080000}"/>
    <cellStyle name="Comma 4 2 4 10" xfId="4613" xr:uid="{00000000-0005-0000-0000-0000B5080000}"/>
    <cellStyle name="Comma 4 2 4 10 2" xfId="21496" xr:uid="{CC113D2A-8934-4554-8EF3-B3583D34E8B2}"/>
    <cellStyle name="Comma 4 2 4 10 3" xfId="29942" xr:uid="{96612FDF-8EFA-4B6E-B5F7-A380B8A128B2}"/>
    <cellStyle name="Comma 4 2 4 10 4" xfId="13055" xr:uid="{2EE5AEA8-4849-4A5F-A7D8-9B2DE0A8C503}"/>
    <cellStyle name="Comma 4 2 4 11" xfId="17278" xr:uid="{698CE027-29A6-4A67-96E3-91DDFC83E071}"/>
    <cellStyle name="Comma 4 2 4 12" xfId="25721" xr:uid="{C5913528-1859-4E90-8DFD-4697E1817EAD}"/>
    <cellStyle name="Comma 4 2 4 13" xfId="8837" xr:uid="{F5213876-A049-4028-9850-60FD80D4AAB1}"/>
    <cellStyle name="Comma 4 2 4 2" xfId="141" xr:uid="{00000000-0005-0000-0000-0000B6080000}"/>
    <cellStyle name="Comma 4 2 4 2 10" xfId="17279" xr:uid="{6A6F1929-9B67-4BF7-AF1F-C5617CEDBF8B}"/>
    <cellStyle name="Comma 4 2 4 2 11" xfId="25722" xr:uid="{19C9891D-6D64-422B-845E-3B084D2F9E19}"/>
    <cellStyle name="Comma 4 2 4 2 12" xfId="8838" xr:uid="{09D06202-8381-4ABB-A08A-46BF80827C84}"/>
    <cellStyle name="Comma 4 2 4 2 2" xfId="679" xr:uid="{00000000-0005-0000-0000-0000B7080000}"/>
    <cellStyle name="Comma 4 2 4 2 2 2" xfId="2950" xr:uid="{00000000-0005-0000-0000-0000B8080000}"/>
    <cellStyle name="Comma 4 2 4 2 2 2 2" xfId="7173" xr:uid="{00000000-0005-0000-0000-0000B9080000}"/>
    <cellStyle name="Comma 4 2 4 2 2 2 2 2" xfId="24056" xr:uid="{53A08A00-0483-46DF-B33F-2F3B7D57F7A3}"/>
    <cellStyle name="Comma 4 2 4 2 2 2 2 3" xfId="32502" xr:uid="{BC55ACFC-615B-4804-A3A0-20085DDE6A3F}"/>
    <cellStyle name="Comma 4 2 4 2 2 2 2 4" xfId="15615" xr:uid="{CEF24830-496A-48DF-9FF5-A55388FB783A}"/>
    <cellStyle name="Comma 4 2 4 2 2 2 3" xfId="19838" xr:uid="{D6042BF4-7DA0-4644-98D4-F5340A7A65C1}"/>
    <cellStyle name="Comma 4 2 4 2 2 2 4" xfId="28285" xr:uid="{CFF67987-64E9-4480-9928-5F8E1C22F453}"/>
    <cellStyle name="Comma 4 2 4 2 2 2 5" xfId="11397" xr:uid="{D6C22699-0729-4A1A-A9E6-751B03A24030}"/>
    <cellStyle name="Comma 4 2 4 2 2 3" xfId="5028" xr:uid="{00000000-0005-0000-0000-0000BA080000}"/>
    <cellStyle name="Comma 4 2 4 2 2 3 2" xfId="21911" xr:uid="{BBD47A76-A1BE-4B2A-99F7-425AADF43886}"/>
    <cellStyle name="Comma 4 2 4 2 2 3 3" xfId="30357" xr:uid="{2189A7F0-794D-4367-A8CD-984CE9C18498}"/>
    <cellStyle name="Comma 4 2 4 2 2 3 4" xfId="13470" xr:uid="{F4459FEE-21C6-4970-8F66-06BA498603EB}"/>
    <cellStyle name="Comma 4 2 4 2 2 4" xfId="17693" xr:uid="{2A4AD30A-E1D4-4956-8A5E-6BFBC96A2023}"/>
    <cellStyle name="Comma 4 2 4 2 2 5" xfId="26138" xr:uid="{C0F7639A-695B-49F2-B200-4DFC4869AF97}"/>
    <cellStyle name="Comma 4 2 4 2 2 6" xfId="9252" xr:uid="{A81625B7-A91A-4868-B1C1-5535BC99C866}"/>
    <cellStyle name="Comma 4 2 4 2 3" xfId="1132" xr:uid="{00000000-0005-0000-0000-0000BB080000}"/>
    <cellStyle name="Comma 4 2 4 2 3 2" xfId="3363" xr:uid="{00000000-0005-0000-0000-0000BC080000}"/>
    <cellStyle name="Comma 4 2 4 2 3 2 2" xfId="7586" xr:uid="{00000000-0005-0000-0000-0000BD080000}"/>
    <cellStyle name="Comma 4 2 4 2 3 2 2 2" xfId="24469" xr:uid="{4799392D-FC4D-4322-BA24-239B1C504916}"/>
    <cellStyle name="Comma 4 2 4 2 3 2 2 3" xfId="32915" xr:uid="{334FF616-C361-4BEA-95AD-6C33041BD789}"/>
    <cellStyle name="Comma 4 2 4 2 3 2 2 4" xfId="16028" xr:uid="{11D227F3-5553-4F9D-8E63-35BCA389A502}"/>
    <cellStyle name="Comma 4 2 4 2 3 2 3" xfId="20251" xr:uid="{4288727F-3161-4C59-9A3D-CF866E15BAF6}"/>
    <cellStyle name="Comma 4 2 4 2 3 2 4" xfId="28698" xr:uid="{D1DB7620-126B-49C4-980A-2CC0F9D0F3AC}"/>
    <cellStyle name="Comma 4 2 4 2 3 2 5" xfId="11810" xr:uid="{2D48285B-67C6-459B-9FA1-16169050EACF}"/>
    <cellStyle name="Comma 4 2 4 2 3 3" xfId="5441" xr:uid="{00000000-0005-0000-0000-0000BE080000}"/>
    <cellStyle name="Comma 4 2 4 2 3 3 2" xfId="22324" xr:uid="{2A93F657-1DDC-492B-9E3D-E5BA4BFE58A5}"/>
    <cellStyle name="Comma 4 2 4 2 3 3 3" xfId="30770" xr:uid="{E9FA4B35-338A-4EC1-8939-8325644141F3}"/>
    <cellStyle name="Comma 4 2 4 2 3 3 4" xfId="13883" xr:uid="{66087B86-3FF9-4545-A220-D2F5D9841E1B}"/>
    <cellStyle name="Comma 4 2 4 2 3 4" xfId="18106" xr:uid="{2D5A614F-6DA7-4E98-8845-7FE33F0157BE}"/>
    <cellStyle name="Comma 4 2 4 2 3 5" xfId="26551" xr:uid="{846832DA-BFD9-44A1-BEC3-1BEDDF416C3D}"/>
    <cellStyle name="Comma 4 2 4 2 3 6" xfId="9665" xr:uid="{FB91BDBA-A1EA-42E3-B45A-F423676117EE}"/>
    <cellStyle name="Comma 4 2 4 2 4" xfId="1546" xr:uid="{00000000-0005-0000-0000-0000BF080000}"/>
    <cellStyle name="Comma 4 2 4 2 4 2" xfId="3776" xr:uid="{00000000-0005-0000-0000-0000C0080000}"/>
    <cellStyle name="Comma 4 2 4 2 4 2 2" xfId="7999" xr:uid="{00000000-0005-0000-0000-0000C1080000}"/>
    <cellStyle name="Comma 4 2 4 2 4 2 2 2" xfId="24882" xr:uid="{35ED1319-070F-4CC6-97AE-089768F57317}"/>
    <cellStyle name="Comma 4 2 4 2 4 2 2 3" xfId="33328" xr:uid="{059B04AE-3B8F-475D-80B7-2AD560ABE015}"/>
    <cellStyle name="Comma 4 2 4 2 4 2 2 4" xfId="16441" xr:uid="{3A2EC31B-FDE5-4BBB-899C-57EB5AC7F68E}"/>
    <cellStyle name="Comma 4 2 4 2 4 2 3" xfId="20664" xr:uid="{83377209-07D7-4F81-B284-476108BCD277}"/>
    <cellStyle name="Comma 4 2 4 2 4 2 4" xfId="29111" xr:uid="{5EA25FE5-DAC6-4EF8-AC29-9314CBF060A2}"/>
    <cellStyle name="Comma 4 2 4 2 4 2 5" xfId="12223" xr:uid="{4BFFC8FD-F259-4151-92BF-45982276D3E6}"/>
    <cellStyle name="Comma 4 2 4 2 4 3" xfId="5854" xr:uid="{00000000-0005-0000-0000-0000C2080000}"/>
    <cellStyle name="Comma 4 2 4 2 4 3 2" xfId="22737" xr:uid="{F8B56DEC-4EFF-4E0C-9C87-CB040BC0727B}"/>
    <cellStyle name="Comma 4 2 4 2 4 3 3" xfId="31183" xr:uid="{B3D578D1-4144-4436-9A2A-2444C3620B3D}"/>
    <cellStyle name="Comma 4 2 4 2 4 3 4" xfId="14296" xr:uid="{68CE5A14-419C-482A-BEE2-13F2BBD4091B}"/>
    <cellStyle name="Comma 4 2 4 2 4 4" xfId="18519" xr:uid="{591ECC4D-D6C3-45E1-81C5-3FF5DCCA6787}"/>
    <cellStyle name="Comma 4 2 4 2 4 5" xfId="26964" xr:uid="{DCA607FD-FF91-488D-AFF0-2FB96293DC97}"/>
    <cellStyle name="Comma 4 2 4 2 4 6" xfId="10078" xr:uid="{9ED37D0F-980F-48B8-B124-950F9E6D78C6}"/>
    <cellStyle name="Comma 4 2 4 2 5" xfId="1960" xr:uid="{00000000-0005-0000-0000-0000C3080000}"/>
    <cellStyle name="Comma 4 2 4 2 5 2" xfId="4189" xr:uid="{00000000-0005-0000-0000-0000C4080000}"/>
    <cellStyle name="Comma 4 2 4 2 5 2 2" xfId="8412" xr:uid="{00000000-0005-0000-0000-0000C5080000}"/>
    <cellStyle name="Comma 4 2 4 2 5 2 2 2" xfId="25295" xr:uid="{57047E0E-F97B-4F24-9DCC-794B90A0BB90}"/>
    <cellStyle name="Comma 4 2 4 2 5 2 2 3" xfId="33741" xr:uid="{DEEFD2B5-637D-4E17-89BD-A3157C1AB22B}"/>
    <cellStyle name="Comma 4 2 4 2 5 2 2 4" xfId="16854" xr:uid="{1B477CFB-DD60-4577-8E6D-FCDB22F8AC59}"/>
    <cellStyle name="Comma 4 2 4 2 5 2 3" xfId="21077" xr:uid="{233AD7E4-2981-456E-A3FA-A1B5AFDC3E63}"/>
    <cellStyle name="Comma 4 2 4 2 5 2 4" xfId="29524" xr:uid="{1ED9F7E2-A814-4DB2-8E76-15962A7D3016}"/>
    <cellStyle name="Comma 4 2 4 2 5 2 5" xfId="12636" xr:uid="{F9F0F54D-E1A0-4B0B-A3E9-21442C022076}"/>
    <cellStyle name="Comma 4 2 4 2 5 3" xfId="6267" xr:uid="{00000000-0005-0000-0000-0000C6080000}"/>
    <cellStyle name="Comma 4 2 4 2 5 3 2" xfId="23150" xr:uid="{0B24381F-55C7-4E20-AA8E-25623678D2EB}"/>
    <cellStyle name="Comma 4 2 4 2 5 3 3" xfId="31596" xr:uid="{F3D6CA85-4E3C-4545-A78E-56D04CCC9F72}"/>
    <cellStyle name="Comma 4 2 4 2 5 3 4" xfId="14709" xr:uid="{43C76052-3F08-4006-A7F0-C23A831D30C6}"/>
    <cellStyle name="Comma 4 2 4 2 5 4" xfId="18932" xr:uid="{DC4D163E-DF62-4B12-A441-8B225789849B}"/>
    <cellStyle name="Comma 4 2 4 2 5 5" xfId="27377" xr:uid="{C06FA3D8-12FB-4A8E-A481-7C531D388D02}"/>
    <cellStyle name="Comma 4 2 4 2 5 6" xfId="10491" xr:uid="{6FA760BE-54D6-4EC7-A7DE-14A21B73B3F9}"/>
    <cellStyle name="Comma 4 2 4 2 6" xfId="2395" xr:uid="{00000000-0005-0000-0000-0000C7080000}"/>
    <cellStyle name="Comma 4 2 4 2 6 2" xfId="6680" xr:uid="{00000000-0005-0000-0000-0000C8080000}"/>
    <cellStyle name="Comma 4 2 4 2 6 2 2" xfId="23563" xr:uid="{ADA596B9-22F3-4703-B750-21056DE4F312}"/>
    <cellStyle name="Comma 4 2 4 2 6 2 3" xfId="32009" xr:uid="{F79E6B2C-B3B1-4443-B3DF-E56186659BFD}"/>
    <cellStyle name="Comma 4 2 4 2 6 2 4" xfId="15122" xr:uid="{B0F3EA2E-E41C-4260-A42B-BBDDE353D3CD}"/>
    <cellStyle name="Comma 4 2 4 2 6 3" xfId="19345" xr:uid="{3B0426BB-78F0-46AF-B7EF-DADF4AA51D7F}"/>
    <cellStyle name="Comma 4 2 4 2 6 4" xfId="27790" xr:uid="{89572611-E02C-48FD-9D03-13CFD80702C9}"/>
    <cellStyle name="Comma 4 2 4 2 6 5" xfId="10904" xr:uid="{6683ECE6-E350-40BC-A1F7-5FFC2592F903}"/>
    <cellStyle name="Comma 4 2 4 2 7" xfId="2368" xr:uid="{00000000-0005-0000-0000-0000C9080000}"/>
    <cellStyle name="Comma 4 2 4 2 8" xfId="2773" xr:uid="{00000000-0005-0000-0000-0000CA080000}"/>
    <cellStyle name="Comma 4 2 4 2 8 2" xfId="6997" xr:uid="{00000000-0005-0000-0000-0000CB080000}"/>
    <cellStyle name="Comma 4 2 4 2 8 2 2" xfId="23880" xr:uid="{F6EBA2E2-908E-4A69-B99C-9ACB8B17B02D}"/>
    <cellStyle name="Comma 4 2 4 2 8 2 3" xfId="32326" xr:uid="{C8E58DD9-1CCE-479A-9EF4-F9DD77FBFF73}"/>
    <cellStyle name="Comma 4 2 4 2 8 2 4" xfId="15439" xr:uid="{73A60A98-6E7B-42CD-8539-D0E0A1565E28}"/>
    <cellStyle name="Comma 4 2 4 2 8 3" xfId="19662" xr:uid="{7D7409E3-2776-4A93-9348-D56230C0376A}"/>
    <cellStyle name="Comma 4 2 4 2 8 4" xfId="28109" xr:uid="{647C0344-EBE1-469B-8D3A-17E52C189F9B}"/>
    <cellStyle name="Comma 4 2 4 2 8 5" xfId="11221" xr:uid="{8DA67CC6-4973-400A-B345-792A19953226}"/>
    <cellStyle name="Comma 4 2 4 2 9" xfId="4614" xr:uid="{00000000-0005-0000-0000-0000CC080000}"/>
    <cellStyle name="Comma 4 2 4 2 9 2" xfId="21497" xr:uid="{9C80C9AE-67A6-4EE4-9DB9-CC9291B8996E}"/>
    <cellStyle name="Comma 4 2 4 2 9 3" xfId="29943" xr:uid="{4F0A6078-E08A-412A-83B5-804D8197CFEA}"/>
    <cellStyle name="Comma 4 2 4 2 9 4" xfId="13056" xr:uid="{FFB0C487-2814-40A7-AEEE-4AB08C65DAAB}"/>
    <cellStyle name="Comma 4 2 4 3" xfId="678" xr:uid="{00000000-0005-0000-0000-0000CD080000}"/>
    <cellStyle name="Comma 4 2 4 3 2" xfId="2949" xr:uid="{00000000-0005-0000-0000-0000CE080000}"/>
    <cellStyle name="Comma 4 2 4 3 2 2" xfId="7172" xr:uid="{00000000-0005-0000-0000-0000CF080000}"/>
    <cellStyle name="Comma 4 2 4 3 2 2 2" xfId="24055" xr:uid="{E033F2A8-D08C-4F83-9409-BDBD6AB773C8}"/>
    <cellStyle name="Comma 4 2 4 3 2 2 3" xfId="32501" xr:uid="{ADC88970-7033-4505-AC9F-7E48319EE525}"/>
    <cellStyle name="Comma 4 2 4 3 2 2 4" xfId="15614" xr:uid="{DDFE85ED-D2BE-49F9-BC91-EDAA3FEE7E97}"/>
    <cellStyle name="Comma 4 2 4 3 2 3" xfId="19837" xr:uid="{11B103D5-5611-45D0-ABE2-997F2D521EE5}"/>
    <cellStyle name="Comma 4 2 4 3 2 4" xfId="28284" xr:uid="{34AC47E3-1AE0-400E-B6BC-1A15A8D4FADE}"/>
    <cellStyle name="Comma 4 2 4 3 2 5" xfId="11396" xr:uid="{32333EC8-68CC-4933-9CE8-9F6513CAA786}"/>
    <cellStyle name="Comma 4 2 4 3 3" xfId="5027" xr:uid="{00000000-0005-0000-0000-0000D0080000}"/>
    <cellStyle name="Comma 4 2 4 3 3 2" xfId="21910" xr:uid="{1451E3CC-F209-49B4-BA18-29542219ED4A}"/>
    <cellStyle name="Comma 4 2 4 3 3 3" xfId="30356" xr:uid="{BB1DAF1B-DFFF-4710-BBBB-469145C212BE}"/>
    <cellStyle name="Comma 4 2 4 3 3 4" xfId="13469" xr:uid="{7E27224F-7EED-426B-8D98-90C4DCDA9FBE}"/>
    <cellStyle name="Comma 4 2 4 3 4" xfId="17692" xr:uid="{9C373DB0-32B9-4D7D-9C79-5A93092F7A04}"/>
    <cellStyle name="Comma 4 2 4 3 5" xfId="26137" xr:uid="{5812B823-ACEF-4C52-B3C1-FEEA656FF3A1}"/>
    <cellStyle name="Comma 4 2 4 3 6" xfId="9251" xr:uid="{797B9707-FB8A-4389-878B-B745A43D0BC8}"/>
    <cellStyle name="Comma 4 2 4 4" xfId="1131" xr:uid="{00000000-0005-0000-0000-0000D1080000}"/>
    <cellStyle name="Comma 4 2 4 4 2" xfId="3362" xr:uid="{00000000-0005-0000-0000-0000D2080000}"/>
    <cellStyle name="Comma 4 2 4 4 2 2" xfId="7585" xr:uid="{00000000-0005-0000-0000-0000D3080000}"/>
    <cellStyle name="Comma 4 2 4 4 2 2 2" xfId="24468" xr:uid="{733820E3-4145-4CD9-B3CB-C2FB5B9617CF}"/>
    <cellStyle name="Comma 4 2 4 4 2 2 3" xfId="32914" xr:uid="{40E7393C-B575-4A30-A84B-F14EAD04300C}"/>
    <cellStyle name="Comma 4 2 4 4 2 2 4" xfId="16027" xr:uid="{A4FB6302-48E5-495F-A98D-F3FA90A5A51F}"/>
    <cellStyle name="Comma 4 2 4 4 2 3" xfId="20250" xr:uid="{42F86B6D-DB21-4A3C-ABFC-AC4ECA9B82AD}"/>
    <cellStyle name="Comma 4 2 4 4 2 4" xfId="28697" xr:uid="{D25855BB-608B-4A76-A2A0-B7F251B0279B}"/>
    <cellStyle name="Comma 4 2 4 4 2 5" xfId="11809" xr:uid="{BAD80D7D-43BE-4D3C-B3BB-ECC80CAAAC56}"/>
    <cellStyle name="Comma 4 2 4 4 3" xfId="5440" xr:uid="{00000000-0005-0000-0000-0000D4080000}"/>
    <cellStyle name="Comma 4 2 4 4 3 2" xfId="22323" xr:uid="{31AD293E-DE6C-4F74-AB76-F0A2787496A3}"/>
    <cellStyle name="Comma 4 2 4 4 3 3" xfId="30769" xr:uid="{D10B3DB8-3959-4AB0-B510-578DF7034152}"/>
    <cellStyle name="Comma 4 2 4 4 3 4" xfId="13882" xr:uid="{C6A8C628-13C0-477A-84B9-2E0CC464FB2D}"/>
    <cellStyle name="Comma 4 2 4 4 4" xfId="18105" xr:uid="{D87CFC97-C306-4CD7-ACE6-8D2891E574C5}"/>
    <cellStyle name="Comma 4 2 4 4 5" xfId="26550" xr:uid="{F418BCA9-38A2-471D-A140-BC153A02326D}"/>
    <cellStyle name="Comma 4 2 4 4 6" xfId="9664" xr:uid="{5E8350C5-7225-4F9E-BB6D-58B1B2F1D07C}"/>
    <cellStyle name="Comma 4 2 4 5" xfId="1545" xr:uid="{00000000-0005-0000-0000-0000D5080000}"/>
    <cellStyle name="Comma 4 2 4 5 2" xfId="3775" xr:uid="{00000000-0005-0000-0000-0000D6080000}"/>
    <cellStyle name="Comma 4 2 4 5 2 2" xfId="7998" xr:uid="{00000000-0005-0000-0000-0000D7080000}"/>
    <cellStyle name="Comma 4 2 4 5 2 2 2" xfId="24881" xr:uid="{62CB1274-2A93-46D5-9D10-DF8A82319631}"/>
    <cellStyle name="Comma 4 2 4 5 2 2 3" xfId="33327" xr:uid="{7CDC344C-6806-48B2-A7DC-0D264E555069}"/>
    <cellStyle name="Comma 4 2 4 5 2 2 4" xfId="16440" xr:uid="{ED478D3E-E075-44AF-9C0C-84F7B6D63176}"/>
    <cellStyle name="Comma 4 2 4 5 2 3" xfId="20663" xr:uid="{B4C9AC97-5E28-4A2E-BE94-5BFEBC87BE8C}"/>
    <cellStyle name="Comma 4 2 4 5 2 4" xfId="29110" xr:uid="{D9F5B3EC-7686-4E12-A1CA-78980ABE74ED}"/>
    <cellStyle name="Comma 4 2 4 5 2 5" xfId="12222" xr:uid="{454A6257-8045-4AA6-95DB-44317535338D}"/>
    <cellStyle name="Comma 4 2 4 5 3" xfId="5853" xr:uid="{00000000-0005-0000-0000-0000D8080000}"/>
    <cellStyle name="Comma 4 2 4 5 3 2" xfId="22736" xr:uid="{39CDA4B0-C24F-4E2A-AD71-3EDD2B646BB0}"/>
    <cellStyle name="Comma 4 2 4 5 3 3" xfId="31182" xr:uid="{BB2243A2-AB6D-41FD-B286-4737ACD3910E}"/>
    <cellStyle name="Comma 4 2 4 5 3 4" xfId="14295" xr:uid="{557559F6-648D-49A1-8149-221240F1912D}"/>
    <cellStyle name="Comma 4 2 4 5 4" xfId="18518" xr:uid="{307BE503-4C91-414E-9D60-49788877B2F4}"/>
    <cellStyle name="Comma 4 2 4 5 5" xfId="26963" xr:uid="{31FBDFC1-5731-4DC4-8318-C5C856A970BF}"/>
    <cellStyle name="Comma 4 2 4 5 6" xfId="10077" xr:uid="{FB4E6069-B834-4C1A-8D82-4E8AC0E5813B}"/>
    <cellStyle name="Comma 4 2 4 6" xfId="1959" xr:uid="{00000000-0005-0000-0000-0000D9080000}"/>
    <cellStyle name="Comma 4 2 4 6 2" xfId="4188" xr:uid="{00000000-0005-0000-0000-0000DA080000}"/>
    <cellStyle name="Comma 4 2 4 6 2 2" xfId="8411" xr:uid="{00000000-0005-0000-0000-0000DB080000}"/>
    <cellStyle name="Comma 4 2 4 6 2 2 2" xfId="25294" xr:uid="{3A851A64-E262-4499-ADD2-96A86D6CD933}"/>
    <cellStyle name="Comma 4 2 4 6 2 2 3" xfId="33740" xr:uid="{1FBFAB74-61AA-4937-8673-77D4672A6B60}"/>
    <cellStyle name="Comma 4 2 4 6 2 2 4" xfId="16853" xr:uid="{5379A16B-6C05-4E54-B6AA-571567FF42F1}"/>
    <cellStyle name="Comma 4 2 4 6 2 3" xfId="21076" xr:uid="{BC326FFE-5E55-4885-A414-ADF17B32B871}"/>
    <cellStyle name="Comma 4 2 4 6 2 4" xfId="29523" xr:uid="{2B9E1D1F-A921-4474-8561-B6480586A7A2}"/>
    <cellStyle name="Comma 4 2 4 6 2 5" xfId="12635" xr:uid="{B35DCA56-EB58-4336-B491-E04E6B7C62F9}"/>
    <cellStyle name="Comma 4 2 4 6 3" xfId="6266" xr:uid="{00000000-0005-0000-0000-0000DC080000}"/>
    <cellStyle name="Comma 4 2 4 6 3 2" xfId="23149" xr:uid="{1C6C02E2-B177-49C1-8FCC-6500EB05CCDE}"/>
    <cellStyle name="Comma 4 2 4 6 3 3" xfId="31595" xr:uid="{17D72BEB-BBDD-4864-A243-D81A164318C2}"/>
    <cellStyle name="Comma 4 2 4 6 3 4" xfId="14708" xr:uid="{9AE0375B-090D-470B-8FD5-C7E896015745}"/>
    <cellStyle name="Comma 4 2 4 6 4" xfId="18931" xr:uid="{596E05E3-7399-4BA8-8757-66DF0F7BE765}"/>
    <cellStyle name="Comma 4 2 4 6 5" xfId="27376" xr:uid="{E096630B-E391-4169-81A0-BC2B86E02EE2}"/>
    <cellStyle name="Comma 4 2 4 6 6" xfId="10490" xr:uid="{95E497E0-0A23-44FE-982E-D7AB59105FB4}"/>
    <cellStyle name="Comma 4 2 4 7" xfId="2394" xr:uid="{00000000-0005-0000-0000-0000DD080000}"/>
    <cellStyle name="Comma 4 2 4 7 2" xfId="6679" xr:uid="{00000000-0005-0000-0000-0000DE080000}"/>
    <cellStyle name="Comma 4 2 4 7 2 2" xfId="23562" xr:uid="{3AF6B871-1B93-45D0-A5D2-D18282D94372}"/>
    <cellStyle name="Comma 4 2 4 7 2 3" xfId="32008" xr:uid="{36AC10EC-9F16-41F4-A42B-AE97C61F982C}"/>
    <cellStyle name="Comma 4 2 4 7 2 4" xfId="15121" xr:uid="{999EE967-EE0A-41D1-A7A4-BF0FE0F8FBAF}"/>
    <cellStyle name="Comma 4 2 4 7 3" xfId="19344" xr:uid="{302D6B96-55AA-4D37-9588-BC41347615DB}"/>
    <cellStyle name="Comma 4 2 4 7 4" xfId="27789" xr:uid="{C3E614DB-23CF-4B24-BD19-C063401A97F2}"/>
    <cellStyle name="Comma 4 2 4 7 5" xfId="10903" xr:uid="{E24C5804-8863-49D8-88B9-C945ECB81135}"/>
    <cellStyle name="Comma 4 2 4 8" xfId="2369" xr:uid="{00000000-0005-0000-0000-0000DF080000}"/>
    <cellStyle name="Comma 4 2 4 9" xfId="2772" xr:uid="{00000000-0005-0000-0000-0000E0080000}"/>
    <cellStyle name="Comma 4 2 4 9 2" xfId="6996" xr:uid="{00000000-0005-0000-0000-0000E1080000}"/>
    <cellStyle name="Comma 4 2 4 9 2 2" xfId="23879" xr:uid="{BF55EBAB-719E-4D39-8CEE-96BE0026972B}"/>
    <cellStyle name="Comma 4 2 4 9 2 3" xfId="32325" xr:uid="{9A4F4264-B4A6-4FEA-8EDD-0393E539A39B}"/>
    <cellStyle name="Comma 4 2 4 9 2 4" xfId="15438" xr:uid="{5E399944-1D22-4CA9-A1C9-A7AEE6863D1D}"/>
    <cellStyle name="Comma 4 2 4 9 3" xfId="19661" xr:uid="{2308D863-5B6F-4F9D-A646-99723011CEE1}"/>
    <cellStyle name="Comma 4 2 4 9 4" xfId="28108" xr:uid="{9F777968-CC65-4EB0-ABBD-7FB88CD0BC8C}"/>
    <cellStyle name="Comma 4 2 4 9 5" xfId="11220" xr:uid="{6193D454-BF27-4067-9DBA-2561038CCFA6}"/>
    <cellStyle name="Comma 4 2 5" xfId="142" xr:uid="{00000000-0005-0000-0000-0000E2080000}"/>
    <cellStyle name="Comma 4 2 5 10" xfId="17280" xr:uid="{5670235C-0ADE-41EF-9747-8F9AAECC85CE}"/>
    <cellStyle name="Comma 4 2 5 11" xfId="25723" xr:uid="{1889E9E4-0C78-42D9-B550-8BBA2E7EB07F}"/>
    <cellStyle name="Comma 4 2 5 12" xfId="8839" xr:uid="{B015DFD8-66B4-4299-B224-125680D0B881}"/>
    <cellStyle name="Comma 4 2 5 2" xfId="680" xr:uid="{00000000-0005-0000-0000-0000E3080000}"/>
    <cellStyle name="Comma 4 2 5 2 2" xfId="2951" xr:uid="{00000000-0005-0000-0000-0000E4080000}"/>
    <cellStyle name="Comma 4 2 5 2 2 2" xfId="7174" xr:uid="{00000000-0005-0000-0000-0000E5080000}"/>
    <cellStyle name="Comma 4 2 5 2 2 2 2" xfId="24057" xr:uid="{984AC8E0-CFDD-47FC-A058-76A62639BEE4}"/>
    <cellStyle name="Comma 4 2 5 2 2 2 3" xfId="32503" xr:uid="{37F3A7DC-BF57-4B5B-A5FB-3908D1500638}"/>
    <cellStyle name="Comma 4 2 5 2 2 2 4" xfId="15616" xr:uid="{73C4B6BC-496F-40F7-A135-44B7F31D442A}"/>
    <cellStyle name="Comma 4 2 5 2 2 3" xfId="19839" xr:uid="{7503A8C6-935B-4532-B6E8-C22AA1F425ED}"/>
    <cellStyle name="Comma 4 2 5 2 2 4" xfId="28286" xr:uid="{43F98D39-8F09-46DA-B1DB-C912472043B8}"/>
    <cellStyle name="Comma 4 2 5 2 2 5" xfId="11398" xr:uid="{8E0384C4-3C8B-4E62-80CB-1D7F8CBF41CD}"/>
    <cellStyle name="Comma 4 2 5 2 3" xfId="5029" xr:uid="{00000000-0005-0000-0000-0000E6080000}"/>
    <cellStyle name="Comma 4 2 5 2 3 2" xfId="21912" xr:uid="{D0A104DA-9E09-4E4B-B7B4-64AEC77E954B}"/>
    <cellStyle name="Comma 4 2 5 2 3 3" xfId="30358" xr:uid="{8C314FFF-0EA3-459D-9820-60577D249FC9}"/>
    <cellStyle name="Comma 4 2 5 2 3 4" xfId="13471" xr:uid="{180F581E-954E-4151-B4DA-391C0C2347FA}"/>
    <cellStyle name="Comma 4 2 5 2 4" xfId="17694" xr:uid="{7A0B378F-84A1-4D96-93E2-33B1205160F9}"/>
    <cellStyle name="Comma 4 2 5 2 5" xfId="26139" xr:uid="{F1232CE4-C009-48CA-B7E2-86F3D30E3731}"/>
    <cellStyle name="Comma 4 2 5 2 6" xfId="9253" xr:uid="{5BB82EF1-328E-40C9-A0A3-728870115BB0}"/>
    <cellStyle name="Comma 4 2 5 3" xfId="1133" xr:uid="{00000000-0005-0000-0000-0000E7080000}"/>
    <cellStyle name="Comma 4 2 5 3 2" xfId="3364" xr:uid="{00000000-0005-0000-0000-0000E8080000}"/>
    <cellStyle name="Comma 4 2 5 3 2 2" xfId="7587" xr:uid="{00000000-0005-0000-0000-0000E9080000}"/>
    <cellStyle name="Comma 4 2 5 3 2 2 2" xfId="24470" xr:uid="{CE1FD966-A330-4059-9270-4BA57BF0818B}"/>
    <cellStyle name="Comma 4 2 5 3 2 2 3" xfId="32916" xr:uid="{87029C48-F1B9-4DD8-8B00-EC0DF0268170}"/>
    <cellStyle name="Comma 4 2 5 3 2 2 4" xfId="16029" xr:uid="{8BF86B45-E4DD-43FB-B532-D4B2A911A1FE}"/>
    <cellStyle name="Comma 4 2 5 3 2 3" xfId="20252" xr:uid="{8157D617-BF21-48EC-9999-E22B55682E16}"/>
    <cellStyle name="Comma 4 2 5 3 2 4" xfId="28699" xr:uid="{759D18E1-12C7-41E1-8FA2-0222729CD91B}"/>
    <cellStyle name="Comma 4 2 5 3 2 5" xfId="11811" xr:uid="{2E1A391F-A6D4-4EB3-B8FE-24E9C4D00217}"/>
    <cellStyle name="Comma 4 2 5 3 3" xfId="5442" xr:uid="{00000000-0005-0000-0000-0000EA080000}"/>
    <cellStyle name="Comma 4 2 5 3 3 2" xfId="22325" xr:uid="{00EA1243-465B-4862-86E4-D40084826D6E}"/>
    <cellStyle name="Comma 4 2 5 3 3 3" xfId="30771" xr:uid="{837EE3E9-849F-41F2-9DAE-58BB9C023F0E}"/>
    <cellStyle name="Comma 4 2 5 3 3 4" xfId="13884" xr:uid="{1557F238-64C1-4518-BF18-59427C05108C}"/>
    <cellStyle name="Comma 4 2 5 3 4" xfId="18107" xr:uid="{349705B2-CF8D-48FF-B6E9-45F6B57F1CC2}"/>
    <cellStyle name="Comma 4 2 5 3 5" xfId="26552" xr:uid="{5EDCEB95-1284-4BCD-8251-3014D8B7C798}"/>
    <cellStyle name="Comma 4 2 5 3 6" xfId="9666" xr:uid="{0F2074B3-7194-4C42-BC37-342D1875E2BF}"/>
    <cellStyle name="Comma 4 2 5 4" xfId="1547" xr:uid="{00000000-0005-0000-0000-0000EB080000}"/>
    <cellStyle name="Comma 4 2 5 4 2" xfId="3777" xr:uid="{00000000-0005-0000-0000-0000EC080000}"/>
    <cellStyle name="Comma 4 2 5 4 2 2" xfId="8000" xr:uid="{00000000-0005-0000-0000-0000ED080000}"/>
    <cellStyle name="Comma 4 2 5 4 2 2 2" xfId="24883" xr:uid="{D9D2D44F-E921-4ABA-8914-DB8701EC663B}"/>
    <cellStyle name="Comma 4 2 5 4 2 2 3" xfId="33329" xr:uid="{66949938-C58C-4DEC-A02C-9B193BDB8FBF}"/>
    <cellStyle name="Comma 4 2 5 4 2 2 4" xfId="16442" xr:uid="{160D9DA5-B853-4193-8233-622FBD352B52}"/>
    <cellStyle name="Comma 4 2 5 4 2 3" xfId="20665" xr:uid="{16FB6074-73DE-4A1A-812E-C72676C0FDF5}"/>
    <cellStyle name="Comma 4 2 5 4 2 4" xfId="29112" xr:uid="{9D8F4CDF-D0DD-44E6-B930-D6BEA20B4C5B}"/>
    <cellStyle name="Comma 4 2 5 4 2 5" xfId="12224" xr:uid="{E2D7D15F-3FCD-475E-92C0-D70D43A7D8CA}"/>
    <cellStyle name="Comma 4 2 5 4 3" xfId="5855" xr:uid="{00000000-0005-0000-0000-0000EE080000}"/>
    <cellStyle name="Comma 4 2 5 4 3 2" xfId="22738" xr:uid="{CD50928E-FB52-47D1-AA56-A3D4C4D5B613}"/>
    <cellStyle name="Comma 4 2 5 4 3 3" xfId="31184" xr:uid="{2D440130-3C95-4B58-8979-2B269EC155E9}"/>
    <cellStyle name="Comma 4 2 5 4 3 4" xfId="14297" xr:uid="{AB2C396C-AF33-4841-95AD-973BAB4A70C0}"/>
    <cellStyle name="Comma 4 2 5 4 4" xfId="18520" xr:uid="{EFA55BCC-62C8-4CF9-8C7D-D9A0FA420D20}"/>
    <cellStyle name="Comma 4 2 5 4 5" xfId="26965" xr:uid="{D63E29FD-4A7F-4EB4-AD90-6AA6FBA24234}"/>
    <cellStyle name="Comma 4 2 5 4 6" xfId="10079" xr:uid="{15C49638-A28B-466B-91E7-D42AFF0960F7}"/>
    <cellStyle name="Comma 4 2 5 5" xfId="1961" xr:uid="{00000000-0005-0000-0000-0000EF080000}"/>
    <cellStyle name="Comma 4 2 5 5 2" xfId="4190" xr:uid="{00000000-0005-0000-0000-0000F0080000}"/>
    <cellStyle name="Comma 4 2 5 5 2 2" xfId="8413" xr:uid="{00000000-0005-0000-0000-0000F1080000}"/>
    <cellStyle name="Comma 4 2 5 5 2 2 2" xfId="25296" xr:uid="{2925807F-3EFB-4888-BB08-7B25DD8C60BD}"/>
    <cellStyle name="Comma 4 2 5 5 2 2 3" xfId="33742" xr:uid="{875AE0C6-7919-4472-A03C-085564361679}"/>
    <cellStyle name="Comma 4 2 5 5 2 2 4" xfId="16855" xr:uid="{41113A14-890C-43C6-AA6D-F30C7802DD78}"/>
    <cellStyle name="Comma 4 2 5 5 2 3" xfId="21078" xr:uid="{5457F780-0227-4800-9DF0-2441E2652E8E}"/>
    <cellStyle name="Comma 4 2 5 5 2 4" xfId="29525" xr:uid="{018B16D1-FB1D-4977-8DA5-30982BB333BF}"/>
    <cellStyle name="Comma 4 2 5 5 2 5" xfId="12637" xr:uid="{06F50CAE-0CEB-46C7-A1DE-C707D4E16A43}"/>
    <cellStyle name="Comma 4 2 5 5 3" xfId="6268" xr:uid="{00000000-0005-0000-0000-0000F2080000}"/>
    <cellStyle name="Comma 4 2 5 5 3 2" xfId="23151" xr:uid="{1CAD5A23-5893-4B91-A5F1-5B8E676092C1}"/>
    <cellStyle name="Comma 4 2 5 5 3 3" xfId="31597" xr:uid="{A1307921-DBC3-408A-92D1-ED936B266FC1}"/>
    <cellStyle name="Comma 4 2 5 5 3 4" xfId="14710" xr:uid="{5C30CE4C-E15C-4DB9-9476-414F80F3FC18}"/>
    <cellStyle name="Comma 4 2 5 5 4" xfId="18933" xr:uid="{83E86D0C-1A5F-42E1-B740-281C03B23637}"/>
    <cellStyle name="Comma 4 2 5 5 5" xfId="27378" xr:uid="{DF5F7488-189C-48CB-ABBE-373C7C7F8967}"/>
    <cellStyle name="Comma 4 2 5 5 6" xfId="10492" xr:uid="{18D22F55-85DD-40AF-A628-CD2128E9A088}"/>
    <cellStyle name="Comma 4 2 5 6" xfId="2396" xr:uid="{00000000-0005-0000-0000-0000F3080000}"/>
    <cellStyle name="Comma 4 2 5 6 2" xfId="6681" xr:uid="{00000000-0005-0000-0000-0000F4080000}"/>
    <cellStyle name="Comma 4 2 5 6 2 2" xfId="23564" xr:uid="{97FC539A-4C82-4FE1-989C-7754A462EF52}"/>
    <cellStyle name="Comma 4 2 5 6 2 3" xfId="32010" xr:uid="{5BC4EB96-433F-4F70-8CFC-41A774E8A06E}"/>
    <cellStyle name="Comma 4 2 5 6 2 4" xfId="15123" xr:uid="{3DA2CCAD-EED5-4685-9EC6-FE8A88E12C91}"/>
    <cellStyle name="Comma 4 2 5 6 3" xfId="19346" xr:uid="{F441C5FD-E59C-4D2C-8CFD-0D48F819AEAA}"/>
    <cellStyle name="Comma 4 2 5 6 4" xfId="27791" xr:uid="{6476AFAC-03C9-4036-A289-4E0E26A96526}"/>
    <cellStyle name="Comma 4 2 5 6 5" xfId="10905" xr:uid="{2D759F1E-BB1B-4329-9DAD-DE0D5A768B8D}"/>
    <cellStyle name="Comma 4 2 5 7" xfId="2367" xr:uid="{00000000-0005-0000-0000-0000F5080000}"/>
    <cellStyle name="Comma 4 2 5 8" xfId="2774" xr:uid="{00000000-0005-0000-0000-0000F6080000}"/>
    <cellStyle name="Comma 4 2 5 8 2" xfId="6998" xr:uid="{00000000-0005-0000-0000-0000F7080000}"/>
    <cellStyle name="Comma 4 2 5 8 2 2" xfId="23881" xr:uid="{8D84463C-DA72-45F9-9A06-70D7ED601A25}"/>
    <cellStyle name="Comma 4 2 5 8 2 3" xfId="32327" xr:uid="{40FEB0A4-6FF1-467D-B72C-A8407F184A0A}"/>
    <cellStyle name="Comma 4 2 5 8 2 4" xfId="15440" xr:uid="{97AC6343-EF6D-420C-B3C0-71118A2B2C46}"/>
    <cellStyle name="Comma 4 2 5 8 3" xfId="19663" xr:uid="{F5B7DBD0-6B88-4D41-83DC-527B672CC7A2}"/>
    <cellStyle name="Comma 4 2 5 8 4" xfId="28110" xr:uid="{74A942BF-B97A-452D-9240-144E780101A8}"/>
    <cellStyle name="Comma 4 2 5 8 5" xfId="11222" xr:uid="{CB38CA24-9886-43C0-B99D-93DDA11C37AC}"/>
    <cellStyle name="Comma 4 2 5 9" xfId="4615" xr:uid="{00000000-0005-0000-0000-0000F8080000}"/>
    <cellStyle name="Comma 4 2 5 9 2" xfId="21498" xr:uid="{81ECA45C-7109-4451-B413-F30E95567A65}"/>
    <cellStyle name="Comma 4 2 5 9 3" xfId="29944" xr:uid="{C1B5992D-074C-4F45-B082-FD0371697B2D}"/>
    <cellStyle name="Comma 4 2 5 9 4" xfId="13057" xr:uid="{7367E533-85A6-4D41-8B75-825E3A535069}"/>
    <cellStyle name="Comma 4 2 6" xfId="143" xr:uid="{00000000-0005-0000-0000-0000F9080000}"/>
    <cellStyle name="Comma 4 2 6 10" xfId="17281" xr:uid="{FE9F1062-C94C-40F9-8570-ED960424E38E}"/>
    <cellStyle name="Comma 4 2 6 11" xfId="25724" xr:uid="{68B9B2AA-391B-4EF4-BFE3-34DFB0E5764B}"/>
    <cellStyle name="Comma 4 2 6 12" xfId="8840" xr:uid="{FC4999C8-8FAE-40EF-927A-F98D8328F949}"/>
    <cellStyle name="Comma 4 2 6 2" xfId="681" xr:uid="{00000000-0005-0000-0000-0000FA080000}"/>
    <cellStyle name="Comma 4 2 6 2 2" xfId="2952" xr:uid="{00000000-0005-0000-0000-0000FB080000}"/>
    <cellStyle name="Comma 4 2 6 2 2 2" xfId="7175" xr:uid="{00000000-0005-0000-0000-0000FC080000}"/>
    <cellStyle name="Comma 4 2 6 2 2 2 2" xfId="24058" xr:uid="{83FE7940-3A37-4BBA-AFE7-B8BAB233F08C}"/>
    <cellStyle name="Comma 4 2 6 2 2 2 3" xfId="32504" xr:uid="{68CC51AB-067B-4251-ACD9-327CADB5A556}"/>
    <cellStyle name="Comma 4 2 6 2 2 2 4" xfId="15617" xr:uid="{EC5CB5A3-F0CD-4747-BA61-A262D4F0EF72}"/>
    <cellStyle name="Comma 4 2 6 2 2 3" xfId="19840" xr:uid="{9E24C1B3-4867-46D9-BA33-5A5DE058624F}"/>
    <cellStyle name="Comma 4 2 6 2 2 4" xfId="28287" xr:uid="{D9290C03-8F4D-4565-8049-6CDD3640335D}"/>
    <cellStyle name="Comma 4 2 6 2 2 5" xfId="11399" xr:uid="{5040043E-C666-4CC2-963C-2DFCB2724DC1}"/>
    <cellStyle name="Comma 4 2 6 2 3" xfId="5030" xr:uid="{00000000-0005-0000-0000-0000FD080000}"/>
    <cellStyle name="Comma 4 2 6 2 3 2" xfId="21913" xr:uid="{2B0EC675-DEB1-4301-8428-EA8E218DB32C}"/>
    <cellStyle name="Comma 4 2 6 2 3 3" xfId="30359" xr:uid="{32FB2BF8-7841-479F-8BC1-A3EE2A429BCE}"/>
    <cellStyle name="Comma 4 2 6 2 3 4" xfId="13472" xr:uid="{8E498037-3DBB-47C9-85CF-34061FB2CC16}"/>
    <cellStyle name="Comma 4 2 6 2 4" xfId="17695" xr:uid="{DC3E792F-D497-40CD-BF11-A229B1717101}"/>
    <cellStyle name="Comma 4 2 6 2 5" xfId="26140" xr:uid="{2BF63580-7474-436E-8C3C-06AD71D2B2B9}"/>
    <cellStyle name="Comma 4 2 6 2 6" xfId="9254" xr:uid="{6F7859FD-8DE5-4D95-8C0A-66136B103B45}"/>
    <cellStyle name="Comma 4 2 6 3" xfId="1134" xr:uid="{00000000-0005-0000-0000-0000FE080000}"/>
    <cellStyle name="Comma 4 2 6 3 2" xfId="3365" xr:uid="{00000000-0005-0000-0000-0000FF080000}"/>
    <cellStyle name="Comma 4 2 6 3 2 2" xfId="7588" xr:uid="{00000000-0005-0000-0000-000000090000}"/>
    <cellStyle name="Comma 4 2 6 3 2 2 2" xfId="24471" xr:uid="{9870C560-D923-4A1A-A519-5A63A74A2945}"/>
    <cellStyle name="Comma 4 2 6 3 2 2 3" xfId="32917" xr:uid="{F57EE9F6-EF09-460C-A95D-FA223B2CC809}"/>
    <cellStyle name="Comma 4 2 6 3 2 2 4" xfId="16030" xr:uid="{336E2E26-34AB-4094-90D2-ED55461B8C32}"/>
    <cellStyle name="Comma 4 2 6 3 2 3" xfId="20253" xr:uid="{29F5DD3E-27BE-42B1-BE21-50904D3CF14C}"/>
    <cellStyle name="Comma 4 2 6 3 2 4" xfId="28700" xr:uid="{8A3AF83F-F162-47F3-AB83-3AFD71CB1BFA}"/>
    <cellStyle name="Comma 4 2 6 3 2 5" xfId="11812" xr:uid="{ED501669-D104-46D1-81E9-EC1086E0CDB8}"/>
    <cellStyle name="Comma 4 2 6 3 3" xfId="5443" xr:uid="{00000000-0005-0000-0000-000001090000}"/>
    <cellStyle name="Comma 4 2 6 3 3 2" xfId="22326" xr:uid="{BAE77C7D-56A8-40D6-9905-93239C4C887C}"/>
    <cellStyle name="Comma 4 2 6 3 3 3" xfId="30772" xr:uid="{80A7B8CC-AE3D-4A51-AC64-97BD1549D36D}"/>
    <cellStyle name="Comma 4 2 6 3 3 4" xfId="13885" xr:uid="{3F2C4A1F-A3C0-4B38-89DB-07DC5F9EDEA6}"/>
    <cellStyle name="Comma 4 2 6 3 4" xfId="18108" xr:uid="{A62C4649-97BA-4210-913C-3F7F7858A281}"/>
    <cellStyle name="Comma 4 2 6 3 5" xfId="26553" xr:uid="{9E03FC9D-9A10-425F-9A00-F07E41C5C159}"/>
    <cellStyle name="Comma 4 2 6 3 6" xfId="9667" xr:uid="{84257AF5-8D75-4238-8096-64A096C8B7FF}"/>
    <cellStyle name="Comma 4 2 6 4" xfId="1548" xr:uid="{00000000-0005-0000-0000-000002090000}"/>
    <cellStyle name="Comma 4 2 6 4 2" xfId="3778" xr:uid="{00000000-0005-0000-0000-000003090000}"/>
    <cellStyle name="Comma 4 2 6 4 2 2" xfId="8001" xr:uid="{00000000-0005-0000-0000-000004090000}"/>
    <cellStyle name="Comma 4 2 6 4 2 2 2" xfId="24884" xr:uid="{42CFAD1C-18AB-43D1-8803-E01EF9A2B0BB}"/>
    <cellStyle name="Comma 4 2 6 4 2 2 3" xfId="33330" xr:uid="{D2CBC2CB-CC60-4B14-A60A-ED9FF9BE23EB}"/>
    <cellStyle name="Comma 4 2 6 4 2 2 4" xfId="16443" xr:uid="{504936D6-5606-47C7-B360-ED3B0DF78837}"/>
    <cellStyle name="Comma 4 2 6 4 2 3" xfId="20666" xr:uid="{C8FB5774-2059-44CA-A074-5A5F33F524F9}"/>
    <cellStyle name="Comma 4 2 6 4 2 4" xfId="29113" xr:uid="{6ED92254-469A-40B3-B409-2550F7FB48A2}"/>
    <cellStyle name="Comma 4 2 6 4 2 5" xfId="12225" xr:uid="{2BCA3616-D6FE-4569-BCDF-BCE4FE75E6BE}"/>
    <cellStyle name="Comma 4 2 6 4 3" xfId="5856" xr:uid="{00000000-0005-0000-0000-000005090000}"/>
    <cellStyle name="Comma 4 2 6 4 3 2" xfId="22739" xr:uid="{1E56875C-0834-4D01-B5EB-4B3CBBF4723A}"/>
    <cellStyle name="Comma 4 2 6 4 3 3" xfId="31185" xr:uid="{3A3CCDF6-848D-4C4A-BD0C-B6004E21A128}"/>
    <cellStyle name="Comma 4 2 6 4 3 4" xfId="14298" xr:uid="{490C84E9-B734-4FF2-A634-4A1FDD40F7D1}"/>
    <cellStyle name="Comma 4 2 6 4 4" xfId="18521" xr:uid="{E2B33958-6717-4B22-8F68-4A96F1770074}"/>
    <cellStyle name="Comma 4 2 6 4 5" xfId="26966" xr:uid="{C960C728-1272-4704-97A2-ADAA791410B7}"/>
    <cellStyle name="Comma 4 2 6 4 6" xfId="10080" xr:uid="{0014F81D-E9CC-40F1-828C-187B49C4F330}"/>
    <cellStyle name="Comma 4 2 6 5" xfId="1962" xr:uid="{00000000-0005-0000-0000-000006090000}"/>
    <cellStyle name="Comma 4 2 6 5 2" xfId="4191" xr:uid="{00000000-0005-0000-0000-000007090000}"/>
    <cellStyle name="Comma 4 2 6 5 2 2" xfId="8414" xr:uid="{00000000-0005-0000-0000-000008090000}"/>
    <cellStyle name="Comma 4 2 6 5 2 2 2" xfId="25297" xr:uid="{9DA94EEC-5C6E-41FC-A27B-CC409E206347}"/>
    <cellStyle name="Comma 4 2 6 5 2 2 3" xfId="33743" xr:uid="{F56D6406-240D-4A75-B35A-DFBEE70F6205}"/>
    <cellStyle name="Comma 4 2 6 5 2 2 4" xfId="16856" xr:uid="{E3DDA54D-0277-46F0-8FF2-21C8B15EFF59}"/>
    <cellStyle name="Comma 4 2 6 5 2 3" xfId="21079" xr:uid="{92EADE6C-8E04-4A57-A74C-A01093C55870}"/>
    <cellStyle name="Comma 4 2 6 5 2 4" xfId="29526" xr:uid="{8F71EE96-A9C7-4755-960D-38963C752AB5}"/>
    <cellStyle name="Comma 4 2 6 5 2 5" xfId="12638" xr:uid="{CD9D2D11-11E4-4075-94A6-377A98332A60}"/>
    <cellStyle name="Comma 4 2 6 5 3" xfId="6269" xr:uid="{00000000-0005-0000-0000-000009090000}"/>
    <cellStyle name="Comma 4 2 6 5 3 2" xfId="23152" xr:uid="{156A520A-30EF-43B2-9436-FB9373900472}"/>
    <cellStyle name="Comma 4 2 6 5 3 3" xfId="31598" xr:uid="{10BE8FA4-2A44-475D-840A-40350C85450F}"/>
    <cellStyle name="Comma 4 2 6 5 3 4" xfId="14711" xr:uid="{2DFE2BBD-F1D5-4290-B9BC-92F3F5100D67}"/>
    <cellStyle name="Comma 4 2 6 5 4" xfId="18934" xr:uid="{DF16247D-8620-4FC8-8B8C-02A25A48E98E}"/>
    <cellStyle name="Comma 4 2 6 5 5" xfId="27379" xr:uid="{8120F54E-0DB5-4A37-BE26-CC0FFBAE4BA3}"/>
    <cellStyle name="Comma 4 2 6 5 6" xfId="10493" xr:uid="{4B23BF5F-432D-4965-B1E0-2A8253CBD9C7}"/>
    <cellStyle name="Comma 4 2 6 6" xfId="2397" xr:uid="{00000000-0005-0000-0000-00000A090000}"/>
    <cellStyle name="Comma 4 2 6 6 2" xfId="6682" xr:uid="{00000000-0005-0000-0000-00000B090000}"/>
    <cellStyle name="Comma 4 2 6 6 2 2" xfId="23565" xr:uid="{70DBCA2C-1ABC-41A2-AE46-17E0768BA949}"/>
    <cellStyle name="Comma 4 2 6 6 2 3" xfId="32011" xr:uid="{98B3B664-D347-4716-874B-51178A27AB82}"/>
    <cellStyle name="Comma 4 2 6 6 2 4" xfId="15124" xr:uid="{A24F178D-903C-4192-9FCB-CCB4868E070B}"/>
    <cellStyle name="Comma 4 2 6 6 3" xfId="19347" xr:uid="{F34324C7-D98C-441B-9D11-717351B69E5E}"/>
    <cellStyle name="Comma 4 2 6 6 4" xfId="27792" xr:uid="{16F10539-6B3D-4834-B3A8-C12DD0B0BE50}"/>
    <cellStyle name="Comma 4 2 6 6 5" xfId="10906" xr:uid="{D564969F-8EB5-4BF2-9F59-354E422FC9F1}"/>
    <cellStyle name="Comma 4 2 6 7" xfId="2366" xr:uid="{00000000-0005-0000-0000-00000C090000}"/>
    <cellStyle name="Comma 4 2 6 8" xfId="2775" xr:uid="{00000000-0005-0000-0000-00000D090000}"/>
    <cellStyle name="Comma 4 2 6 8 2" xfId="6999" xr:uid="{00000000-0005-0000-0000-00000E090000}"/>
    <cellStyle name="Comma 4 2 6 8 2 2" xfId="23882" xr:uid="{EBE4BC30-4A58-4A44-8C1F-A3AFA48E6A17}"/>
    <cellStyle name="Comma 4 2 6 8 2 3" xfId="32328" xr:uid="{77701D17-951F-44B6-8205-79845CA64030}"/>
    <cellStyle name="Comma 4 2 6 8 2 4" xfId="15441" xr:uid="{F594E839-AF21-40E5-8A70-385AD3D4A243}"/>
    <cellStyle name="Comma 4 2 6 8 3" xfId="19664" xr:uid="{F4512F05-A7EA-4288-8C56-9984D4B310BC}"/>
    <cellStyle name="Comma 4 2 6 8 4" xfId="28111" xr:uid="{F52BC33B-7D42-4F6B-B0CB-787AF4688E15}"/>
    <cellStyle name="Comma 4 2 6 8 5" xfId="11223" xr:uid="{4A96D3A8-0611-4BBA-ACE2-BCEDF26C0D1B}"/>
    <cellStyle name="Comma 4 2 6 9" xfId="4616" xr:uid="{00000000-0005-0000-0000-00000F090000}"/>
    <cellStyle name="Comma 4 2 6 9 2" xfId="21499" xr:uid="{E578A824-9BA7-4365-8A16-E99EF638B1AD}"/>
    <cellStyle name="Comma 4 2 6 9 3" xfId="29945" xr:uid="{95C53ABF-0950-48ED-A331-9917622AE31F}"/>
    <cellStyle name="Comma 4 2 6 9 4" xfId="13058" xr:uid="{BCB10CC5-993B-44F7-BE14-9F8F1522A5CD}"/>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23883" xr:uid="{13865072-8E10-4CB7-A607-6AC8574D4DCA}"/>
    <cellStyle name="Comma 4 3 2 10 2 3" xfId="32329" xr:uid="{ED84864B-005C-4914-8E25-BA26515BAC87}"/>
    <cellStyle name="Comma 4 3 2 10 2 4" xfId="15442" xr:uid="{0A52FFD3-BBE6-4C2E-AC08-7A23B9CA3444}"/>
    <cellStyle name="Comma 4 3 2 10 3" xfId="19665" xr:uid="{B370C399-1172-4E44-9127-B11E872C1FEE}"/>
    <cellStyle name="Comma 4 3 2 10 4" xfId="28112" xr:uid="{6EABDF0C-427F-4FAB-87B8-7E10A628ADD2}"/>
    <cellStyle name="Comma 4 3 2 10 5" xfId="11224" xr:uid="{90E4A786-526D-47F3-8EFF-E40AC2586B4D}"/>
    <cellStyle name="Comma 4 3 2 11" xfId="4617" xr:uid="{00000000-0005-0000-0000-000014090000}"/>
    <cellStyle name="Comma 4 3 2 11 2" xfId="21500" xr:uid="{0453F239-A295-4E11-99CA-D4CF7A4092CD}"/>
    <cellStyle name="Comma 4 3 2 11 3" xfId="29946" xr:uid="{C1D455A8-DEBF-4C7C-80F4-853FF942FDE1}"/>
    <cellStyle name="Comma 4 3 2 11 4" xfId="13059" xr:uid="{B26756FA-EAAA-45A2-BA60-5DB31565DF14}"/>
    <cellStyle name="Comma 4 3 2 12" xfId="17282" xr:uid="{5E2D735D-5ACA-4E62-BE9C-DC12DF0C1347}"/>
    <cellStyle name="Comma 4 3 2 13" xfId="25725" xr:uid="{E4AD35D6-21AA-4D22-9CBA-0B7DA7AF9C17}"/>
    <cellStyle name="Comma 4 3 2 14" xfId="8841" xr:uid="{C9E172B1-9B0E-4803-878F-534C65F047B5}"/>
    <cellStyle name="Comma 4 3 2 2" xfId="146" xr:uid="{00000000-0005-0000-0000-000015090000}"/>
    <cellStyle name="Comma 4 3 2 2 10" xfId="4618" xr:uid="{00000000-0005-0000-0000-000016090000}"/>
    <cellStyle name="Comma 4 3 2 2 10 2" xfId="21501" xr:uid="{9E6576BA-1AEF-41EF-8B17-0FFF038DDDC0}"/>
    <cellStyle name="Comma 4 3 2 2 10 3" xfId="29947" xr:uid="{8DDE366C-31E7-42CC-AB48-0206440A770D}"/>
    <cellStyle name="Comma 4 3 2 2 10 4" xfId="13060" xr:uid="{6937D1B4-2636-4BE1-91F0-A51D4FFC3883}"/>
    <cellStyle name="Comma 4 3 2 2 11" xfId="17283" xr:uid="{41E4F92E-FADF-4790-8AEC-8C84C6F02955}"/>
    <cellStyle name="Comma 4 3 2 2 12" xfId="25726" xr:uid="{AC92A41E-7225-411A-ACD8-F68BB1FAD975}"/>
    <cellStyle name="Comma 4 3 2 2 13" xfId="8842" xr:uid="{34137513-D7F5-4932-B557-B4CEF45E6868}"/>
    <cellStyle name="Comma 4 3 2 2 2" xfId="147" xr:uid="{00000000-0005-0000-0000-000017090000}"/>
    <cellStyle name="Comma 4 3 2 2 2 10" xfId="17284" xr:uid="{200A4B64-4501-4E75-BC2A-4E5C8A81F978}"/>
    <cellStyle name="Comma 4 3 2 2 2 11" xfId="25727" xr:uid="{E44F6DE4-807F-4416-A3E2-69E30356DD1F}"/>
    <cellStyle name="Comma 4 3 2 2 2 12" xfId="8843" xr:uid="{C8238956-0D48-471B-8619-362B934266FB}"/>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24061" xr:uid="{7FAFDCF8-6D4B-4E47-B12A-E02829196F8C}"/>
    <cellStyle name="Comma 4 3 2 2 2 2 2 2 3" xfId="32507" xr:uid="{203D0B2A-982A-4674-9C19-F61823C2E841}"/>
    <cellStyle name="Comma 4 3 2 2 2 2 2 2 4" xfId="15620" xr:uid="{18FDF58A-7916-483E-8BB6-47E3FC35A6DE}"/>
    <cellStyle name="Comma 4 3 2 2 2 2 2 3" xfId="19843" xr:uid="{428F4BC4-DF36-4C24-99AD-6D1F1D8BE773}"/>
    <cellStyle name="Comma 4 3 2 2 2 2 2 4" xfId="28290" xr:uid="{0F2025DB-5FAD-46E7-B244-B98E2282B546}"/>
    <cellStyle name="Comma 4 3 2 2 2 2 2 5" xfId="11402" xr:uid="{AA5675AD-243E-4ECE-9F7B-EBA1229E697C}"/>
    <cellStyle name="Comma 4 3 2 2 2 2 3" xfId="5033" xr:uid="{00000000-0005-0000-0000-00001B090000}"/>
    <cellStyle name="Comma 4 3 2 2 2 2 3 2" xfId="21916" xr:uid="{7CA6B40B-26BB-40AE-B01A-6021800B5DC6}"/>
    <cellStyle name="Comma 4 3 2 2 2 2 3 3" xfId="30362" xr:uid="{3EEFBC56-3620-4999-A0C8-D257BF7D5A37}"/>
    <cellStyle name="Comma 4 3 2 2 2 2 3 4" xfId="13475" xr:uid="{484B900F-45BF-45FA-8B7F-8EDE255DCDC8}"/>
    <cellStyle name="Comma 4 3 2 2 2 2 4" xfId="17698" xr:uid="{77E581EB-26E3-4D9E-9C5B-17E639320705}"/>
    <cellStyle name="Comma 4 3 2 2 2 2 5" xfId="26143" xr:uid="{E762BA5E-DFC2-4137-8CA7-FE7F90F220C8}"/>
    <cellStyle name="Comma 4 3 2 2 2 2 6" xfId="9257" xr:uid="{F10EC82C-C973-4A84-937C-3CD601A0D293}"/>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24474" xr:uid="{B5706C95-65AF-4FF0-8D53-A78A6C9F2974}"/>
    <cellStyle name="Comma 4 3 2 2 2 3 2 2 3" xfId="32920" xr:uid="{E0223249-6802-41F4-87D2-59C98F6A4769}"/>
    <cellStyle name="Comma 4 3 2 2 2 3 2 2 4" xfId="16033" xr:uid="{B6D882ED-728C-4CA8-B529-E04A234A5CB0}"/>
    <cellStyle name="Comma 4 3 2 2 2 3 2 3" xfId="20256" xr:uid="{197CBB6C-4B15-44FD-9B92-0B539659BE72}"/>
    <cellStyle name="Comma 4 3 2 2 2 3 2 4" xfId="28703" xr:uid="{7CE3F94B-2546-4AB3-8E95-C47456A35DC6}"/>
    <cellStyle name="Comma 4 3 2 2 2 3 2 5" xfId="11815" xr:uid="{0975C1A7-F637-4E54-92F8-A567D4A609EF}"/>
    <cellStyle name="Comma 4 3 2 2 2 3 3" xfId="5446" xr:uid="{00000000-0005-0000-0000-00001F090000}"/>
    <cellStyle name="Comma 4 3 2 2 2 3 3 2" xfId="22329" xr:uid="{F0579E06-237A-4D11-8652-8D7939238A98}"/>
    <cellStyle name="Comma 4 3 2 2 2 3 3 3" xfId="30775" xr:uid="{FF554E19-548D-4192-B05E-587A1D7248FE}"/>
    <cellStyle name="Comma 4 3 2 2 2 3 3 4" xfId="13888" xr:uid="{23DEB11B-BF4D-488A-B9A5-2D8B9B96CD87}"/>
    <cellStyle name="Comma 4 3 2 2 2 3 4" xfId="18111" xr:uid="{76054545-0913-4EF5-B3A2-140B17BC689E}"/>
    <cellStyle name="Comma 4 3 2 2 2 3 5" xfId="26556" xr:uid="{9DEE55F7-B097-4B5C-9FF4-3853DCA293C2}"/>
    <cellStyle name="Comma 4 3 2 2 2 3 6" xfId="9670" xr:uid="{013525B3-9018-4420-98E0-A780D3895542}"/>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24887" xr:uid="{53F8FA15-9AF9-4BDF-A02A-4B4AF117E783}"/>
    <cellStyle name="Comma 4 3 2 2 2 4 2 2 3" xfId="33333" xr:uid="{9BCE5D73-D081-4839-A8C0-FEB45755C265}"/>
    <cellStyle name="Comma 4 3 2 2 2 4 2 2 4" xfId="16446" xr:uid="{46969DA8-13DA-4FD8-A9CE-8738F7D0B760}"/>
    <cellStyle name="Comma 4 3 2 2 2 4 2 3" xfId="20669" xr:uid="{4755CBAC-C63B-4716-8FF5-273B910CA085}"/>
    <cellStyle name="Comma 4 3 2 2 2 4 2 4" xfId="29116" xr:uid="{C8074D4E-1C34-40EA-9F82-42FA5DD5A79C}"/>
    <cellStyle name="Comma 4 3 2 2 2 4 2 5" xfId="12228" xr:uid="{91DD14A7-987F-441C-B153-92749B8EB7CD}"/>
    <cellStyle name="Comma 4 3 2 2 2 4 3" xfId="5859" xr:uid="{00000000-0005-0000-0000-000023090000}"/>
    <cellStyle name="Comma 4 3 2 2 2 4 3 2" xfId="22742" xr:uid="{B5B1B31B-3420-493E-9CAD-29CF13912C42}"/>
    <cellStyle name="Comma 4 3 2 2 2 4 3 3" xfId="31188" xr:uid="{A79F317C-214E-478A-85C5-79C2B4ABD66D}"/>
    <cellStyle name="Comma 4 3 2 2 2 4 3 4" xfId="14301" xr:uid="{19495468-03F8-4F91-85AA-549E8E7CA09D}"/>
    <cellStyle name="Comma 4 3 2 2 2 4 4" xfId="18524" xr:uid="{FE798F9D-0116-48FB-880C-9C9B176786CF}"/>
    <cellStyle name="Comma 4 3 2 2 2 4 5" xfId="26969" xr:uid="{DE0B2F7F-4114-4499-8DBE-389963436236}"/>
    <cellStyle name="Comma 4 3 2 2 2 4 6" xfId="10083" xr:uid="{78CEB462-9CCA-48BF-A225-4007EF5307BC}"/>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25300" xr:uid="{0E64378F-6B8C-4111-BEBC-0BD3D889FE27}"/>
    <cellStyle name="Comma 4 3 2 2 2 5 2 2 3" xfId="33746" xr:uid="{6A8E2ED6-665A-4AD4-B1DF-CAC3FDA6BA15}"/>
    <cellStyle name="Comma 4 3 2 2 2 5 2 2 4" xfId="16859" xr:uid="{56CA3298-E0E5-418B-A58F-C08DE9D81357}"/>
    <cellStyle name="Comma 4 3 2 2 2 5 2 3" xfId="21082" xr:uid="{92836EDF-2CAD-49BE-96B2-1D9342B24A37}"/>
    <cellStyle name="Comma 4 3 2 2 2 5 2 4" xfId="29529" xr:uid="{130727C1-AF41-4CA8-80F0-7BC8C3C9A7D6}"/>
    <cellStyle name="Comma 4 3 2 2 2 5 2 5" xfId="12641" xr:uid="{49F07013-C982-4B8F-8A42-03E6E93556D3}"/>
    <cellStyle name="Comma 4 3 2 2 2 5 3" xfId="6272" xr:uid="{00000000-0005-0000-0000-000027090000}"/>
    <cellStyle name="Comma 4 3 2 2 2 5 3 2" xfId="23155" xr:uid="{3E8A96A7-D0EF-4F8D-BFBD-833653620E95}"/>
    <cellStyle name="Comma 4 3 2 2 2 5 3 3" xfId="31601" xr:uid="{BD79E67B-A19F-4326-AEAC-547077276254}"/>
    <cellStyle name="Comma 4 3 2 2 2 5 3 4" xfId="14714" xr:uid="{D8926DC4-F062-48BC-966A-4BE99D07865E}"/>
    <cellStyle name="Comma 4 3 2 2 2 5 4" xfId="18937" xr:uid="{24628DFB-D2A6-4B02-8315-845626C76005}"/>
    <cellStyle name="Comma 4 3 2 2 2 5 5" xfId="27382" xr:uid="{116499B2-601F-4B39-BC65-4E7638520F58}"/>
    <cellStyle name="Comma 4 3 2 2 2 5 6" xfId="10496" xr:uid="{9AE0A9E9-3ADF-4D51-B40B-37963187D474}"/>
    <cellStyle name="Comma 4 3 2 2 2 6" xfId="2400" xr:uid="{00000000-0005-0000-0000-000028090000}"/>
    <cellStyle name="Comma 4 3 2 2 2 6 2" xfId="6685" xr:uid="{00000000-0005-0000-0000-000029090000}"/>
    <cellStyle name="Comma 4 3 2 2 2 6 2 2" xfId="23568" xr:uid="{7D9DACD2-3823-4222-9615-0AD473AAE2E0}"/>
    <cellStyle name="Comma 4 3 2 2 2 6 2 3" xfId="32014" xr:uid="{6CFF1E5C-8ACF-4831-A520-06B6F972F7B6}"/>
    <cellStyle name="Comma 4 3 2 2 2 6 2 4" xfId="15127" xr:uid="{DDC84BF7-F7E1-4276-BA26-63F8BA7C683E}"/>
    <cellStyle name="Comma 4 3 2 2 2 6 3" xfId="19350" xr:uid="{FC679558-F300-42B5-A5A5-B357BEA70DD6}"/>
    <cellStyle name="Comma 4 3 2 2 2 6 4" xfId="27795" xr:uid="{BF3453C1-5468-4830-812F-1CEC4300762C}"/>
    <cellStyle name="Comma 4 3 2 2 2 6 5" xfId="10909" xr:uid="{1B0AEA98-39D9-4910-8447-4E8D52DDABAD}"/>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23885" xr:uid="{1A78565E-A28F-4D67-9A3D-BBAA7C79EBCE}"/>
    <cellStyle name="Comma 4 3 2 2 2 8 2 3" xfId="32331" xr:uid="{16AE3013-36E3-45EF-A23E-F9D6983670E4}"/>
    <cellStyle name="Comma 4 3 2 2 2 8 2 4" xfId="15444" xr:uid="{D9D3A830-E306-4D3E-87E9-161B5062DDAF}"/>
    <cellStyle name="Comma 4 3 2 2 2 8 3" xfId="19667" xr:uid="{C250F7E3-02B6-4708-AF16-62B28128B215}"/>
    <cellStyle name="Comma 4 3 2 2 2 8 4" xfId="28114" xr:uid="{A657700B-4EF6-4CEB-9D79-31137BAAF289}"/>
    <cellStyle name="Comma 4 3 2 2 2 8 5" xfId="11226" xr:uid="{12FF925C-835E-4905-A84F-C6D759AE3A33}"/>
    <cellStyle name="Comma 4 3 2 2 2 9" xfId="4619" xr:uid="{00000000-0005-0000-0000-00002D090000}"/>
    <cellStyle name="Comma 4 3 2 2 2 9 2" xfId="21502" xr:uid="{76D6BAEF-8AC6-4E2A-8EB1-B9FEF5B8110F}"/>
    <cellStyle name="Comma 4 3 2 2 2 9 3" xfId="29948" xr:uid="{E9A17700-9615-4DCD-A9B5-45DE742AD189}"/>
    <cellStyle name="Comma 4 3 2 2 2 9 4" xfId="13061" xr:uid="{016C5A28-CCDD-4DED-93A8-543CB16DD54C}"/>
    <cellStyle name="Comma 4 3 2 2 3" xfId="683" xr:uid="{00000000-0005-0000-0000-00002E090000}"/>
    <cellStyle name="Comma 4 3 2 2 3 2" xfId="2954" xr:uid="{00000000-0005-0000-0000-00002F090000}"/>
    <cellStyle name="Comma 4 3 2 2 3 2 2" xfId="7177" xr:uid="{00000000-0005-0000-0000-000030090000}"/>
    <cellStyle name="Comma 4 3 2 2 3 2 2 2" xfId="24060" xr:uid="{58362491-6250-476F-ADD4-26568FA12F73}"/>
    <cellStyle name="Comma 4 3 2 2 3 2 2 3" xfId="32506" xr:uid="{CFF51393-D11F-40F2-9DC6-0B394D654AF6}"/>
    <cellStyle name="Comma 4 3 2 2 3 2 2 4" xfId="15619" xr:uid="{7A7FE4D0-986B-47D7-B924-2E450D3D96AC}"/>
    <cellStyle name="Comma 4 3 2 2 3 2 3" xfId="19842" xr:uid="{7F455F1C-EC3F-4175-8056-AE7EF76FE9DF}"/>
    <cellStyle name="Comma 4 3 2 2 3 2 4" xfId="28289" xr:uid="{4A210537-D6D2-46BC-A66C-E484502BF8B1}"/>
    <cellStyle name="Comma 4 3 2 2 3 2 5" xfId="11401" xr:uid="{ED2693F3-60A4-4172-8614-25FD08CE10F7}"/>
    <cellStyle name="Comma 4 3 2 2 3 3" xfId="5032" xr:uid="{00000000-0005-0000-0000-000031090000}"/>
    <cellStyle name="Comma 4 3 2 2 3 3 2" xfId="21915" xr:uid="{EA03D324-901C-4E43-BF62-E9EC23634E1B}"/>
    <cellStyle name="Comma 4 3 2 2 3 3 3" xfId="30361" xr:uid="{1FEA82EB-4E59-4B88-9DC8-ED180910370A}"/>
    <cellStyle name="Comma 4 3 2 2 3 3 4" xfId="13474" xr:uid="{A3B3798E-FD15-4168-B3F4-FB6C0EB651BC}"/>
    <cellStyle name="Comma 4 3 2 2 3 4" xfId="17697" xr:uid="{A7A20CED-5227-428D-8908-81CD7B9AC76F}"/>
    <cellStyle name="Comma 4 3 2 2 3 5" xfId="26142" xr:uid="{B7F704BF-23F9-4FC1-A0C8-3EBB3A9167E4}"/>
    <cellStyle name="Comma 4 3 2 2 3 6" xfId="9256" xr:uid="{ABA33240-E900-4792-9256-CF21DB35AC02}"/>
    <cellStyle name="Comma 4 3 2 2 4" xfId="1136" xr:uid="{00000000-0005-0000-0000-000032090000}"/>
    <cellStyle name="Comma 4 3 2 2 4 2" xfId="3367" xr:uid="{00000000-0005-0000-0000-000033090000}"/>
    <cellStyle name="Comma 4 3 2 2 4 2 2" xfId="7590" xr:uid="{00000000-0005-0000-0000-000034090000}"/>
    <cellStyle name="Comma 4 3 2 2 4 2 2 2" xfId="24473" xr:uid="{99C364D0-6C92-418B-ABE3-0E9E2C64B48E}"/>
    <cellStyle name="Comma 4 3 2 2 4 2 2 3" xfId="32919" xr:uid="{1168B375-CBD9-40E6-A77D-0CC7C63F5290}"/>
    <cellStyle name="Comma 4 3 2 2 4 2 2 4" xfId="16032" xr:uid="{A7761019-0219-4A7F-A49B-E0DD15AD4488}"/>
    <cellStyle name="Comma 4 3 2 2 4 2 3" xfId="20255" xr:uid="{2322473F-CBFC-4D7C-810F-2E39B3ED77F5}"/>
    <cellStyle name="Comma 4 3 2 2 4 2 4" xfId="28702" xr:uid="{E1B2A4CC-71F7-4740-8F45-66620F8F6401}"/>
    <cellStyle name="Comma 4 3 2 2 4 2 5" xfId="11814" xr:uid="{78251238-C562-43F5-B327-B530708425FE}"/>
    <cellStyle name="Comma 4 3 2 2 4 3" xfId="5445" xr:uid="{00000000-0005-0000-0000-000035090000}"/>
    <cellStyle name="Comma 4 3 2 2 4 3 2" xfId="22328" xr:uid="{5C88E5A7-1B86-4F96-812F-C97776D5886D}"/>
    <cellStyle name="Comma 4 3 2 2 4 3 3" xfId="30774" xr:uid="{4E56CFB9-9CCC-49FF-8D99-2C41221CCADF}"/>
    <cellStyle name="Comma 4 3 2 2 4 3 4" xfId="13887" xr:uid="{71495E59-2987-47B1-B5D5-41D39544E62A}"/>
    <cellStyle name="Comma 4 3 2 2 4 4" xfId="18110" xr:uid="{E37E303C-B35A-4A52-A4FC-AD84B8E97F8F}"/>
    <cellStyle name="Comma 4 3 2 2 4 5" xfId="26555" xr:uid="{A58C730A-2E11-4D3B-A5DB-7FBA166EC4CE}"/>
    <cellStyle name="Comma 4 3 2 2 4 6" xfId="9669" xr:uid="{DBBA336D-22CB-49CC-B857-E83495E5DB39}"/>
    <cellStyle name="Comma 4 3 2 2 5" xfId="1550" xr:uid="{00000000-0005-0000-0000-000036090000}"/>
    <cellStyle name="Comma 4 3 2 2 5 2" xfId="3780" xr:uid="{00000000-0005-0000-0000-000037090000}"/>
    <cellStyle name="Comma 4 3 2 2 5 2 2" xfId="8003" xr:uid="{00000000-0005-0000-0000-000038090000}"/>
    <cellStyle name="Comma 4 3 2 2 5 2 2 2" xfId="24886" xr:uid="{556BA5AC-CF8C-44BA-B26A-90EFD30D85C2}"/>
    <cellStyle name="Comma 4 3 2 2 5 2 2 3" xfId="33332" xr:uid="{982066E0-97C5-4F28-AC31-C001D4071016}"/>
    <cellStyle name="Comma 4 3 2 2 5 2 2 4" xfId="16445" xr:uid="{904EA0F2-A958-46E9-9B29-0D422D56C253}"/>
    <cellStyle name="Comma 4 3 2 2 5 2 3" xfId="20668" xr:uid="{CAB9FE05-43D4-4A26-B9E2-66A825647B1F}"/>
    <cellStyle name="Comma 4 3 2 2 5 2 4" xfId="29115" xr:uid="{B23197EF-7F2F-49A2-A4BC-BA67DA81F9CF}"/>
    <cellStyle name="Comma 4 3 2 2 5 2 5" xfId="12227" xr:uid="{BE3D7AC5-CDF7-4FAC-9B65-17168DF967F7}"/>
    <cellStyle name="Comma 4 3 2 2 5 3" xfId="5858" xr:uid="{00000000-0005-0000-0000-000039090000}"/>
    <cellStyle name="Comma 4 3 2 2 5 3 2" xfId="22741" xr:uid="{34DA7BF4-BE37-4958-B255-5FA40CE6E7C1}"/>
    <cellStyle name="Comma 4 3 2 2 5 3 3" xfId="31187" xr:uid="{57B926D1-C381-4A58-87F1-4A60F7D88F82}"/>
    <cellStyle name="Comma 4 3 2 2 5 3 4" xfId="14300" xr:uid="{0253249C-B142-46ED-A3D8-55A6F9ACC6C5}"/>
    <cellStyle name="Comma 4 3 2 2 5 4" xfId="18523" xr:uid="{367CF808-EE92-4474-B77A-18FCF306572E}"/>
    <cellStyle name="Comma 4 3 2 2 5 5" xfId="26968" xr:uid="{86F74468-F194-4F50-ADB1-6C53E996B400}"/>
    <cellStyle name="Comma 4 3 2 2 5 6" xfId="10082" xr:uid="{39D5190D-A70E-4A70-B24E-C2AE02CAEA63}"/>
    <cellStyle name="Comma 4 3 2 2 6" xfId="1964" xr:uid="{00000000-0005-0000-0000-00003A090000}"/>
    <cellStyle name="Comma 4 3 2 2 6 2" xfId="4193" xr:uid="{00000000-0005-0000-0000-00003B090000}"/>
    <cellStyle name="Comma 4 3 2 2 6 2 2" xfId="8416" xr:uid="{00000000-0005-0000-0000-00003C090000}"/>
    <cellStyle name="Comma 4 3 2 2 6 2 2 2" xfId="25299" xr:uid="{D552AB0F-A474-4271-8B3D-E087373BEA05}"/>
    <cellStyle name="Comma 4 3 2 2 6 2 2 3" xfId="33745" xr:uid="{E2A79496-7E8C-4F10-AFBA-352706F7A248}"/>
    <cellStyle name="Comma 4 3 2 2 6 2 2 4" xfId="16858" xr:uid="{DBF86A4C-55DA-4089-97D6-73E5D3BBD659}"/>
    <cellStyle name="Comma 4 3 2 2 6 2 3" xfId="21081" xr:uid="{1702E854-6D85-4FA7-85DD-52AA3D817C4A}"/>
    <cellStyle name="Comma 4 3 2 2 6 2 4" xfId="29528" xr:uid="{E58861C4-82A8-406C-A202-98DCDFDD767D}"/>
    <cellStyle name="Comma 4 3 2 2 6 2 5" xfId="12640" xr:uid="{6F7DDF6A-4F32-45BD-9646-B9487A7E1687}"/>
    <cellStyle name="Comma 4 3 2 2 6 3" xfId="6271" xr:uid="{00000000-0005-0000-0000-00003D090000}"/>
    <cellStyle name="Comma 4 3 2 2 6 3 2" xfId="23154" xr:uid="{90B99CA1-C484-4D8D-81EA-EA885C4A30E3}"/>
    <cellStyle name="Comma 4 3 2 2 6 3 3" xfId="31600" xr:uid="{922DE142-8A4F-4651-A15A-4E8AC1492B1C}"/>
    <cellStyle name="Comma 4 3 2 2 6 3 4" xfId="14713" xr:uid="{4EF562D5-E7CC-42D3-B9CB-50B913E0384E}"/>
    <cellStyle name="Comma 4 3 2 2 6 4" xfId="18936" xr:uid="{645A3592-50C0-46F5-845C-C23569B163F2}"/>
    <cellStyle name="Comma 4 3 2 2 6 5" xfId="27381" xr:uid="{026EE6AC-F5DC-47D8-8824-016FB5CC87F4}"/>
    <cellStyle name="Comma 4 3 2 2 6 6" xfId="10495" xr:uid="{8E844D20-5723-4206-ACF7-D929D551F4E6}"/>
    <cellStyle name="Comma 4 3 2 2 7" xfId="2399" xr:uid="{00000000-0005-0000-0000-00003E090000}"/>
    <cellStyle name="Comma 4 3 2 2 7 2" xfId="6684" xr:uid="{00000000-0005-0000-0000-00003F090000}"/>
    <cellStyle name="Comma 4 3 2 2 7 2 2" xfId="23567" xr:uid="{117433B9-D9B1-498F-BCCE-7E4FE24E126C}"/>
    <cellStyle name="Comma 4 3 2 2 7 2 3" xfId="32013" xr:uid="{1FB4FFC0-A9CD-48F2-83FD-5FA31983A975}"/>
    <cellStyle name="Comma 4 3 2 2 7 2 4" xfId="15126" xr:uid="{C39726E4-18EA-4DE9-BD0B-9D611811E495}"/>
    <cellStyle name="Comma 4 3 2 2 7 3" xfId="19349" xr:uid="{C14A22E7-7208-4EC9-9C72-6B261CCC37B1}"/>
    <cellStyle name="Comma 4 3 2 2 7 4" xfId="27794" xr:uid="{D529FC24-4CFA-4B2C-B59F-2D600FCB1081}"/>
    <cellStyle name="Comma 4 3 2 2 7 5" xfId="10908" xr:uid="{3A1ECC90-FB0F-4F87-AE7D-2FF752C70ED1}"/>
    <cellStyle name="Comma 4 3 2 2 8" xfId="2364" xr:uid="{00000000-0005-0000-0000-000040090000}"/>
    <cellStyle name="Comma 4 3 2 2 9" xfId="2777" xr:uid="{00000000-0005-0000-0000-000041090000}"/>
    <cellStyle name="Comma 4 3 2 2 9 2" xfId="7001" xr:uid="{00000000-0005-0000-0000-000042090000}"/>
    <cellStyle name="Comma 4 3 2 2 9 2 2" xfId="23884" xr:uid="{DB288762-3D2C-474D-AC3D-1DD1D1B8AF26}"/>
    <cellStyle name="Comma 4 3 2 2 9 2 3" xfId="32330" xr:uid="{01E42D9D-C230-4700-A3D4-DDCA786DCFB3}"/>
    <cellStyle name="Comma 4 3 2 2 9 2 4" xfId="15443" xr:uid="{E002BCE6-CB9A-4CC1-92EB-515CF1F4E7FC}"/>
    <cellStyle name="Comma 4 3 2 2 9 3" xfId="19666" xr:uid="{3C493AAE-B6FC-435D-B506-F041F9A28EAD}"/>
    <cellStyle name="Comma 4 3 2 2 9 4" xfId="28113" xr:uid="{14BD70F4-2F2A-4C5A-A452-622E1028FF90}"/>
    <cellStyle name="Comma 4 3 2 2 9 5" xfId="11225" xr:uid="{891ED168-8AFA-4CEB-82A1-96F7C54E4739}"/>
    <cellStyle name="Comma 4 3 2 3" xfId="148" xr:uid="{00000000-0005-0000-0000-000043090000}"/>
    <cellStyle name="Comma 4 3 2 3 10" xfId="17285" xr:uid="{6CE642C1-921A-4F26-AB95-91220CB559D3}"/>
    <cellStyle name="Comma 4 3 2 3 11" xfId="25728" xr:uid="{BCFEE1AB-3ABF-48BC-A7A3-BB1D7B319806}"/>
    <cellStyle name="Comma 4 3 2 3 12" xfId="8844" xr:uid="{F39FAAB1-D019-435E-9103-0FC9F555DD9C}"/>
    <cellStyle name="Comma 4 3 2 3 2" xfId="685" xr:uid="{00000000-0005-0000-0000-000044090000}"/>
    <cellStyle name="Comma 4 3 2 3 2 2" xfId="2956" xr:uid="{00000000-0005-0000-0000-000045090000}"/>
    <cellStyle name="Comma 4 3 2 3 2 2 2" xfId="7179" xr:uid="{00000000-0005-0000-0000-000046090000}"/>
    <cellStyle name="Comma 4 3 2 3 2 2 2 2" xfId="24062" xr:uid="{E2928041-229B-43C9-8847-0B7462E037E2}"/>
    <cellStyle name="Comma 4 3 2 3 2 2 2 3" xfId="32508" xr:uid="{237E42A7-22DB-4792-B151-56E794622C5A}"/>
    <cellStyle name="Comma 4 3 2 3 2 2 2 4" xfId="15621" xr:uid="{31056434-AB38-45AD-A41F-8B8DA0053852}"/>
    <cellStyle name="Comma 4 3 2 3 2 2 3" xfId="19844" xr:uid="{35930098-F54D-43FA-8565-76216102618B}"/>
    <cellStyle name="Comma 4 3 2 3 2 2 4" xfId="28291" xr:uid="{D9843FF3-D775-4FBB-9839-A14E636D1394}"/>
    <cellStyle name="Comma 4 3 2 3 2 2 5" xfId="11403" xr:uid="{3678EBAB-591E-49AA-9B5F-0D3F22B20E53}"/>
    <cellStyle name="Comma 4 3 2 3 2 3" xfId="5034" xr:uid="{00000000-0005-0000-0000-000047090000}"/>
    <cellStyle name="Comma 4 3 2 3 2 3 2" xfId="21917" xr:uid="{251B88FE-894C-43CB-991F-7C7292E16D9C}"/>
    <cellStyle name="Comma 4 3 2 3 2 3 3" xfId="30363" xr:uid="{0B662709-DEEB-480A-94F9-6B9AECE0EE77}"/>
    <cellStyle name="Comma 4 3 2 3 2 3 4" xfId="13476" xr:uid="{DB5197B2-B839-48E6-A6AC-BDDA7B300CB3}"/>
    <cellStyle name="Comma 4 3 2 3 2 4" xfId="17699" xr:uid="{DE7AE499-CCC5-49C8-87D7-8653FB744A27}"/>
    <cellStyle name="Comma 4 3 2 3 2 5" xfId="26144" xr:uid="{2E42199C-4414-40BE-B41D-1604B16EE268}"/>
    <cellStyle name="Comma 4 3 2 3 2 6" xfId="9258" xr:uid="{4308B419-95F3-45D3-BC26-395B4010418D}"/>
    <cellStyle name="Comma 4 3 2 3 3" xfId="1138" xr:uid="{00000000-0005-0000-0000-000048090000}"/>
    <cellStyle name="Comma 4 3 2 3 3 2" xfId="3369" xr:uid="{00000000-0005-0000-0000-000049090000}"/>
    <cellStyle name="Comma 4 3 2 3 3 2 2" xfId="7592" xr:uid="{00000000-0005-0000-0000-00004A090000}"/>
    <cellStyle name="Comma 4 3 2 3 3 2 2 2" xfId="24475" xr:uid="{9649BD21-D71C-4C58-9D42-4EF7461AF22A}"/>
    <cellStyle name="Comma 4 3 2 3 3 2 2 3" xfId="32921" xr:uid="{E0295619-D98A-4092-9693-8DADEFCB4E21}"/>
    <cellStyle name="Comma 4 3 2 3 3 2 2 4" xfId="16034" xr:uid="{ABF3AB0B-EA6E-4366-B8F9-37A5807B405F}"/>
    <cellStyle name="Comma 4 3 2 3 3 2 3" xfId="20257" xr:uid="{DF5DFF42-C350-4B5A-B03A-3C5CFDDF5C77}"/>
    <cellStyle name="Comma 4 3 2 3 3 2 4" xfId="28704" xr:uid="{66D005E8-99B7-45F3-9439-2DD546BFEF61}"/>
    <cellStyle name="Comma 4 3 2 3 3 2 5" xfId="11816" xr:uid="{45A85E58-8626-47D4-AB3E-E433AD57E4B5}"/>
    <cellStyle name="Comma 4 3 2 3 3 3" xfId="5447" xr:uid="{00000000-0005-0000-0000-00004B090000}"/>
    <cellStyle name="Comma 4 3 2 3 3 3 2" xfId="22330" xr:uid="{A71BF917-9FF2-4FDE-A79E-C639A9E002A5}"/>
    <cellStyle name="Comma 4 3 2 3 3 3 3" xfId="30776" xr:uid="{8A7117D5-3F29-45E2-BE76-D5CDBDBAF9C0}"/>
    <cellStyle name="Comma 4 3 2 3 3 3 4" xfId="13889" xr:uid="{C07F9C45-2865-4AD1-9CD0-E3904370AAD3}"/>
    <cellStyle name="Comma 4 3 2 3 3 4" xfId="18112" xr:uid="{ADE438EE-AFF8-47E3-B034-E6238A493973}"/>
    <cellStyle name="Comma 4 3 2 3 3 5" xfId="26557" xr:uid="{B44CA26B-531B-4F50-A639-3AB85900359F}"/>
    <cellStyle name="Comma 4 3 2 3 3 6" xfId="9671" xr:uid="{227E4510-447B-48D3-A8ED-07182DDF8465}"/>
    <cellStyle name="Comma 4 3 2 3 4" xfId="1552" xr:uid="{00000000-0005-0000-0000-00004C090000}"/>
    <cellStyle name="Comma 4 3 2 3 4 2" xfId="3782" xr:uid="{00000000-0005-0000-0000-00004D090000}"/>
    <cellStyle name="Comma 4 3 2 3 4 2 2" xfId="8005" xr:uid="{00000000-0005-0000-0000-00004E090000}"/>
    <cellStyle name="Comma 4 3 2 3 4 2 2 2" xfId="24888" xr:uid="{8BCAE0AB-E633-47F5-95D7-38ABCEF3CBC2}"/>
    <cellStyle name="Comma 4 3 2 3 4 2 2 3" xfId="33334" xr:uid="{154ADEE8-4C50-4C63-AFEB-B374CBC38A96}"/>
    <cellStyle name="Comma 4 3 2 3 4 2 2 4" xfId="16447" xr:uid="{818401F3-7765-431E-928D-7E2775D2C120}"/>
    <cellStyle name="Comma 4 3 2 3 4 2 3" xfId="20670" xr:uid="{48D696C8-DBBD-4978-B9E6-8D9BDF53DD1F}"/>
    <cellStyle name="Comma 4 3 2 3 4 2 4" xfId="29117" xr:uid="{53F2B581-48BC-432F-8DAE-6EF5ED7DE5A8}"/>
    <cellStyle name="Comma 4 3 2 3 4 2 5" xfId="12229" xr:uid="{5B6E7288-E5BE-485B-9949-71E30D9259BB}"/>
    <cellStyle name="Comma 4 3 2 3 4 3" xfId="5860" xr:uid="{00000000-0005-0000-0000-00004F090000}"/>
    <cellStyle name="Comma 4 3 2 3 4 3 2" xfId="22743" xr:uid="{97DB4D3F-3376-4433-B932-E0544A7C71F5}"/>
    <cellStyle name="Comma 4 3 2 3 4 3 3" xfId="31189" xr:uid="{80208122-B943-4745-86E4-2B02CC1D3B51}"/>
    <cellStyle name="Comma 4 3 2 3 4 3 4" xfId="14302" xr:uid="{DD6CC2B4-A09E-4C18-A362-886ECD2C4AF0}"/>
    <cellStyle name="Comma 4 3 2 3 4 4" xfId="18525" xr:uid="{D87D354C-2434-4185-BBB0-ADC31E4E1733}"/>
    <cellStyle name="Comma 4 3 2 3 4 5" xfId="26970" xr:uid="{92AE89F0-5E1C-4E28-B9D1-DE8165532AC8}"/>
    <cellStyle name="Comma 4 3 2 3 4 6" xfId="10084" xr:uid="{A43BF2B2-0736-4DE7-BE2A-543C1D24C0D9}"/>
    <cellStyle name="Comma 4 3 2 3 5" xfId="1966" xr:uid="{00000000-0005-0000-0000-000050090000}"/>
    <cellStyle name="Comma 4 3 2 3 5 2" xfId="4195" xr:uid="{00000000-0005-0000-0000-000051090000}"/>
    <cellStyle name="Comma 4 3 2 3 5 2 2" xfId="8418" xr:uid="{00000000-0005-0000-0000-000052090000}"/>
    <cellStyle name="Comma 4 3 2 3 5 2 2 2" xfId="25301" xr:uid="{51C609A5-EFDE-45D0-AA47-F189619718E1}"/>
    <cellStyle name="Comma 4 3 2 3 5 2 2 3" xfId="33747" xr:uid="{0CD29549-6C70-4A64-812E-C1E890AA4ACF}"/>
    <cellStyle name="Comma 4 3 2 3 5 2 2 4" xfId="16860" xr:uid="{B37ECE73-8BF8-404A-A9C1-45188C62A79D}"/>
    <cellStyle name="Comma 4 3 2 3 5 2 3" xfId="21083" xr:uid="{E1AEAFD9-B1E3-420A-9886-0A8772E22129}"/>
    <cellStyle name="Comma 4 3 2 3 5 2 4" xfId="29530" xr:uid="{68334BE4-800C-4185-9BB3-9AAB461EDC22}"/>
    <cellStyle name="Comma 4 3 2 3 5 2 5" xfId="12642" xr:uid="{6415A354-8310-47AF-90F3-999323AF2E13}"/>
    <cellStyle name="Comma 4 3 2 3 5 3" xfId="6273" xr:uid="{00000000-0005-0000-0000-000053090000}"/>
    <cellStyle name="Comma 4 3 2 3 5 3 2" xfId="23156" xr:uid="{24F17E92-31B7-458B-B5FA-0E6EE4705C64}"/>
    <cellStyle name="Comma 4 3 2 3 5 3 3" xfId="31602" xr:uid="{6968076F-B225-4367-8D7F-9F4F3C911917}"/>
    <cellStyle name="Comma 4 3 2 3 5 3 4" xfId="14715" xr:uid="{B4D34F97-0583-4FEE-9132-8FF7D87F592F}"/>
    <cellStyle name="Comma 4 3 2 3 5 4" xfId="18938" xr:uid="{B7430838-4D90-44A2-9355-3662F3527D62}"/>
    <cellStyle name="Comma 4 3 2 3 5 5" xfId="27383" xr:uid="{23EA3AAF-1823-47ED-B97D-00F791D29EA6}"/>
    <cellStyle name="Comma 4 3 2 3 5 6" xfId="10497" xr:uid="{AEC526BC-7303-4D01-BD03-15355B85AC34}"/>
    <cellStyle name="Comma 4 3 2 3 6" xfId="2401" xr:uid="{00000000-0005-0000-0000-000054090000}"/>
    <cellStyle name="Comma 4 3 2 3 6 2" xfId="6686" xr:uid="{00000000-0005-0000-0000-000055090000}"/>
    <cellStyle name="Comma 4 3 2 3 6 2 2" xfId="23569" xr:uid="{2B4DABD5-0122-46A6-821B-7A0DAA891C88}"/>
    <cellStyle name="Comma 4 3 2 3 6 2 3" xfId="32015" xr:uid="{8BDFEB9A-BC67-4C51-9DBC-F96D912938FE}"/>
    <cellStyle name="Comma 4 3 2 3 6 2 4" xfId="15128" xr:uid="{89DA8B88-0690-41CD-8904-8422811CFC8B}"/>
    <cellStyle name="Comma 4 3 2 3 6 3" xfId="19351" xr:uid="{7F2CF1EA-23B7-4AAE-91FC-82A4596A7EC8}"/>
    <cellStyle name="Comma 4 3 2 3 6 4" xfId="27796" xr:uid="{1A4DD5D5-9665-4285-9A12-8B1C3D98E6FB}"/>
    <cellStyle name="Comma 4 3 2 3 6 5" xfId="10910" xr:uid="{89DFF01C-F296-4518-AEB2-0623E8F15C5A}"/>
    <cellStyle name="Comma 4 3 2 3 7" xfId="2362" xr:uid="{00000000-0005-0000-0000-000056090000}"/>
    <cellStyle name="Comma 4 3 2 3 8" xfId="2779" xr:uid="{00000000-0005-0000-0000-000057090000}"/>
    <cellStyle name="Comma 4 3 2 3 8 2" xfId="7003" xr:uid="{00000000-0005-0000-0000-000058090000}"/>
    <cellStyle name="Comma 4 3 2 3 8 2 2" xfId="23886" xr:uid="{24AB161B-D200-4C55-A8FB-FEC387E282BD}"/>
    <cellStyle name="Comma 4 3 2 3 8 2 3" xfId="32332" xr:uid="{B957BF65-DD0D-45A8-BD7D-2AC741559DAE}"/>
    <cellStyle name="Comma 4 3 2 3 8 2 4" xfId="15445" xr:uid="{35D9C8C9-FCAE-4935-A02B-86E487C4F39F}"/>
    <cellStyle name="Comma 4 3 2 3 8 3" xfId="19668" xr:uid="{05BB7ABB-782D-485D-8DB7-200C4F9C5F0A}"/>
    <cellStyle name="Comma 4 3 2 3 8 4" xfId="28115" xr:uid="{09644869-DB74-4838-B534-11178F138777}"/>
    <cellStyle name="Comma 4 3 2 3 8 5" xfId="11227" xr:uid="{BA2F96A5-5C17-489C-A918-2423EADA5322}"/>
    <cellStyle name="Comma 4 3 2 3 9" xfId="4620" xr:uid="{00000000-0005-0000-0000-000059090000}"/>
    <cellStyle name="Comma 4 3 2 3 9 2" xfId="21503" xr:uid="{BD943F8A-8C1B-44AE-82EC-485DC54E1D29}"/>
    <cellStyle name="Comma 4 3 2 3 9 3" xfId="29949" xr:uid="{DE99A755-CBC4-48BD-8EE9-03ABEB24C393}"/>
    <cellStyle name="Comma 4 3 2 3 9 4" xfId="13062" xr:uid="{949437DE-471B-4278-A94C-26528D798918}"/>
    <cellStyle name="Comma 4 3 2 4" xfId="682" xr:uid="{00000000-0005-0000-0000-00005A090000}"/>
    <cellStyle name="Comma 4 3 2 4 2" xfId="2953" xr:uid="{00000000-0005-0000-0000-00005B090000}"/>
    <cellStyle name="Comma 4 3 2 4 2 2" xfId="7176" xr:uid="{00000000-0005-0000-0000-00005C090000}"/>
    <cellStyle name="Comma 4 3 2 4 2 2 2" xfId="24059" xr:uid="{9EC80B9C-6B75-4522-9164-9A8738401EFA}"/>
    <cellStyle name="Comma 4 3 2 4 2 2 3" xfId="32505" xr:uid="{D5029DBB-2EF6-4DB8-925F-C6601ABE0E84}"/>
    <cellStyle name="Comma 4 3 2 4 2 2 4" xfId="15618" xr:uid="{C657B9CF-02CA-450C-9F44-F6D9BF909751}"/>
    <cellStyle name="Comma 4 3 2 4 2 3" xfId="19841" xr:uid="{C0EAA01F-491C-4F11-BEF3-6F708BD4DC50}"/>
    <cellStyle name="Comma 4 3 2 4 2 4" xfId="28288" xr:uid="{20EC136B-786F-4ED3-ABEA-B86FC594261C}"/>
    <cellStyle name="Comma 4 3 2 4 2 5" xfId="11400" xr:uid="{B3F5894F-D4C5-4AC8-A2BC-5DCE40932FB5}"/>
    <cellStyle name="Comma 4 3 2 4 3" xfId="5031" xr:uid="{00000000-0005-0000-0000-00005D090000}"/>
    <cellStyle name="Comma 4 3 2 4 3 2" xfId="21914" xr:uid="{FFF61C6F-E9A8-489C-9A1A-4CF32A062CBF}"/>
    <cellStyle name="Comma 4 3 2 4 3 3" xfId="30360" xr:uid="{A9EE30BA-3521-4824-8783-E722B588D088}"/>
    <cellStyle name="Comma 4 3 2 4 3 4" xfId="13473" xr:uid="{2E410D75-552F-4AA5-8B9E-3C71B0C9A517}"/>
    <cellStyle name="Comma 4 3 2 4 4" xfId="17696" xr:uid="{0BEBCEB5-218C-41B2-8403-E655B72675BB}"/>
    <cellStyle name="Comma 4 3 2 4 5" xfId="26141" xr:uid="{ED88E715-743A-49A0-85A5-91C55B9FA273}"/>
    <cellStyle name="Comma 4 3 2 4 6" xfId="9255" xr:uid="{61614349-8340-4D8E-B250-41BB7803840F}"/>
    <cellStyle name="Comma 4 3 2 5" xfId="1135" xr:uid="{00000000-0005-0000-0000-00005E090000}"/>
    <cellStyle name="Comma 4 3 2 5 2" xfId="3366" xr:uid="{00000000-0005-0000-0000-00005F090000}"/>
    <cellStyle name="Comma 4 3 2 5 2 2" xfId="7589" xr:uid="{00000000-0005-0000-0000-000060090000}"/>
    <cellStyle name="Comma 4 3 2 5 2 2 2" xfId="24472" xr:uid="{EF934FA7-53E2-4DF6-A1A7-FC60499D41D4}"/>
    <cellStyle name="Comma 4 3 2 5 2 2 3" xfId="32918" xr:uid="{7531A303-6E43-4735-84C4-44375229D7CC}"/>
    <cellStyle name="Comma 4 3 2 5 2 2 4" xfId="16031" xr:uid="{A686BA0C-CDE7-490F-82BD-80ADA3713784}"/>
    <cellStyle name="Comma 4 3 2 5 2 3" xfId="20254" xr:uid="{78A77292-4A25-48E1-8DA1-39C20110D5AD}"/>
    <cellStyle name="Comma 4 3 2 5 2 4" xfId="28701" xr:uid="{32104177-AF89-4D51-97E1-F5D271A6FF4A}"/>
    <cellStyle name="Comma 4 3 2 5 2 5" xfId="11813" xr:uid="{DF6AD3B5-76AD-4449-8BC1-4B397645860E}"/>
    <cellStyle name="Comma 4 3 2 5 3" xfId="5444" xr:uid="{00000000-0005-0000-0000-000061090000}"/>
    <cellStyle name="Comma 4 3 2 5 3 2" xfId="22327" xr:uid="{0839AC8C-210B-4269-9B9E-2EB5AE3FF401}"/>
    <cellStyle name="Comma 4 3 2 5 3 3" xfId="30773" xr:uid="{3E93748C-1523-4541-A6F3-204FE4D61391}"/>
    <cellStyle name="Comma 4 3 2 5 3 4" xfId="13886" xr:uid="{58D06F6D-04D5-4A0E-9F14-F9028337E458}"/>
    <cellStyle name="Comma 4 3 2 5 4" xfId="18109" xr:uid="{CC3F2254-BDE0-498C-9052-B343226E217C}"/>
    <cellStyle name="Comma 4 3 2 5 5" xfId="26554" xr:uid="{E17E11FA-8394-4715-B69E-ED217B42A4CC}"/>
    <cellStyle name="Comma 4 3 2 5 6" xfId="9668" xr:uid="{710DC5CC-6CF6-42A7-B918-F70DE152601C}"/>
    <cellStyle name="Comma 4 3 2 6" xfId="1549" xr:uid="{00000000-0005-0000-0000-000062090000}"/>
    <cellStyle name="Comma 4 3 2 6 2" xfId="3779" xr:uid="{00000000-0005-0000-0000-000063090000}"/>
    <cellStyle name="Comma 4 3 2 6 2 2" xfId="8002" xr:uid="{00000000-0005-0000-0000-000064090000}"/>
    <cellStyle name="Comma 4 3 2 6 2 2 2" xfId="24885" xr:uid="{ADCF9529-32D5-43B7-A1B0-B2454262C390}"/>
    <cellStyle name="Comma 4 3 2 6 2 2 3" xfId="33331" xr:uid="{C83F808F-7D64-467B-B2B2-6B7D3292E8D2}"/>
    <cellStyle name="Comma 4 3 2 6 2 2 4" xfId="16444" xr:uid="{2086CAD8-67B9-4774-8363-2E1680684640}"/>
    <cellStyle name="Comma 4 3 2 6 2 3" xfId="20667" xr:uid="{E1765D8D-CF85-42AD-BBA1-1D54B719F3D8}"/>
    <cellStyle name="Comma 4 3 2 6 2 4" xfId="29114" xr:uid="{BD6B9767-E4BF-4273-9C67-DA9F1E35E0BD}"/>
    <cellStyle name="Comma 4 3 2 6 2 5" xfId="12226" xr:uid="{25EE5E7B-305C-49AE-8B05-9ECA7E69B979}"/>
    <cellStyle name="Comma 4 3 2 6 3" xfId="5857" xr:uid="{00000000-0005-0000-0000-000065090000}"/>
    <cellStyle name="Comma 4 3 2 6 3 2" xfId="22740" xr:uid="{A55A7028-5764-4C04-9C9C-7165E489A7C3}"/>
    <cellStyle name="Comma 4 3 2 6 3 3" xfId="31186" xr:uid="{E5CEC319-BAC6-4D81-99C6-3183F9E2C63F}"/>
    <cellStyle name="Comma 4 3 2 6 3 4" xfId="14299" xr:uid="{510F5717-7216-47DB-AD7F-31EF704C5D09}"/>
    <cellStyle name="Comma 4 3 2 6 4" xfId="18522" xr:uid="{88FEE4CB-BC81-4FB0-BE8B-C80A425BD8F4}"/>
    <cellStyle name="Comma 4 3 2 6 5" xfId="26967" xr:uid="{5B2EC70D-5CAC-4CF9-A9A5-F12547BCC22B}"/>
    <cellStyle name="Comma 4 3 2 6 6" xfId="10081" xr:uid="{3C569949-0692-4600-BC80-F6C8AFD924E6}"/>
    <cellStyle name="Comma 4 3 2 7" xfId="1963" xr:uid="{00000000-0005-0000-0000-000066090000}"/>
    <cellStyle name="Comma 4 3 2 7 2" xfId="4192" xr:uid="{00000000-0005-0000-0000-000067090000}"/>
    <cellStyle name="Comma 4 3 2 7 2 2" xfId="8415" xr:uid="{00000000-0005-0000-0000-000068090000}"/>
    <cellStyle name="Comma 4 3 2 7 2 2 2" xfId="25298" xr:uid="{D4C13AE2-5E08-4C01-A347-2BCE5225CFE0}"/>
    <cellStyle name="Comma 4 3 2 7 2 2 3" xfId="33744" xr:uid="{128B3040-A51C-4A02-ABFD-B648DF9757C2}"/>
    <cellStyle name="Comma 4 3 2 7 2 2 4" xfId="16857" xr:uid="{3830849B-3580-490F-8FD7-D59142CD6BAA}"/>
    <cellStyle name="Comma 4 3 2 7 2 3" xfId="21080" xr:uid="{C7AB2FC9-D035-40AB-9447-AC074A3D471E}"/>
    <cellStyle name="Comma 4 3 2 7 2 4" xfId="29527" xr:uid="{01D47380-6AEA-49C3-87FD-59B3EF7F5926}"/>
    <cellStyle name="Comma 4 3 2 7 2 5" xfId="12639" xr:uid="{A7EA1F05-3750-4AB2-94E8-A4967E5305F7}"/>
    <cellStyle name="Comma 4 3 2 7 3" xfId="6270" xr:uid="{00000000-0005-0000-0000-000069090000}"/>
    <cellStyle name="Comma 4 3 2 7 3 2" xfId="23153" xr:uid="{509A981E-29B6-4461-ADA7-152F701CB49E}"/>
    <cellStyle name="Comma 4 3 2 7 3 3" xfId="31599" xr:uid="{37E07010-E9E6-4158-BAC9-359164FB5911}"/>
    <cellStyle name="Comma 4 3 2 7 3 4" xfId="14712" xr:uid="{5B20C648-E6D7-4673-8227-20107EDB5F4D}"/>
    <cellStyle name="Comma 4 3 2 7 4" xfId="18935" xr:uid="{4EE7749F-14B7-4957-82AE-D2EA8C096998}"/>
    <cellStyle name="Comma 4 3 2 7 5" xfId="27380" xr:uid="{A95180CB-0D2D-424F-AE4C-706419A8317D}"/>
    <cellStyle name="Comma 4 3 2 7 6" xfId="10494" xr:uid="{ABFEFCCA-26F8-42F1-BD3B-3F26FBC0DFE9}"/>
    <cellStyle name="Comma 4 3 2 8" xfId="2398" xr:uid="{00000000-0005-0000-0000-00006A090000}"/>
    <cellStyle name="Comma 4 3 2 8 2" xfId="6683" xr:uid="{00000000-0005-0000-0000-00006B090000}"/>
    <cellStyle name="Comma 4 3 2 8 2 2" xfId="23566" xr:uid="{6C67721F-6F8A-4E78-B635-26EBF2476020}"/>
    <cellStyle name="Comma 4 3 2 8 2 3" xfId="32012" xr:uid="{806DD6E5-85EB-4D76-9602-C8F595DF706B}"/>
    <cellStyle name="Comma 4 3 2 8 2 4" xfId="15125" xr:uid="{8D136725-3974-474D-B9E1-2566773D0F85}"/>
    <cellStyle name="Comma 4 3 2 8 3" xfId="19348" xr:uid="{E435A316-A8D1-4605-9369-6D30E5DD45D6}"/>
    <cellStyle name="Comma 4 3 2 8 4" xfId="27793" xr:uid="{1069EB93-B987-4943-AD0E-BD932016BFE2}"/>
    <cellStyle name="Comma 4 3 2 8 5" xfId="10907" xr:uid="{3F7477EB-DC5F-4F4D-A697-D2971F5D15C1}"/>
    <cellStyle name="Comma 4 3 2 9" xfId="2365" xr:uid="{00000000-0005-0000-0000-00006C090000}"/>
    <cellStyle name="Comma 4 3 3" xfId="149" xr:uid="{00000000-0005-0000-0000-00006D090000}"/>
    <cellStyle name="Comma 4 3 3 10" xfId="4621" xr:uid="{00000000-0005-0000-0000-00006E090000}"/>
    <cellStyle name="Comma 4 3 3 10 2" xfId="21504" xr:uid="{705FC85E-C29E-4885-AC28-6920AEAEA7C9}"/>
    <cellStyle name="Comma 4 3 3 10 3" xfId="29950" xr:uid="{724D4872-E292-4846-BA70-EDF447F4004B}"/>
    <cellStyle name="Comma 4 3 3 10 4" xfId="13063" xr:uid="{F2C11AED-A291-44A1-8B7E-E5F6028E4747}"/>
    <cellStyle name="Comma 4 3 3 11" xfId="17286" xr:uid="{49FFA066-5E82-4529-89EE-A9BCB7F9937B}"/>
    <cellStyle name="Comma 4 3 3 12" xfId="25729" xr:uid="{F73ED575-649C-4448-B448-9885573CF040}"/>
    <cellStyle name="Comma 4 3 3 13" xfId="8845" xr:uid="{97774C7A-4858-4037-8AB1-058E1FBFC7E9}"/>
    <cellStyle name="Comma 4 3 3 2" xfId="150" xr:uid="{00000000-0005-0000-0000-00006F090000}"/>
    <cellStyle name="Comma 4 3 3 2 10" xfId="17287" xr:uid="{1FC43B85-E7B5-4DF7-8FBA-1A77E943B0B9}"/>
    <cellStyle name="Comma 4 3 3 2 11" xfId="25730" xr:uid="{E7BF0E06-F137-4C51-844A-F3525CABC32C}"/>
    <cellStyle name="Comma 4 3 3 2 12" xfId="8846" xr:uid="{59CEC3D7-78E9-485D-8FEC-4FBABF240E9C}"/>
    <cellStyle name="Comma 4 3 3 2 2" xfId="687" xr:uid="{00000000-0005-0000-0000-000070090000}"/>
    <cellStyle name="Comma 4 3 3 2 2 2" xfId="2958" xr:uid="{00000000-0005-0000-0000-000071090000}"/>
    <cellStyle name="Comma 4 3 3 2 2 2 2" xfId="7181" xr:uid="{00000000-0005-0000-0000-000072090000}"/>
    <cellStyle name="Comma 4 3 3 2 2 2 2 2" xfId="24064" xr:uid="{E386D500-7825-42EA-857B-7EC84778F033}"/>
    <cellStyle name="Comma 4 3 3 2 2 2 2 3" xfId="32510" xr:uid="{2B4E3FA9-5111-4497-BF03-6A9E8F1F963E}"/>
    <cellStyle name="Comma 4 3 3 2 2 2 2 4" xfId="15623" xr:uid="{D02A7B20-BB62-4D4E-8259-C9559B012553}"/>
    <cellStyle name="Comma 4 3 3 2 2 2 3" xfId="19846" xr:uid="{16B72A78-183F-4FAF-96DC-124694B3B98F}"/>
    <cellStyle name="Comma 4 3 3 2 2 2 4" xfId="28293" xr:uid="{466F3B71-CCE5-41A4-B282-FB0FFA39BB72}"/>
    <cellStyle name="Comma 4 3 3 2 2 2 5" xfId="11405" xr:uid="{ACA1D28F-BD2B-4AC9-894B-25217EE5BF23}"/>
    <cellStyle name="Comma 4 3 3 2 2 3" xfId="5036" xr:uid="{00000000-0005-0000-0000-000073090000}"/>
    <cellStyle name="Comma 4 3 3 2 2 3 2" xfId="21919" xr:uid="{DC954752-9FDD-4617-AF05-A8F4043E6C10}"/>
    <cellStyle name="Comma 4 3 3 2 2 3 3" xfId="30365" xr:uid="{578054F9-ED5F-40D0-BDE1-F2C257D75554}"/>
    <cellStyle name="Comma 4 3 3 2 2 3 4" xfId="13478" xr:uid="{23DBE698-2EE1-4E25-BCE3-5FB7DF1BF2E4}"/>
    <cellStyle name="Comma 4 3 3 2 2 4" xfId="17701" xr:uid="{33ED0A77-0D57-46A4-8682-33DC337348B1}"/>
    <cellStyle name="Comma 4 3 3 2 2 5" xfId="26146" xr:uid="{C680C5D7-4FB8-4176-B815-8400D549BD6E}"/>
    <cellStyle name="Comma 4 3 3 2 2 6" xfId="9260" xr:uid="{298F6162-CAF1-4EF1-80AC-E425AC97BBD6}"/>
    <cellStyle name="Comma 4 3 3 2 3" xfId="1140" xr:uid="{00000000-0005-0000-0000-000074090000}"/>
    <cellStyle name="Comma 4 3 3 2 3 2" xfId="3371" xr:uid="{00000000-0005-0000-0000-000075090000}"/>
    <cellStyle name="Comma 4 3 3 2 3 2 2" xfId="7594" xr:uid="{00000000-0005-0000-0000-000076090000}"/>
    <cellStyle name="Comma 4 3 3 2 3 2 2 2" xfId="24477" xr:uid="{E2417C78-E146-47DF-8475-DAAA62916DD1}"/>
    <cellStyle name="Comma 4 3 3 2 3 2 2 3" xfId="32923" xr:uid="{39483D16-52F0-4FDE-BD30-3D457081D241}"/>
    <cellStyle name="Comma 4 3 3 2 3 2 2 4" xfId="16036" xr:uid="{15FC487D-4E6B-4994-AAE5-450A3536C7B6}"/>
    <cellStyle name="Comma 4 3 3 2 3 2 3" xfId="20259" xr:uid="{8187FE92-780C-4E28-AE47-FE3FFF620BCC}"/>
    <cellStyle name="Comma 4 3 3 2 3 2 4" xfId="28706" xr:uid="{CF56AF96-4F35-4CD9-AC87-FD4DB31642BA}"/>
    <cellStyle name="Comma 4 3 3 2 3 2 5" xfId="11818" xr:uid="{3FBEB4DC-9F0A-4263-AED1-41AA7B9D8D2B}"/>
    <cellStyle name="Comma 4 3 3 2 3 3" xfId="5449" xr:uid="{00000000-0005-0000-0000-000077090000}"/>
    <cellStyle name="Comma 4 3 3 2 3 3 2" xfId="22332" xr:uid="{2030257B-AEA4-423C-93D2-93ACD79C9889}"/>
    <cellStyle name="Comma 4 3 3 2 3 3 3" xfId="30778" xr:uid="{591C8D10-ACFA-43CD-82B7-0F18D4100E80}"/>
    <cellStyle name="Comma 4 3 3 2 3 3 4" xfId="13891" xr:uid="{20C3455B-48F0-47F6-9ECD-17B6D21294CE}"/>
    <cellStyle name="Comma 4 3 3 2 3 4" xfId="18114" xr:uid="{3C847305-275E-46CD-A9DA-B6AB5D4C647A}"/>
    <cellStyle name="Comma 4 3 3 2 3 5" xfId="26559" xr:uid="{3FA59604-72BD-4E0E-9589-C85CEC8BAB10}"/>
    <cellStyle name="Comma 4 3 3 2 3 6" xfId="9673" xr:uid="{F6087644-AE47-4625-9C32-0BF8A3FA35A6}"/>
    <cellStyle name="Comma 4 3 3 2 4" xfId="1554" xr:uid="{00000000-0005-0000-0000-000078090000}"/>
    <cellStyle name="Comma 4 3 3 2 4 2" xfId="3784" xr:uid="{00000000-0005-0000-0000-000079090000}"/>
    <cellStyle name="Comma 4 3 3 2 4 2 2" xfId="8007" xr:uid="{00000000-0005-0000-0000-00007A090000}"/>
    <cellStyle name="Comma 4 3 3 2 4 2 2 2" xfId="24890" xr:uid="{C4CEA9AD-F144-47BC-8959-F3D67925D8BB}"/>
    <cellStyle name="Comma 4 3 3 2 4 2 2 3" xfId="33336" xr:uid="{55FB8013-0E65-4A5C-891B-6FCA89B4A600}"/>
    <cellStyle name="Comma 4 3 3 2 4 2 2 4" xfId="16449" xr:uid="{1D60FFA5-6C00-4635-A691-6702E580E107}"/>
    <cellStyle name="Comma 4 3 3 2 4 2 3" xfId="20672" xr:uid="{926AF86A-C45F-4CE7-8FD1-6C2E9AAB040F}"/>
    <cellStyle name="Comma 4 3 3 2 4 2 4" xfId="29119" xr:uid="{18708B4A-0F96-48E4-AD49-A5A338C41B9E}"/>
    <cellStyle name="Comma 4 3 3 2 4 2 5" xfId="12231" xr:uid="{508FDE3A-4E97-4A29-8177-3287101A0021}"/>
    <cellStyle name="Comma 4 3 3 2 4 3" xfId="5862" xr:uid="{00000000-0005-0000-0000-00007B090000}"/>
    <cellStyle name="Comma 4 3 3 2 4 3 2" xfId="22745" xr:uid="{96D0026F-EE02-4559-9CEA-35E57B8847F2}"/>
    <cellStyle name="Comma 4 3 3 2 4 3 3" xfId="31191" xr:uid="{A480940D-AE21-44B2-B368-74BF7EDF2CBB}"/>
    <cellStyle name="Comma 4 3 3 2 4 3 4" xfId="14304" xr:uid="{0CB27656-EF52-4342-8CBE-F6311BCA2D60}"/>
    <cellStyle name="Comma 4 3 3 2 4 4" xfId="18527" xr:uid="{B934683C-BD99-4DFB-81B7-38261E9A1B22}"/>
    <cellStyle name="Comma 4 3 3 2 4 5" xfId="26972" xr:uid="{4EE2DD65-7FB2-4FC8-B714-6A8DF9ED01C4}"/>
    <cellStyle name="Comma 4 3 3 2 4 6" xfId="10086" xr:uid="{A2CC2A54-0901-4CF1-926B-C34FCD1E769B}"/>
    <cellStyle name="Comma 4 3 3 2 5" xfId="1968" xr:uid="{00000000-0005-0000-0000-00007C090000}"/>
    <cellStyle name="Comma 4 3 3 2 5 2" xfId="4197" xr:uid="{00000000-0005-0000-0000-00007D090000}"/>
    <cellStyle name="Comma 4 3 3 2 5 2 2" xfId="8420" xr:uid="{00000000-0005-0000-0000-00007E090000}"/>
    <cellStyle name="Comma 4 3 3 2 5 2 2 2" xfId="25303" xr:uid="{051490CD-EA56-4C6D-A54C-560E8A8A751B}"/>
    <cellStyle name="Comma 4 3 3 2 5 2 2 3" xfId="33749" xr:uid="{873F23CD-F612-4406-9A79-666D3FAB44C3}"/>
    <cellStyle name="Comma 4 3 3 2 5 2 2 4" xfId="16862" xr:uid="{B6C83866-E69A-4997-AA28-3469A0FCA03A}"/>
    <cellStyle name="Comma 4 3 3 2 5 2 3" xfId="21085" xr:uid="{7D728A20-AB88-4780-9445-F06BB87D6B0E}"/>
    <cellStyle name="Comma 4 3 3 2 5 2 4" xfId="29532" xr:uid="{ECC76407-677E-4662-9D53-C070BE1B1237}"/>
    <cellStyle name="Comma 4 3 3 2 5 2 5" xfId="12644" xr:uid="{E04F3DA7-1A25-46B1-B45D-9033C7A74796}"/>
    <cellStyle name="Comma 4 3 3 2 5 3" xfId="6275" xr:uid="{00000000-0005-0000-0000-00007F090000}"/>
    <cellStyle name="Comma 4 3 3 2 5 3 2" xfId="23158" xr:uid="{FDC544FE-752B-45AB-9D37-CDFE2DA0AFA1}"/>
    <cellStyle name="Comma 4 3 3 2 5 3 3" xfId="31604" xr:uid="{04D17D6F-7C07-4BEB-BA3B-7BB7D8D9D8DD}"/>
    <cellStyle name="Comma 4 3 3 2 5 3 4" xfId="14717" xr:uid="{41A349BF-1A67-45BA-BC9C-362A36C44AF3}"/>
    <cellStyle name="Comma 4 3 3 2 5 4" xfId="18940" xr:uid="{270A16BB-9CAC-4A74-AE06-842E47DADE6C}"/>
    <cellStyle name="Comma 4 3 3 2 5 5" xfId="27385" xr:uid="{754BA194-F12B-4903-B9D1-9A32958CD74F}"/>
    <cellStyle name="Comma 4 3 3 2 5 6" xfId="10499" xr:uid="{7A485B3B-DAA8-446E-9939-7C127164F76D}"/>
    <cellStyle name="Comma 4 3 3 2 6" xfId="2403" xr:uid="{00000000-0005-0000-0000-000080090000}"/>
    <cellStyle name="Comma 4 3 3 2 6 2" xfId="6688" xr:uid="{00000000-0005-0000-0000-000081090000}"/>
    <cellStyle name="Comma 4 3 3 2 6 2 2" xfId="23571" xr:uid="{7C54B159-02F7-4742-A93B-DDDA718DAA5E}"/>
    <cellStyle name="Comma 4 3 3 2 6 2 3" xfId="32017" xr:uid="{295E5E8C-8DDD-48A7-92D7-D1ED82FEC0AF}"/>
    <cellStyle name="Comma 4 3 3 2 6 2 4" xfId="15130" xr:uid="{3B52EABE-4062-4D4B-80FE-7426091D669E}"/>
    <cellStyle name="Comma 4 3 3 2 6 3" xfId="19353" xr:uid="{83BF9E68-E1E9-42AE-B540-F0988AE9876C}"/>
    <cellStyle name="Comma 4 3 3 2 6 4" xfId="27798" xr:uid="{F3D514DF-D003-4797-812E-F08F3EEBC81D}"/>
    <cellStyle name="Comma 4 3 3 2 6 5" xfId="10912" xr:uid="{17C86ECA-51E8-4D37-B640-7FCF8F0338E2}"/>
    <cellStyle name="Comma 4 3 3 2 7" xfId="2360" xr:uid="{00000000-0005-0000-0000-000082090000}"/>
    <cellStyle name="Comma 4 3 3 2 8" xfId="2781" xr:uid="{00000000-0005-0000-0000-000083090000}"/>
    <cellStyle name="Comma 4 3 3 2 8 2" xfId="7005" xr:uid="{00000000-0005-0000-0000-000084090000}"/>
    <cellStyle name="Comma 4 3 3 2 8 2 2" xfId="23888" xr:uid="{E7D2317B-14CC-4476-A0BC-EF3F4A9A63CD}"/>
    <cellStyle name="Comma 4 3 3 2 8 2 3" xfId="32334" xr:uid="{103A348B-19FE-48EB-9D10-A56386DA9449}"/>
    <cellStyle name="Comma 4 3 3 2 8 2 4" xfId="15447" xr:uid="{0FF90255-C74D-42DB-891F-77313231BAB7}"/>
    <cellStyle name="Comma 4 3 3 2 8 3" xfId="19670" xr:uid="{95401C48-B169-4329-AD8F-811C5A00D74F}"/>
    <cellStyle name="Comma 4 3 3 2 8 4" xfId="28117" xr:uid="{6EA632F4-6574-491A-A75C-A709884647D8}"/>
    <cellStyle name="Comma 4 3 3 2 8 5" xfId="11229" xr:uid="{934F2F23-5F54-4C33-8A83-EC2A8BE5FEF1}"/>
    <cellStyle name="Comma 4 3 3 2 9" xfId="4622" xr:uid="{00000000-0005-0000-0000-000085090000}"/>
    <cellStyle name="Comma 4 3 3 2 9 2" xfId="21505" xr:uid="{A4ACCA86-5BFA-4D1E-8906-EE40A8269E8D}"/>
    <cellStyle name="Comma 4 3 3 2 9 3" xfId="29951" xr:uid="{17FD329B-4FB4-4DB8-92D1-DE06B8FF560A}"/>
    <cellStyle name="Comma 4 3 3 2 9 4" xfId="13064" xr:uid="{2BD578E9-EC4C-4B57-A744-E94723677D8B}"/>
    <cellStyle name="Comma 4 3 3 3" xfId="686" xr:uid="{00000000-0005-0000-0000-000086090000}"/>
    <cellStyle name="Comma 4 3 3 3 2" xfId="2957" xr:uid="{00000000-0005-0000-0000-000087090000}"/>
    <cellStyle name="Comma 4 3 3 3 2 2" xfId="7180" xr:uid="{00000000-0005-0000-0000-000088090000}"/>
    <cellStyle name="Comma 4 3 3 3 2 2 2" xfId="24063" xr:uid="{7E2B7621-E025-497E-8D2D-E47BB093537F}"/>
    <cellStyle name="Comma 4 3 3 3 2 2 3" xfId="32509" xr:uid="{C5EF6909-D95E-45E6-8CED-2764584C68B3}"/>
    <cellStyle name="Comma 4 3 3 3 2 2 4" xfId="15622" xr:uid="{B4B9AEEB-9B90-4A7D-AE5E-AD7710F696C6}"/>
    <cellStyle name="Comma 4 3 3 3 2 3" xfId="19845" xr:uid="{B51F15D3-83A7-485D-AD76-4A65DF7F82C9}"/>
    <cellStyle name="Comma 4 3 3 3 2 4" xfId="28292" xr:uid="{A00A7C00-2F41-4D0A-88AA-3A0F48678FBA}"/>
    <cellStyle name="Comma 4 3 3 3 2 5" xfId="11404" xr:uid="{0F291C93-DC61-400B-8763-D5F2A244EFBE}"/>
    <cellStyle name="Comma 4 3 3 3 3" xfId="5035" xr:uid="{00000000-0005-0000-0000-000089090000}"/>
    <cellStyle name="Comma 4 3 3 3 3 2" xfId="21918" xr:uid="{0AA96810-8B9A-4578-94B0-85DC98EB72C4}"/>
    <cellStyle name="Comma 4 3 3 3 3 3" xfId="30364" xr:uid="{DE48BDE0-0A38-44EF-A7FD-57E0A8199DD8}"/>
    <cellStyle name="Comma 4 3 3 3 3 4" xfId="13477" xr:uid="{F603A3D6-7935-4515-B772-3407EA2DC1B3}"/>
    <cellStyle name="Comma 4 3 3 3 4" xfId="17700" xr:uid="{15BEF763-DC5E-4EE5-A730-C2A8B91ABB72}"/>
    <cellStyle name="Comma 4 3 3 3 5" xfId="26145" xr:uid="{34238EFD-D114-449C-9BE4-EA135D59D0C0}"/>
    <cellStyle name="Comma 4 3 3 3 6" xfId="9259" xr:uid="{13A9C356-4435-49D9-BA76-7E1A64FCC14D}"/>
    <cellStyle name="Comma 4 3 3 4" xfId="1139" xr:uid="{00000000-0005-0000-0000-00008A090000}"/>
    <cellStyle name="Comma 4 3 3 4 2" xfId="3370" xr:uid="{00000000-0005-0000-0000-00008B090000}"/>
    <cellStyle name="Comma 4 3 3 4 2 2" xfId="7593" xr:uid="{00000000-0005-0000-0000-00008C090000}"/>
    <cellStyle name="Comma 4 3 3 4 2 2 2" xfId="24476" xr:uid="{F48C591B-1341-4B14-9273-E29FC0B8F746}"/>
    <cellStyle name="Comma 4 3 3 4 2 2 3" xfId="32922" xr:uid="{56442F8C-C5ED-45C2-9ABD-C500FB62196B}"/>
    <cellStyle name="Comma 4 3 3 4 2 2 4" xfId="16035" xr:uid="{802098BF-DE0C-4EF1-B09D-57F5FB425FE6}"/>
    <cellStyle name="Comma 4 3 3 4 2 3" xfId="20258" xr:uid="{9D56E5E0-0ECD-49C3-B4D1-BDCD51FB882C}"/>
    <cellStyle name="Comma 4 3 3 4 2 4" xfId="28705" xr:uid="{233C66B8-3775-4BD1-8C73-2040AF701920}"/>
    <cellStyle name="Comma 4 3 3 4 2 5" xfId="11817" xr:uid="{278618C1-559E-4830-AFA0-EFA7F2A2F851}"/>
    <cellStyle name="Comma 4 3 3 4 3" xfId="5448" xr:uid="{00000000-0005-0000-0000-00008D090000}"/>
    <cellStyle name="Comma 4 3 3 4 3 2" xfId="22331" xr:uid="{01ED8A2A-A049-4EDC-A485-15CC5DA08564}"/>
    <cellStyle name="Comma 4 3 3 4 3 3" xfId="30777" xr:uid="{08981594-B0B9-401E-B9C6-B71FAE0AA463}"/>
    <cellStyle name="Comma 4 3 3 4 3 4" xfId="13890" xr:uid="{A74077BB-9599-4E5A-BDE9-563D36BE4F56}"/>
    <cellStyle name="Comma 4 3 3 4 4" xfId="18113" xr:uid="{02FF9A1C-6402-4621-87E2-B3D943B0F0B6}"/>
    <cellStyle name="Comma 4 3 3 4 5" xfId="26558" xr:uid="{E03131F3-1341-4200-9D06-5A13AD5B7D07}"/>
    <cellStyle name="Comma 4 3 3 4 6" xfId="9672" xr:uid="{9DA4EC86-3456-4B29-9669-95EC085CD595}"/>
    <cellStyle name="Comma 4 3 3 5" xfId="1553" xr:uid="{00000000-0005-0000-0000-00008E090000}"/>
    <cellStyle name="Comma 4 3 3 5 2" xfId="3783" xr:uid="{00000000-0005-0000-0000-00008F090000}"/>
    <cellStyle name="Comma 4 3 3 5 2 2" xfId="8006" xr:uid="{00000000-0005-0000-0000-000090090000}"/>
    <cellStyle name="Comma 4 3 3 5 2 2 2" xfId="24889" xr:uid="{627C01A2-CB49-46E6-958F-5BD97D61200B}"/>
    <cellStyle name="Comma 4 3 3 5 2 2 3" xfId="33335" xr:uid="{86F9D26D-CCFD-46BC-9779-D6052DA05B53}"/>
    <cellStyle name="Comma 4 3 3 5 2 2 4" xfId="16448" xr:uid="{DDFD994B-0C01-4138-958A-9CB6ECB390DE}"/>
    <cellStyle name="Comma 4 3 3 5 2 3" xfId="20671" xr:uid="{11498F53-B613-4FC4-BF31-5642A6C33A79}"/>
    <cellStyle name="Comma 4 3 3 5 2 4" xfId="29118" xr:uid="{23797CDC-BC97-43B0-8E0B-F38DE5EF0DCE}"/>
    <cellStyle name="Comma 4 3 3 5 2 5" xfId="12230" xr:uid="{8420C6E2-03E1-4D61-8971-8219B42FC96E}"/>
    <cellStyle name="Comma 4 3 3 5 3" xfId="5861" xr:uid="{00000000-0005-0000-0000-000091090000}"/>
    <cellStyle name="Comma 4 3 3 5 3 2" xfId="22744" xr:uid="{AA286098-84DE-4155-8B09-CB5189636287}"/>
    <cellStyle name="Comma 4 3 3 5 3 3" xfId="31190" xr:uid="{19EF5520-7A5B-43D0-9ED4-54DC00CAC87F}"/>
    <cellStyle name="Comma 4 3 3 5 3 4" xfId="14303" xr:uid="{C2150DD1-B4A2-4894-8C73-50343EC9C474}"/>
    <cellStyle name="Comma 4 3 3 5 4" xfId="18526" xr:uid="{E4AD101D-674F-43D7-81C6-10F0E54AEB48}"/>
    <cellStyle name="Comma 4 3 3 5 5" xfId="26971" xr:uid="{534AB066-52B1-4BE9-A7D2-CB18A3EEF7B1}"/>
    <cellStyle name="Comma 4 3 3 5 6" xfId="10085" xr:uid="{13C79229-2CA2-45BD-A039-130C4FA9CEA7}"/>
    <cellStyle name="Comma 4 3 3 6" xfId="1967" xr:uid="{00000000-0005-0000-0000-000092090000}"/>
    <cellStyle name="Comma 4 3 3 6 2" xfId="4196" xr:uid="{00000000-0005-0000-0000-000093090000}"/>
    <cellStyle name="Comma 4 3 3 6 2 2" xfId="8419" xr:uid="{00000000-0005-0000-0000-000094090000}"/>
    <cellStyle name="Comma 4 3 3 6 2 2 2" xfId="25302" xr:uid="{320B12BC-C497-499B-AC03-F3C22AD4BAD9}"/>
    <cellStyle name="Comma 4 3 3 6 2 2 3" xfId="33748" xr:uid="{1A5A010B-D9EF-4EC1-A11C-3563D618B019}"/>
    <cellStyle name="Comma 4 3 3 6 2 2 4" xfId="16861" xr:uid="{0C95BB74-417A-40D9-831D-3E9CE5721C01}"/>
    <cellStyle name="Comma 4 3 3 6 2 3" xfId="21084" xr:uid="{47C84626-0F80-48E7-A457-6949BDF2DC54}"/>
    <cellStyle name="Comma 4 3 3 6 2 4" xfId="29531" xr:uid="{3CBA6276-68F9-4600-88BD-4016266D9281}"/>
    <cellStyle name="Comma 4 3 3 6 2 5" xfId="12643" xr:uid="{9742DB24-93B5-4537-B8A7-4E4A333A22A5}"/>
    <cellStyle name="Comma 4 3 3 6 3" xfId="6274" xr:uid="{00000000-0005-0000-0000-000095090000}"/>
    <cellStyle name="Comma 4 3 3 6 3 2" xfId="23157" xr:uid="{4B3A5C0B-5BBF-476E-B7B6-EF16FC82A506}"/>
    <cellStyle name="Comma 4 3 3 6 3 3" xfId="31603" xr:uid="{6BC185D9-0E00-4CD0-81F2-0302F2289B91}"/>
    <cellStyle name="Comma 4 3 3 6 3 4" xfId="14716" xr:uid="{A8A69A3A-2EE1-4891-B73B-6CD94496684F}"/>
    <cellStyle name="Comma 4 3 3 6 4" xfId="18939" xr:uid="{0B37F84D-2855-44BF-B847-09AB982F8A32}"/>
    <cellStyle name="Comma 4 3 3 6 5" xfId="27384" xr:uid="{0056BEE6-CE38-4262-A09C-D92C7F1275E3}"/>
    <cellStyle name="Comma 4 3 3 6 6" xfId="10498" xr:uid="{C89CDB1F-1786-4C81-84D8-06393AC29D12}"/>
    <cellStyle name="Comma 4 3 3 7" xfId="2402" xr:uid="{00000000-0005-0000-0000-000096090000}"/>
    <cellStyle name="Comma 4 3 3 7 2" xfId="6687" xr:uid="{00000000-0005-0000-0000-000097090000}"/>
    <cellStyle name="Comma 4 3 3 7 2 2" xfId="23570" xr:uid="{0A482377-FA79-4535-9312-55CC83E5D3AA}"/>
    <cellStyle name="Comma 4 3 3 7 2 3" xfId="32016" xr:uid="{C5D22D7A-21A3-4278-9140-F845F6F051F6}"/>
    <cellStyle name="Comma 4 3 3 7 2 4" xfId="15129" xr:uid="{24669E45-221B-49FE-B2AA-B66717123B37}"/>
    <cellStyle name="Comma 4 3 3 7 3" xfId="19352" xr:uid="{786CE259-B63A-4F6B-BCA1-BDB0511003F8}"/>
    <cellStyle name="Comma 4 3 3 7 4" xfId="27797" xr:uid="{E0996542-16FC-4DCB-B9A2-2A9F52DE4A31}"/>
    <cellStyle name="Comma 4 3 3 7 5" xfId="10911" xr:uid="{1101DF96-DB04-465F-A459-8EEA94475E6E}"/>
    <cellStyle name="Comma 4 3 3 8" xfId="2361" xr:uid="{00000000-0005-0000-0000-000098090000}"/>
    <cellStyle name="Comma 4 3 3 9" xfId="2780" xr:uid="{00000000-0005-0000-0000-000099090000}"/>
    <cellStyle name="Comma 4 3 3 9 2" xfId="7004" xr:uid="{00000000-0005-0000-0000-00009A090000}"/>
    <cellStyle name="Comma 4 3 3 9 2 2" xfId="23887" xr:uid="{64242640-6F51-4768-9C9E-FAEA50CE636D}"/>
    <cellStyle name="Comma 4 3 3 9 2 3" xfId="32333" xr:uid="{CE47FBD2-BB6F-4DC3-BFD5-2F527DE05AFD}"/>
    <cellStyle name="Comma 4 3 3 9 2 4" xfId="15446" xr:uid="{7F309865-058F-4DF7-AB3B-0C9F123474CB}"/>
    <cellStyle name="Comma 4 3 3 9 3" xfId="19669" xr:uid="{9C625784-66BF-45CD-8056-435B55EC0ED3}"/>
    <cellStyle name="Comma 4 3 3 9 4" xfId="28116" xr:uid="{9C357637-B8DA-4A8C-95BC-8536285F37EB}"/>
    <cellStyle name="Comma 4 3 3 9 5" xfId="11228" xr:uid="{B5B7274B-2470-44AC-AB74-3CCD7FC02658}"/>
    <cellStyle name="Comma 4 3 4" xfId="151" xr:uid="{00000000-0005-0000-0000-00009B090000}"/>
    <cellStyle name="Comma 4 3 4 10" xfId="17288" xr:uid="{7FA3AB4D-2F06-49F4-A820-E863A5AA7319}"/>
    <cellStyle name="Comma 4 3 4 11" xfId="25731" xr:uid="{772CA7A1-080E-4A88-974F-274533E9EDDC}"/>
    <cellStyle name="Comma 4 3 4 12" xfId="8847" xr:uid="{E8853A14-B183-4D0C-A5F9-818F62102A91}"/>
    <cellStyle name="Comma 4 3 4 2" xfId="688" xr:uid="{00000000-0005-0000-0000-00009C090000}"/>
    <cellStyle name="Comma 4 3 4 2 2" xfId="2959" xr:uid="{00000000-0005-0000-0000-00009D090000}"/>
    <cellStyle name="Comma 4 3 4 2 2 2" xfId="7182" xr:uid="{00000000-0005-0000-0000-00009E090000}"/>
    <cellStyle name="Comma 4 3 4 2 2 2 2" xfId="24065" xr:uid="{92A5E83F-BD11-46F6-87E5-33B629C28312}"/>
    <cellStyle name="Comma 4 3 4 2 2 2 3" xfId="32511" xr:uid="{051ECD02-9060-4F17-B80F-EEC7D9A9797C}"/>
    <cellStyle name="Comma 4 3 4 2 2 2 4" xfId="15624" xr:uid="{441D7549-5546-4F47-90BE-30C7596A2F52}"/>
    <cellStyle name="Comma 4 3 4 2 2 3" xfId="19847" xr:uid="{1F1419AE-9F73-4D18-BB20-D4639E43D467}"/>
    <cellStyle name="Comma 4 3 4 2 2 4" xfId="28294" xr:uid="{4F4EF54F-5E21-4D42-982D-6E28968290DB}"/>
    <cellStyle name="Comma 4 3 4 2 2 5" xfId="11406" xr:uid="{A8C34458-1B42-448E-A089-57BA44EEC3EE}"/>
    <cellStyle name="Comma 4 3 4 2 3" xfId="5037" xr:uid="{00000000-0005-0000-0000-00009F090000}"/>
    <cellStyle name="Comma 4 3 4 2 3 2" xfId="21920" xr:uid="{41B1E62B-F028-4E00-AF9B-6C1582590A9E}"/>
    <cellStyle name="Comma 4 3 4 2 3 3" xfId="30366" xr:uid="{DD89156A-976B-481C-B0E6-737B62E5B93A}"/>
    <cellStyle name="Comma 4 3 4 2 3 4" xfId="13479" xr:uid="{38CFC980-6E84-4436-8516-B971E1BDEC81}"/>
    <cellStyle name="Comma 4 3 4 2 4" xfId="17702" xr:uid="{FE2591F6-F63A-4DA7-B70F-F69F4578BE66}"/>
    <cellStyle name="Comma 4 3 4 2 5" xfId="26147" xr:uid="{325BABE1-D578-4632-A9F1-56B01A8536A0}"/>
    <cellStyle name="Comma 4 3 4 2 6" xfId="9261" xr:uid="{EC928A3A-6D6B-4F1D-BDA1-00786F431E48}"/>
    <cellStyle name="Comma 4 3 4 3" xfId="1141" xr:uid="{00000000-0005-0000-0000-0000A0090000}"/>
    <cellStyle name="Comma 4 3 4 3 2" xfId="3372" xr:uid="{00000000-0005-0000-0000-0000A1090000}"/>
    <cellStyle name="Comma 4 3 4 3 2 2" xfId="7595" xr:uid="{00000000-0005-0000-0000-0000A2090000}"/>
    <cellStyle name="Comma 4 3 4 3 2 2 2" xfId="24478" xr:uid="{116199B4-5404-4B71-A2F0-26B11CA47B13}"/>
    <cellStyle name="Comma 4 3 4 3 2 2 3" xfId="32924" xr:uid="{320115B7-4753-40C5-AFA1-E6DC9BBB0AC3}"/>
    <cellStyle name="Comma 4 3 4 3 2 2 4" xfId="16037" xr:uid="{9A3739CC-C051-484C-916F-282B484F5BFD}"/>
    <cellStyle name="Comma 4 3 4 3 2 3" xfId="20260" xr:uid="{C077CD37-D48B-4F0F-9E61-AC37280B52F1}"/>
    <cellStyle name="Comma 4 3 4 3 2 4" xfId="28707" xr:uid="{49050778-039D-4DAF-A00F-5CA50FDC647C}"/>
    <cellStyle name="Comma 4 3 4 3 2 5" xfId="11819" xr:uid="{B0939EF6-1B20-4C79-922B-E3A9F5EE612C}"/>
    <cellStyle name="Comma 4 3 4 3 3" xfId="5450" xr:uid="{00000000-0005-0000-0000-0000A3090000}"/>
    <cellStyle name="Comma 4 3 4 3 3 2" xfId="22333" xr:uid="{72839A5B-56F8-4AB3-8E38-D12C7A4A3C4A}"/>
    <cellStyle name="Comma 4 3 4 3 3 3" xfId="30779" xr:uid="{48CEF639-EB85-4C5F-83DF-08F09C8B1BD3}"/>
    <cellStyle name="Comma 4 3 4 3 3 4" xfId="13892" xr:uid="{B0FE8019-DB43-4C85-B218-C19A37773A0D}"/>
    <cellStyle name="Comma 4 3 4 3 4" xfId="18115" xr:uid="{977F9814-69A8-4A60-97F8-A8D3E9440B15}"/>
    <cellStyle name="Comma 4 3 4 3 5" xfId="26560" xr:uid="{1F36E425-7DAF-4B80-88AB-8A539687507B}"/>
    <cellStyle name="Comma 4 3 4 3 6" xfId="9674" xr:uid="{87F99D43-5028-4E0F-9761-DF8F5314D669}"/>
    <cellStyle name="Comma 4 3 4 4" xfId="1555" xr:uid="{00000000-0005-0000-0000-0000A4090000}"/>
    <cellStyle name="Comma 4 3 4 4 2" xfId="3785" xr:uid="{00000000-0005-0000-0000-0000A5090000}"/>
    <cellStyle name="Comma 4 3 4 4 2 2" xfId="8008" xr:uid="{00000000-0005-0000-0000-0000A6090000}"/>
    <cellStyle name="Comma 4 3 4 4 2 2 2" xfId="24891" xr:uid="{A18E2507-4D47-411F-A10A-4140A3674E7F}"/>
    <cellStyle name="Comma 4 3 4 4 2 2 3" xfId="33337" xr:uid="{153F878E-D5D6-40AA-BB8E-132144C17FB8}"/>
    <cellStyle name="Comma 4 3 4 4 2 2 4" xfId="16450" xr:uid="{90B939E8-D2EF-4C05-BF4E-6CDD1360E548}"/>
    <cellStyle name="Comma 4 3 4 4 2 3" xfId="20673" xr:uid="{D986FA7E-A351-4BA5-B4E9-FC0805724C59}"/>
    <cellStyle name="Comma 4 3 4 4 2 4" xfId="29120" xr:uid="{CCAD4569-C827-4AA2-AAF6-F22D6E041099}"/>
    <cellStyle name="Comma 4 3 4 4 2 5" xfId="12232" xr:uid="{C1213EB4-1334-446F-AFDD-48F2BE285D03}"/>
    <cellStyle name="Comma 4 3 4 4 3" xfId="5863" xr:uid="{00000000-0005-0000-0000-0000A7090000}"/>
    <cellStyle name="Comma 4 3 4 4 3 2" xfId="22746" xr:uid="{FFFF66DD-DE19-4AA5-8BCA-E89BCB930EEA}"/>
    <cellStyle name="Comma 4 3 4 4 3 3" xfId="31192" xr:uid="{67CC74B8-1AB1-4FE4-BA8A-3C5A08324C01}"/>
    <cellStyle name="Comma 4 3 4 4 3 4" xfId="14305" xr:uid="{E7883F75-6D3C-4752-89EA-7237DAADA0BF}"/>
    <cellStyle name="Comma 4 3 4 4 4" xfId="18528" xr:uid="{C9949964-1B64-4341-84EA-6AE4427F24CA}"/>
    <cellStyle name="Comma 4 3 4 4 5" xfId="26973" xr:uid="{C1CB183E-11CE-47E2-965B-2B8C5D6A0916}"/>
    <cellStyle name="Comma 4 3 4 4 6" xfId="10087" xr:uid="{F5B8223F-2E15-4560-B5F6-311A46A76955}"/>
    <cellStyle name="Comma 4 3 4 5" xfId="1969" xr:uid="{00000000-0005-0000-0000-0000A8090000}"/>
    <cellStyle name="Comma 4 3 4 5 2" xfId="4198" xr:uid="{00000000-0005-0000-0000-0000A9090000}"/>
    <cellStyle name="Comma 4 3 4 5 2 2" xfId="8421" xr:uid="{00000000-0005-0000-0000-0000AA090000}"/>
    <cellStyle name="Comma 4 3 4 5 2 2 2" xfId="25304" xr:uid="{65F75ED3-60DB-4AD7-9A91-D8BCBAEC4C34}"/>
    <cellStyle name="Comma 4 3 4 5 2 2 3" xfId="33750" xr:uid="{EFAF2598-7848-4E56-B33D-A5F22296033C}"/>
    <cellStyle name="Comma 4 3 4 5 2 2 4" xfId="16863" xr:uid="{43079979-6C60-42BD-9C5C-961AA6C818F3}"/>
    <cellStyle name="Comma 4 3 4 5 2 3" xfId="21086" xr:uid="{0A8D7164-8B23-4B41-928D-FDB0DEFB36F0}"/>
    <cellStyle name="Comma 4 3 4 5 2 4" xfId="29533" xr:uid="{4342966E-D72C-45B1-B6D9-119F33784D31}"/>
    <cellStyle name="Comma 4 3 4 5 2 5" xfId="12645" xr:uid="{FE5737BC-E78D-42E0-9FAF-76B51F877404}"/>
    <cellStyle name="Comma 4 3 4 5 3" xfId="6276" xr:uid="{00000000-0005-0000-0000-0000AB090000}"/>
    <cellStyle name="Comma 4 3 4 5 3 2" xfId="23159" xr:uid="{6053730B-B6CE-4BC2-8C87-5D732470D8EB}"/>
    <cellStyle name="Comma 4 3 4 5 3 3" xfId="31605" xr:uid="{8C1C6F63-E099-4EE6-B751-B1AFE2FD1A1E}"/>
    <cellStyle name="Comma 4 3 4 5 3 4" xfId="14718" xr:uid="{6AFA2BC0-8573-4CA8-8F97-1C6E50309926}"/>
    <cellStyle name="Comma 4 3 4 5 4" xfId="18941" xr:uid="{F18505D8-E785-4F02-B15A-B440A67DF34B}"/>
    <cellStyle name="Comma 4 3 4 5 5" xfId="27386" xr:uid="{97843296-2B51-40E8-9D13-9B76FC8DB5F6}"/>
    <cellStyle name="Comma 4 3 4 5 6" xfId="10500" xr:uid="{12FD4D2F-D0FB-4EEC-B695-20C8F599EA40}"/>
    <cellStyle name="Comma 4 3 4 6" xfId="2404" xr:uid="{00000000-0005-0000-0000-0000AC090000}"/>
    <cellStyle name="Comma 4 3 4 6 2" xfId="6689" xr:uid="{00000000-0005-0000-0000-0000AD090000}"/>
    <cellStyle name="Comma 4 3 4 6 2 2" xfId="23572" xr:uid="{4FAA7DA0-B975-4997-9387-44C98E5BC61A}"/>
    <cellStyle name="Comma 4 3 4 6 2 3" xfId="32018" xr:uid="{AA9B8F03-5787-4C86-973E-F02A377521CF}"/>
    <cellStyle name="Comma 4 3 4 6 2 4" xfId="15131" xr:uid="{3B5B97D4-C14A-46AC-AF24-9B292CA13293}"/>
    <cellStyle name="Comma 4 3 4 6 3" xfId="19354" xr:uid="{FD904F85-E6CC-4455-AB24-295EF18D3368}"/>
    <cellStyle name="Comma 4 3 4 6 4" xfId="27799" xr:uid="{5BAEE681-A022-48EF-89FD-28AD3ED9C413}"/>
    <cellStyle name="Comma 4 3 4 6 5" xfId="10913" xr:uid="{CC58E8E3-4786-4EA3-BF84-ADAB20FA492C}"/>
    <cellStyle name="Comma 4 3 4 7" xfId="2700" xr:uid="{00000000-0005-0000-0000-0000AE090000}"/>
    <cellStyle name="Comma 4 3 4 8" xfId="2782" xr:uid="{00000000-0005-0000-0000-0000AF090000}"/>
    <cellStyle name="Comma 4 3 4 8 2" xfId="7006" xr:uid="{00000000-0005-0000-0000-0000B0090000}"/>
    <cellStyle name="Comma 4 3 4 8 2 2" xfId="23889" xr:uid="{399BC7D9-DBA5-456B-BD08-C71909B379A4}"/>
    <cellStyle name="Comma 4 3 4 8 2 3" xfId="32335" xr:uid="{9DBA0551-3AF1-45EF-A417-2D543BF1E95C}"/>
    <cellStyle name="Comma 4 3 4 8 2 4" xfId="15448" xr:uid="{0CDF9B62-7A15-46FF-A351-B0F568C49BBA}"/>
    <cellStyle name="Comma 4 3 4 8 3" xfId="19671" xr:uid="{9C4636EC-A4DC-41D9-9300-1C480518C05E}"/>
    <cellStyle name="Comma 4 3 4 8 4" xfId="28118" xr:uid="{8C70C7A5-4B29-4F99-AA42-3A24C054858E}"/>
    <cellStyle name="Comma 4 3 4 8 5" xfId="11230" xr:uid="{4941C89D-EC83-4E8E-B8A3-B8BB7B5275CD}"/>
    <cellStyle name="Comma 4 3 4 9" xfId="4623" xr:uid="{00000000-0005-0000-0000-0000B1090000}"/>
    <cellStyle name="Comma 4 3 4 9 2" xfId="21506" xr:uid="{DE295A20-BB58-4E5E-8F57-85A276FA0229}"/>
    <cellStyle name="Comma 4 3 4 9 3" xfId="29952" xr:uid="{ACF99D2B-7FD2-4106-BC82-15FBF9A8557F}"/>
    <cellStyle name="Comma 4 3 4 9 4" xfId="13065" xr:uid="{6680D622-4720-44BD-AD2E-3FAD90A01C63}"/>
    <cellStyle name="Comma 4 3 5" xfId="152" xr:uid="{00000000-0005-0000-0000-0000B2090000}"/>
    <cellStyle name="Comma 4 3 5 10" xfId="17289" xr:uid="{27F3E4BC-EE21-47CD-91C1-7D7E7BA03AB5}"/>
    <cellStyle name="Comma 4 3 5 11" xfId="25732" xr:uid="{BA2EE614-41FF-4F65-BE44-E7AC7E938BCC}"/>
    <cellStyle name="Comma 4 3 5 12" xfId="8848" xr:uid="{B26CB7B0-C898-46B5-AF0D-96D4DF081F01}"/>
    <cellStyle name="Comma 4 3 5 2" xfId="689" xr:uid="{00000000-0005-0000-0000-0000B3090000}"/>
    <cellStyle name="Comma 4 3 5 2 2" xfId="2960" xr:uid="{00000000-0005-0000-0000-0000B4090000}"/>
    <cellStyle name="Comma 4 3 5 2 2 2" xfId="7183" xr:uid="{00000000-0005-0000-0000-0000B5090000}"/>
    <cellStyle name="Comma 4 3 5 2 2 2 2" xfId="24066" xr:uid="{9C14EBD3-49E3-4E6A-8233-3CC06BA19114}"/>
    <cellStyle name="Comma 4 3 5 2 2 2 3" xfId="32512" xr:uid="{63FA61E6-5EF4-452B-AC51-83D3DF665DBD}"/>
    <cellStyle name="Comma 4 3 5 2 2 2 4" xfId="15625" xr:uid="{A6FCEB1E-D8AE-4F1E-9494-51EE2295D244}"/>
    <cellStyle name="Comma 4 3 5 2 2 3" xfId="19848" xr:uid="{8E6F37AC-0403-4079-B763-AE544A5D506A}"/>
    <cellStyle name="Comma 4 3 5 2 2 4" xfId="28295" xr:uid="{48DB4A01-24DD-4D28-B904-A4862DAD7004}"/>
    <cellStyle name="Comma 4 3 5 2 2 5" xfId="11407" xr:uid="{7EC88921-062F-4A0C-9581-4F3E415B74BE}"/>
    <cellStyle name="Comma 4 3 5 2 3" xfId="5038" xr:uid="{00000000-0005-0000-0000-0000B6090000}"/>
    <cellStyle name="Comma 4 3 5 2 3 2" xfId="21921" xr:uid="{30563F3A-5CFD-442F-8DC4-D4AA6F3984C1}"/>
    <cellStyle name="Comma 4 3 5 2 3 3" xfId="30367" xr:uid="{CFE170D5-AB29-47D5-9F8E-8310A0B40F3C}"/>
    <cellStyle name="Comma 4 3 5 2 3 4" xfId="13480" xr:uid="{1F843B76-5A78-4B8D-BF84-2395093724CA}"/>
    <cellStyle name="Comma 4 3 5 2 4" xfId="17703" xr:uid="{77526FED-AE05-4519-A2F5-39449A978135}"/>
    <cellStyle name="Comma 4 3 5 2 5" xfId="26148" xr:uid="{86ABE63F-FF56-46B6-BD8C-84DBEE752C33}"/>
    <cellStyle name="Comma 4 3 5 2 6" xfId="9262" xr:uid="{44A6BF34-B11F-403F-ACF4-8A06BE8E1B35}"/>
    <cellStyle name="Comma 4 3 5 3" xfId="1142" xr:uid="{00000000-0005-0000-0000-0000B7090000}"/>
    <cellStyle name="Comma 4 3 5 3 2" xfId="3373" xr:uid="{00000000-0005-0000-0000-0000B8090000}"/>
    <cellStyle name="Comma 4 3 5 3 2 2" xfId="7596" xr:uid="{00000000-0005-0000-0000-0000B9090000}"/>
    <cellStyle name="Comma 4 3 5 3 2 2 2" xfId="24479" xr:uid="{5BB5B975-D7B4-4D6D-8177-4AD13D10EDFB}"/>
    <cellStyle name="Comma 4 3 5 3 2 2 3" xfId="32925" xr:uid="{CD461D82-6A77-4C78-B2BA-702C7B838D1C}"/>
    <cellStyle name="Comma 4 3 5 3 2 2 4" xfId="16038" xr:uid="{415C82F0-DFC3-437C-A52D-4C07BA82B5E1}"/>
    <cellStyle name="Comma 4 3 5 3 2 3" xfId="20261" xr:uid="{15CAB731-D7D3-405A-805C-25C551257545}"/>
    <cellStyle name="Comma 4 3 5 3 2 4" xfId="28708" xr:uid="{685F66D5-A1B7-428D-8CA0-CC16163A0009}"/>
    <cellStyle name="Comma 4 3 5 3 2 5" xfId="11820" xr:uid="{107A3847-1BD0-4CA5-871F-0590CF79C5C2}"/>
    <cellStyle name="Comma 4 3 5 3 3" xfId="5451" xr:uid="{00000000-0005-0000-0000-0000BA090000}"/>
    <cellStyle name="Comma 4 3 5 3 3 2" xfId="22334" xr:uid="{03FEC1D0-B92D-4EB5-ABC4-A111D68BCEE2}"/>
    <cellStyle name="Comma 4 3 5 3 3 3" xfId="30780" xr:uid="{9162042B-5D9C-4F51-84A3-2431B3CFDCFE}"/>
    <cellStyle name="Comma 4 3 5 3 3 4" xfId="13893" xr:uid="{E80A6744-400A-4768-9ED0-DF048B2F2136}"/>
    <cellStyle name="Comma 4 3 5 3 4" xfId="18116" xr:uid="{53D83483-79EB-41BA-97A5-C6822503AAE9}"/>
    <cellStyle name="Comma 4 3 5 3 5" xfId="26561" xr:uid="{09C4FF7D-F4FE-4A03-90CE-3A393921B8D9}"/>
    <cellStyle name="Comma 4 3 5 3 6" xfId="9675" xr:uid="{8E9BA116-2AD3-4FAB-9C9F-F7ED7B247BE4}"/>
    <cellStyle name="Comma 4 3 5 4" xfId="1556" xr:uid="{00000000-0005-0000-0000-0000BB090000}"/>
    <cellStyle name="Comma 4 3 5 4 2" xfId="3786" xr:uid="{00000000-0005-0000-0000-0000BC090000}"/>
    <cellStyle name="Comma 4 3 5 4 2 2" xfId="8009" xr:uid="{00000000-0005-0000-0000-0000BD090000}"/>
    <cellStyle name="Comma 4 3 5 4 2 2 2" xfId="24892" xr:uid="{7DEABECF-EC1B-488F-84B1-948051A7EC8C}"/>
    <cellStyle name="Comma 4 3 5 4 2 2 3" xfId="33338" xr:uid="{BAC80170-B598-4856-A03B-747910479863}"/>
    <cellStyle name="Comma 4 3 5 4 2 2 4" xfId="16451" xr:uid="{3FFBB674-392F-48E4-932C-94DD7A1BF663}"/>
    <cellStyle name="Comma 4 3 5 4 2 3" xfId="20674" xr:uid="{262CC7AF-A892-403B-9B7A-066FD61CC1EA}"/>
    <cellStyle name="Comma 4 3 5 4 2 4" xfId="29121" xr:uid="{3A6DF2BC-813D-44D5-A9B8-81896FA91FBC}"/>
    <cellStyle name="Comma 4 3 5 4 2 5" xfId="12233" xr:uid="{44EDF9F6-2911-4F98-898A-415E2FCB9217}"/>
    <cellStyle name="Comma 4 3 5 4 3" xfId="5864" xr:uid="{00000000-0005-0000-0000-0000BE090000}"/>
    <cellStyle name="Comma 4 3 5 4 3 2" xfId="22747" xr:uid="{444AFD08-EF2D-4709-846F-352801E6E24B}"/>
    <cellStyle name="Comma 4 3 5 4 3 3" xfId="31193" xr:uid="{ABBA4CDD-4D1B-49D2-9BEF-A1234AEEE195}"/>
    <cellStyle name="Comma 4 3 5 4 3 4" xfId="14306" xr:uid="{27EE606C-D797-461F-801A-9EA43E7A24DB}"/>
    <cellStyle name="Comma 4 3 5 4 4" xfId="18529" xr:uid="{CD1E37B6-24F5-4D46-AB0F-CECB3F3EC585}"/>
    <cellStyle name="Comma 4 3 5 4 5" xfId="26974" xr:uid="{9FF8DCCF-28AA-4DD8-A0B9-881729C2882E}"/>
    <cellStyle name="Comma 4 3 5 4 6" xfId="10088" xr:uid="{C35725B6-A29D-4EEE-B094-FC2F30390F7D}"/>
    <cellStyle name="Comma 4 3 5 5" xfId="1970" xr:uid="{00000000-0005-0000-0000-0000BF090000}"/>
    <cellStyle name="Comma 4 3 5 5 2" xfId="4199" xr:uid="{00000000-0005-0000-0000-0000C0090000}"/>
    <cellStyle name="Comma 4 3 5 5 2 2" xfId="8422" xr:uid="{00000000-0005-0000-0000-0000C1090000}"/>
    <cellStyle name="Comma 4 3 5 5 2 2 2" xfId="25305" xr:uid="{112D0E5C-34FB-4DD4-A52A-873ABF41CDD6}"/>
    <cellStyle name="Comma 4 3 5 5 2 2 3" xfId="33751" xr:uid="{53CE4B6A-CC19-4BF0-8AF9-5ECBC69A9700}"/>
    <cellStyle name="Comma 4 3 5 5 2 2 4" xfId="16864" xr:uid="{2C53ACFC-1D1F-4EE2-9369-A112B6F86866}"/>
    <cellStyle name="Comma 4 3 5 5 2 3" xfId="21087" xr:uid="{0EDE350B-3051-4A0C-8948-6DFFFB819A3C}"/>
    <cellStyle name="Comma 4 3 5 5 2 4" xfId="29534" xr:uid="{760A5C34-D6E4-4E6A-81A9-FDDDF052EB19}"/>
    <cellStyle name="Comma 4 3 5 5 2 5" xfId="12646" xr:uid="{8F4C6B98-4018-4F71-A583-4379AF96CC03}"/>
    <cellStyle name="Comma 4 3 5 5 3" xfId="6277" xr:uid="{00000000-0005-0000-0000-0000C2090000}"/>
    <cellStyle name="Comma 4 3 5 5 3 2" xfId="23160" xr:uid="{A4DC96A3-F76A-42EF-903B-4B1670BEDF82}"/>
    <cellStyle name="Comma 4 3 5 5 3 3" xfId="31606" xr:uid="{C30448B0-9A4C-4D2E-A338-C166E75AFDC2}"/>
    <cellStyle name="Comma 4 3 5 5 3 4" xfId="14719" xr:uid="{9BF54D79-FF27-40AA-9EFB-C9633C09DAB8}"/>
    <cellStyle name="Comma 4 3 5 5 4" xfId="18942" xr:uid="{46EBDC08-894B-4AE3-A068-CA4AF0477F0E}"/>
    <cellStyle name="Comma 4 3 5 5 5" xfId="27387" xr:uid="{4F72C2D5-D5F8-4E53-9142-BECBF501D564}"/>
    <cellStyle name="Comma 4 3 5 5 6" xfId="10501" xr:uid="{E789C548-3B07-46C2-9F52-C18BA7F57737}"/>
    <cellStyle name="Comma 4 3 5 6" xfId="2405" xr:uid="{00000000-0005-0000-0000-0000C3090000}"/>
    <cellStyle name="Comma 4 3 5 6 2" xfId="6690" xr:uid="{00000000-0005-0000-0000-0000C4090000}"/>
    <cellStyle name="Comma 4 3 5 6 2 2" xfId="23573" xr:uid="{4CACE7B6-F67D-49E3-9251-B79B7CE9E2D9}"/>
    <cellStyle name="Comma 4 3 5 6 2 3" xfId="32019" xr:uid="{0FB02333-6203-4D06-A771-EA9C1693DAAA}"/>
    <cellStyle name="Comma 4 3 5 6 2 4" xfId="15132" xr:uid="{57305927-E4FD-4048-8728-CFB63CC11E47}"/>
    <cellStyle name="Comma 4 3 5 6 3" xfId="19355" xr:uid="{E1AF9663-366F-4CD2-A22C-45ECBB119554}"/>
    <cellStyle name="Comma 4 3 5 6 4" xfId="27800" xr:uid="{9711A6D5-B4BD-4A2A-B872-AC4A99D4284C}"/>
    <cellStyle name="Comma 4 3 5 6 5" xfId="10914" xr:uid="{612F8FF2-A156-49A3-9804-8C5B6919F3CF}"/>
    <cellStyle name="Comma 4 3 5 7" xfId="2701" xr:uid="{00000000-0005-0000-0000-0000C5090000}"/>
    <cellStyle name="Comma 4 3 5 8" xfId="2783" xr:uid="{00000000-0005-0000-0000-0000C6090000}"/>
    <cellStyle name="Comma 4 3 5 8 2" xfId="7007" xr:uid="{00000000-0005-0000-0000-0000C7090000}"/>
    <cellStyle name="Comma 4 3 5 8 2 2" xfId="23890" xr:uid="{D6C58E89-F206-40A3-9513-B3247FAD53E8}"/>
    <cellStyle name="Comma 4 3 5 8 2 3" xfId="32336" xr:uid="{5905F4A1-FF29-4962-94EF-115382A5EE32}"/>
    <cellStyle name="Comma 4 3 5 8 2 4" xfId="15449" xr:uid="{4292C8EB-0310-4807-9088-65CB95C7EDF6}"/>
    <cellStyle name="Comma 4 3 5 8 3" xfId="19672" xr:uid="{49068D42-7819-4296-882F-576ADE285B9A}"/>
    <cellStyle name="Comma 4 3 5 8 4" xfId="28119" xr:uid="{D657195D-FA81-42ED-AE75-40E18B54601D}"/>
    <cellStyle name="Comma 4 3 5 8 5" xfId="11231" xr:uid="{F5145D89-5A94-46E9-A446-007817FE4BA5}"/>
    <cellStyle name="Comma 4 3 5 9" xfId="4624" xr:uid="{00000000-0005-0000-0000-0000C8090000}"/>
    <cellStyle name="Comma 4 3 5 9 2" xfId="21507" xr:uid="{4ADCD471-AAA7-4B28-8C55-EB53A1FFFB70}"/>
    <cellStyle name="Comma 4 3 5 9 3" xfId="29953" xr:uid="{911A4793-3F42-403A-A277-EC82A87D917B}"/>
    <cellStyle name="Comma 4 3 5 9 4" xfId="13066" xr:uid="{355864C2-242C-4B0C-9116-CD7D73912A22}"/>
    <cellStyle name="Comma 4 4" xfId="153" xr:uid="{00000000-0005-0000-0000-0000C9090000}"/>
    <cellStyle name="Comma 4 4 10" xfId="2784" xr:uid="{00000000-0005-0000-0000-0000CA090000}"/>
    <cellStyle name="Comma 4 4 10 2" xfId="7008" xr:uid="{00000000-0005-0000-0000-0000CB090000}"/>
    <cellStyle name="Comma 4 4 10 2 2" xfId="23891" xr:uid="{E1D5DC7B-6BE2-4FFB-A2E0-B7A3B0304D5C}"/>
    <cellStyle name="Comma 4 4 10 2 3" xfId="32337" xr:uid="{EA539E92-ED04-453F-8754-13B875011272}"/>
    <cellStyle name="Comma 4 4 10 2 4" xfId="15450" xr:uid="{8118925A-8DB8-4333-A4A4-31FBFDBB6DA2}"/>
    <cellStyle name="Comma 4 4 10 3" xfId="19673" xr:uid="{4A6AA46D-6B64-480D-A067-ABD7AD0348D5}"/>
    <cellStyle name="Comma 4 4 10 4" xfId="28120" xr:uid="{6CA1591E-231C-4B96-8DE2-86A260A85F78}"/>
    <cellStyle name="Comma 4 4 10 5" xfId="11232" xr:uid="{6B76DEAC-775E-448A-8F0B-2DCBFBC80D47}"/>
    <cellStyle name="Comma 4 4 11" xfId="4625" xr:uid="{00000000-0005-0000-0000-0000CC090000}"/>
    <cellStyle name="Comma 4 4 11 2" xfId="21508" xr:uid="{9CDC9465-C90E-471F-A3B9-9003E153473F}"/>
    <cellStyle name="Comma 4 4 11 3" xfId="29954" xr:uid="{14A8F6EA-D4D8-4D21-9C3C-23DF8A2770E6}"/>
    <cellStyle name="Comma 4 4 11 4" xfId="13067" xr:uid="{887C71ED-5A2A-4A8F-B806-20FB6C22279A}"/>
    <cellStyle name="Comma 4 4 12" xfId="17290" xr:uid="{9A67A902-AE19-4A64-827F-C06AE559E022}"/>
    <cellStyle name="Comma 4 4 13" xfId="25733" xr:uid="{9A047C60-49B3-43CA-B072-CCFF20E91851}"/>
    <cellStyle name="Comma 4 4 14" xfId="8849" xr:uid="{A958CCF4-BDF2-41FB-ACC6-E295DDC5E30E}"/>
    <cellStyle name="Comma 4 4 2" xfId="154" xr:uid="{00000000-0005-0000-0000-0000CD090000}"/>
    <cellStyle name="Comma 4 4 2 10" xfId="4626" xr:uid="{00000000-0005-0000-0000-0000CE090000}"/>
    <cellStyle name="Comma 4 4 2 10 2" xfId="21509" xr:uid="{0888FA92-3FD7-41BF-A7AA-453A9CAD87B3}"/>
    <cellStyle name="Comma 4 4 2 10 3" xfId="29955" xr:uid="{A5169087-D800-4AE5-B70F-57E6A1B2AC04}"/>
    <cellStyle name="Comma 4 4 2 10 4" xfId="13068" xr:uid="{395F2834-A8E7-4FD3-95D0-B5B3113C1B5D}"/>
    <cellStyle name="Comma 4 4 2 11" xfId="17291" xr:uid="{99BF995A-4214-4CB1-86C6-3B2BCEA2E56A}"/>
    <cellStyle name="Comma 4 4 2 12" xfId="25734" xr:uid="{B809DE66-467E-4798-9013-B0E53BACC268}"/>
    <cellStyle name="Comma 4 4 2 13" xfId="8850" xr:uid="{C7FEB134-8181-4DC8-AF26-EFAE3B9BBA6A}"/>
    <cellStyle name="Comma 4 4 2 2" xfId="155" xr:uid="{00000000-0005-0000-0000-0000CF090000}"/>
    <cellStyle name="Comma 4 4 2 2 10" xfId="17292" xr:uid="{4BB32C21-4C1D-4F04-8773-113AE7CAADF2}"/>
    <cellStyle name="Comma 4 4 2 2 11" xfId="25735" xr:uid="{98263D86-A443-49CD-ACBF-F0A7CD274EF0}"/>
    <cellStyle name="Comma 4 4 2 2 12" xfId="8851" xr:uid="{51760B69-9F2A-4234-9D83-AA35A47096FA}"/>
    <cellStyle name="Comma 4 4 2 2 2" xfId="692" xr:uid="{00000000-0005-0000-0000-0000D0090000}"/>
    <cellStyle name="Comma 4 4 2 2 2 2" xfId="2963" xr:uid="{00000000-0005-0000-0000-0000D1090000}"/>
    <cellStyle name="Comma 4 4 2 2 2 2 2" xfId="7186" xr:uid="{00000000-0005-0000-0000-0000D2090000}"/>
    <cellStyle name="Comma 4 4 2 2 2 2 2 2" xfId="24069" xr:uid="{44E6552B-A9FD-42B6-AE72-9E328848F6EB}"/>
    <cellStyle name="Comma 4 4 2 2 2 2 2 3" xfId="32515" xr:uid="{A417D582-4B8A-4E2A-99C5-66DCA5016D59}"/>
    <cellStyle name="Comma 4 4 2 2 2 2 2 4" xfId="15628" xr:uid="{A60B7FD8-1769-4A47-B789-9ED4F5CCAD39}"/>
    <cellStyle name="Comma 4 4 2 2 2 2 3" xfId="19851" xr:uid="{5C889112-B338-46F8-9A24-0CE1D0622E3B}"/>
    <cellStyle name="Comma 4 4 2 2 2 2 4" xfId="28298" xr:uid="{B8619937-949A-4D55-83ED-E5A6178F34FC}"/>
    <cellStyle name="Comma 4 4 2 2 2 2 5" xfId="11410" xr:uid="{86AC0797-8277-44BF-8B87-8DB7657B874B}"/>
    <cellStyle name="Comma 4 4 2 2 2 3" xfId="5041" xr:uid="{00000000-0005-0000-0000-0000D3090000}"/>
    <cellStyle name="Comma 4 4 2 2 2 3 2" xfId="21924" xr:uid="{CAC7DDFA-0E9D-4066-9F12-993AA0782486}"/>
    <cellStyle name="Comma 4 4 2 2 2 3 3" xfId="30370" xr:uid="{3C7EC351-B99D-4B91-94A4-585F5773D272}"/>
    <cellStyle name="Comma 4 4 2 2 2 3 4" xfId="13483" xr:uid="{85E4E8C2-03D4-454E-856C-19B6F740E5E6}"/>
    <cellStyle name="Comma 4 4 2 2 2 4" xfId="17706" xr:uid="{E895AA87-F806-4E31-9240-CFADF91FBA91}"/>
    <cellStyle name="Comma 4 4 2 2 2 5" xfId="26151" xr:uid="{4C25DB49-C880-40B5-AE5D-FC111C1A0AB6}"/>
    <cellStyle name="Comma 4 4 2 2 2 6" xfId="9265" xr:uid="{952D9891-65C3-4A05-BC3F-D90CE5AEF188}"/>
    <cellStyle name="Comma 4 4 2 2 3" xfId="1145" xr:uid="{00000000-0005-0000-0000-0000D4090000}"/>
    <cellStyle name="Comma 4 4 2 2 3 2" xfId="3376" xr:uid="{00000000-0005-0000-0000-0000D5090000}"/>
    <cellStyle name="Comma 4 4 2 2 3 2 2" xfId="7599" xr:uid="{00000000-0005-0000-0000-0000D6090000}"/>
    <cellStyle name="Comma 4 4 2 2 3 2 2 2" xfId="24482" xr:uid="{2B7AB8AB-0CC3-4779-984A-3807260D5B7D}"/>
    <cellStyle name="Comma 4 4 2 2 3 2 2 3" xfId="32928" xr:uid="{C806EDB5-25D7-430F-9306-7F4AEB7E3658}"/>
    <cellStyle name="Comma 4 4 2 2 3 2 2 4" xfId="16041" xr:uid="{AD7DC193-C7A5-4FC6-9EDF-23976F32883E}"/>
    <cellStyle name="Comma 4 4 2 2 3 2 3" xfId="20264" xr:uid="{680FD619-B2F9-460F-8B0C-4D67A07EABF2}"/>
    <cellStyle name="Comma 4 4 2 2 3 2 4" xfId="28711" xr:uid="{0D5A6882-452D-4FF4-B029-212E2EE7182B}"/>
    <cellStyle name="Comma 4 4 2 2 3 2 5" xfId="11823" xr:uid="{08ACD3C3-CBA2-4A71-B7C9-054DA9712B05}"/>
    <cellStyle name="Comma 4 4 2 2 3 3" xfId="5454" xr:uid="{00000000-0005-0000-0000-0000D7090000}"/>
    <cellStyle name="Comma 4 4 2 2 3 3 2" xfId="22337" xr:uid="{5E9DAB28-E412-41D7-8A28-F0F7C4DC67F5}"/>
    <cellStyle name="Comma 4 4 2 2 3 3 3" xfId="30783" xr:uid="{7CA63075-638E-4A3C-951F-771A6959A6F6}"/>
    <cellStyle name="Comma 4 4 2 2 3 3 4" xfId="13896" xr:uid="{0657FC85-9B07-4512-A594-DECE9EA6BEED}"/>
    <cellStyle name="Comma 4 4 2 2 3 4" xfId="18119" xr:uid="{94F4DB25-D206-480A-826F-197C5D7BFB6D}"/>
    <cellStyle name="Comma 4 4 2 2 3 5" xfId="26564" xr:uid="{3ED4C40C-6DB1-41BB-AF0B-E294544020E0}"/>
    <cellStyle name="Comma 4 4 2 2 3 6" xfId="9678" xr:uid="{774A1DC8-77D8-42A1-B388-770F14532DFD}"/>
    <cellStyle name="Comma 4 4 2 2 4" xfId="1559" xr:uid="{00000000-0005-0000-0000-0000D8090000}"/>
    <cellStyle name="Comma 4 4 2 2 4 2" xfId="3789" xr:uid="{00000000-0005-0000-0000-0000D9090000}"/>
    <cellStyle name="Comma 4 4 2 2 4 2 2" xfId="8012" xr:uid="{00000000-0005-0000-0000-0000DA090000}"/>
    <cellStyle name="Comma 4 4 2 2 4 2 2 2" xfId="24895" xr:uid="{4A5E0512-4AB6-4722-9240-A7FA51C210FC}"/>
    <cellStyle name="Comma 4 4 2 2 4 2 2 3" xfId="33341" xr:uid="{34EE6F64-58DE-40C4-91ED-AFC8A9C207CA}"/>
    <cellStyle name="Comma 4 4 2 2 4 2 2 4" xfId="16454" xr:uid="{DEA4123A-E44F-401A-A27B-0B506230458F}"/>
    <cellStyle name="Comma 4 4 2 2 4 2 3" xfId="20677" xr:uid="{C05FD2A6-351A-4172-B1A5-EF6697ADBF6F}"/>
    <cellStyle name="Comma 4 4 2 2 4 2 4" xfId="29124" xr:uid="{77D60750-BD4A-423D-A23C-C2CB3788D94A}"/>
    <cellStyle name="Comma 4 4 2 2 4 2 5" xfId="12236" xr:uid="{2471371D-134F-4C0D-A7B3-D22483481B5C}"/>
    <cellStyle name="Comma 4 4 2 2 4 3" xfId="5867" xr:uid="{00000000-0005-0000-0000-0000DB090000}"/>
    <cellStyle name="Comma 4 4 2 2 4 3 2" xfId="22750" xr:uid="{A02D0308-52AB-469D-9DA3-D911A480AB33}"/>
    <cellStyle name="Comma 4 4 2 2 4 3 3" xfId="31196" xr:uid="{ACBD0F1F-52D0-4DD8-A10E-C40474BF107D}"/>
    <cellStyle name="Comma 4 4 2 2 4 3 4" xfId="14309" xr:uid="{F9D69355-D450-40AF-92A7-C038CDB54E40}"/>
    <cellStyle name="Comma 4 4 2 2 4 4" xfId="18532" xr:uid="{5322279E-5347-43CA-B646-82737285E7D5}"/>
    <cellStyle name="Comma 4 4 2 2 4 5" xfId="26977" xr:uid="{189F58B4-5EE4-4D90-8E1B-6A8992FC5BB1}"/>
    <cellStyle name="Comma 4 4 2 2 4 6" xfId="10091" xr:uid="{163E614A-C4D8-481A-B080-C77F3F189E07}"/>
    <cellStyle name="Comma 4 4 2 2 5" xfId="1973" xr:uid="{00000000-0005-0000-0000-0000DC090000}"/>
    <cellStyle name="Comma 4 4 2 2 5 2" xfId="4202" xr:uid="{00000000-0005-0000-0000-0000DD090000}"/>
    <cellStyle name="Comma 4 4 2 2 5 2 2" xfId="8425" xr:uid="{00000000-0005-0000-0000-0000DE090000}"/>
    <cellStyle name="Comma 4 4 2 2 5 2 2 2" xfId="25308" xr:uid="{28B9BF0E-CF58-4D57-AE34-36EDB0C6AAE1}"/>
    <cellStyle name="Comma 4 4 2 2 5 2 2 3" xfId="33754" xr:uid="{912D4B60-914A-46AB-90A0-26E12206E444}"/>
    <cellStyle name="Comma 4 4 2 2 5 2 2 4" xfId="16867" xr:uid="{C8098671-ED7A-4DF4-A7A9-A1FBAE5FAD1A}"/>
    <cellStyle name="Comma 4 4 2 2 5 2 3" xfId="21090" xr:uid="{981DF108-DC41-4DF5-A67D-FCCB5EB37C4A}"/>
    <cellStyle name="Comma 4 4 2 2 5 2 4" xfId="29537" xr:uid="{F82AC1E3-17A5-4EDA-9C91-475E5BAC1C2A}"/>
    <cellStyle name="Comma 4 4 2 2 5 2 5" xfId="12649" xr:uid="{25A8EC44-B6F5-4638-82D9-DC7E98188F71}"/>
    <cellStyle name="Comma 4 4 2 2 5 3" xfId="6280" xr:uid="{00000000-0005-0000-0000-0000DF090000}"/>
    <cellStyle name="Comma 4 4 2 2 5 3 2" xfId="23163" xr:uid="{2EFEDB14-53AF-42D7-A1A8-AEA86FB40EA5}"/>
    <cellStyle name="Comma 4 4 2 2 5 3 3" xfId="31609" xr:uid="{A07B6003-A795-4538-8B11-70D30E3AF016}"/>
    <cellStyle name="Comma 4 4 2 2 5 3 4" xfId="14722" xr:uid="{F0155DA6-1360-4238-86B5-F3C700340C82}"/>
    <cellStyle name="Comma 4 4 2 2 5 4" xfId="18945" xr:uid="{8966FBEF-91D7-44B8-80AE-3335D11FFAC3}"/>
    <cellStyle name="Comma 4 4 2 2 5 5" xfId="27390" xr:uid="{377F513E-90E0-4E1C-BC47-35CDD65A9C71}"/>
    <cellStyle name="Comma 4 4 2 2 5 6" xfId="10504" xr:uid="{6BB3C1F1-B61D-4915-9A96-8812EAFFB927}"/>
    <cellStyle name="Comma 4 4 2 2 6" xfId="2408" xr:uid="{00000000-0005-0000-0000-0000E0090000}"/>
    <cellStyle name="Comma 4 4 2 2 6 2" xfId="6693" xr:uid="{00000000-0005-0000-0000-0000E1090000}"/>
    <cellStyle name="Comma 4 4 2 2 6 2 2" xfId="23576" xr:uid="{BA0BF85A-33A2-4751-98B0-EED2FB757169}"/>
    <cellStyle name="Comma 4 4 2 2 6 2 3" xfId="32022" xr:uid="{11526F66-9A4F-408E-8BED-0980478D1BAC}"/>
    <cellStyle name="Comma 4 4 2 2 6 2 4" xfId="15135" xr:uid="{37C39B28-749C-4935-A2D8-878D648572C3}"/>
    <cellStyle name="Comma 4 4 2 2 6 3" xfId="19358" xr:uid="{5E67FA12-080B-49F9-9E56-E1DBC1DC999C}"/>
    <cellStyle name="Comma 4 4 2 2 6 4" xfId="27803" xr:uid="{4AD01872-D50C-4653-9CA9-91B128DA9F23}"/>
    <cellStyle name="Comma 4 4 2 2 6 5" xfId="10917" xr:uid="{DC1D8AAE-F31C-4D35-9D80-DA79B4772432}"/>
    <cellStyle name="Comma 4 4 2 2 7" xfId="2704" xr:uid="{00000000-0005-0000-0000-0000E2090000}"/>
    <cellStyle name="Comma 4 4 2 2 8" xfId="2786" xr:uid="{00000000-0005-0000-0000-0000E3090000}"/>
    <cellStyle name="Comma 4 4 2 2 8 2" xfId="7010" xr:uid="{00000000-0005-0000-0000-0000E4090000}"/>
    <cellStyle name="Comma 4 4 2 2 8 2 2" xfId="23893" xr:uid="{4944FC30-EE36-4DEB-8FC6-B9805CFD6C88}"/>
    <cellStyle name="Comma 4 4 2 2 8 2 3" xfId="32339" xr:uid="{8C22D027-4D3B-4D2E-AC92-30A57E210F08}"/>
    <cellStyle name="Comma 4 4 2 2 8 2 4" xfId="15452" xr:uid="{2D4DFD6E-7221-4100-AA52-EC765F330A64}"/>
    <cellStyle name="Comma 4 4 2 2 8 3" xfId="19675" xr:uid="{F30D6EBA-0447-42EF-BC32-42A69BCFB6DB}"/>
    <cellStyle name="Comma 4 4 2 2 8 4" xfId="28122" xr:uid="{F3169E4B-9D39-4DAC-80D8-84EF99E04F57}"/>
    <cellStyle name="Comma 4 4 2 2 8 5" xfId="11234" xr:uid="{CBD1C928-AFC5-4A9D-BCAE-A2E39559E17C}"/>
    <cellStyle name="Comma 4 4 2 2 9" xfId="4627" xr:uid="{00000000-0005-0000-0000-0000E5090000}"/>
    <cellStyle name="Comma 4 4 2 2 9 2" xfId="21510" xr:uid="{349E4929-B074-46F9-9C6B-24B1C806B6BD}"/>
    <cellStyle name="Comma 4 4 2 2 9 3" xfId="29956" xr:uid="{E935CF9B-758B-4135-BD1C-D9BEE4520389}"/>
    <cellStyle name="Comma 4 4 2 2 9 4" xfId="13069" xr:uid="{22B7C3DA-EDB2-4CD1-A262-B37617A4E452}"/>
    <cellStyle name="Comma 4 4 2 3" xfId="691" xr:uid="{00000000-0005-0000-0000-0000E6090000}"/>
    <cellStyle name="Comma 4 4 2 3 2" xfId="2962" xr:uid="{00000000-0005-0000-0000-0000E7090000}"/>
    <cellStyle name="Comma 4 4 2 3 2 2" xfId="7185" xr:uid="{00000000-0005-0000-0000-0000E8090000}"/>
    <cellStyle name="Comma 4 4 2 3 2 2 2" xfId="24068" xr:uid="{7133DF2B-EA4D-4A89-8CD0-BEE934675DA6}"/>
    <cellStyle name="Comma 4 4 2 3 2 2 3" xfId="32514" xr:uid="{393EF1A0-0811-4211-8B88-00A4E77EA650}"/>
    <cellStyle name="Comma 4 4 2 3 2 2 4" xfId="15627" xr:uid="{6299DC45-AAB6-4A4C-A31A-C181680079B8}"/>
    <cellStyle name="Comma 4 4 2 3 2 3" xfId="19850" xr:uid="{78366D78-015E-4ECA-B7B2-5655A82873DB}"/>
    <cellStyle name="Comma 4 4 2 3 2 4" xfId="28297" xr:uid="{993DEFDF-4C0B-4BB5-B5D2-6BDFB462E768}"/>
    <cellStyle name="Comma 4 4 2 3 2 5" xfId="11409" xr:uid="{403B6B90-0F5A-46D6-8430-8BF748D17B67}"/>
    <cellStyle name="Comma 4 4 2 3 3" xfId="5040" xr:uid="{00000000-0005-0000-0000-0000E9090000}"/>
    <cellStyle name="Comma 4 4 2 3 3 2" xfId="21923" xr:uid="{E17F3CC5-6ACB-49FC-B95E-BFDA6C00CB4A}"/>
    <cellStyle name="Comma 4 4 2 3 3 3" xfId="30369" xr:uid="{9B7CA541-285C-4FF5-9986-635C5D6CAF09}"/>
    <cellStyle name="Comma 4 4 2 3 3 4" xfId="13482" xr:uid="{B184436B-C3EF-436D-8F55-9752BDC860FC}"/>
    <cellStyle name="Comma 4 4 2 3 4" xfId="17705" xr:uid="{702EC45A-EBBC-425B-8CCD-5C40CAAC7D28}"/>
    <cellStyle name="Comma 4 4 2 3 5" xfId="26150" xr:uid="{995179BE-2F36-474C-88EB-7D9CF8F27F49}"/>
    <cellStyle name="Comma 4 4 2 3 6" xfId="9264" xr:uid="{99CAC959-6112-4B3F-9820-DDD98651F4F6}"/>
    <cellStyle name="Comma 4 4 2 4" xfId="1144" xr:uid="{00000000-0005-0000-0000-0000EA090000}"/>
    <cellStyle name="Comma 4 4 2 4 2" xfId="3375" xr:uid="{00000000-0005-0000-0000-0000EB090000}"/>
    <cellStyle name="Comma 4 4 2 4 2 2" xfId="7598" xr:uid="{00000000-0005-0000-0000-0000EC090000}"/>
    <cellStyle name="Comma 4 4 2 4 2 2 2" xfId="24481" xr:uid="{56E69850-C516-4B53-8787-E3F7C51C8F23}"/>
    <cellStyle name="Comma 4 4 2 4 2 2 3" xfId="32927" xr:uid="{D97CF84C-735F-4D40-B251-C3FE97E79A7F}"/>
    <cellStyle name="Comma 4 4 2 4 2 2 4" xfId="16040" xr:uid="{5EFE33C7-EC83-4DB1-9237-658B2E9EB39D}"/>
    <cellStyle name="Comma 4 4 2 4 2 3" xfId="20263" xr:uid="{C13FBDE0-94E1-434C-A600-61BB8F1347F4}"/>
    <cellStyle name="Comma 4 4 2 4 2 4" xfId="28710" xr:uid="{5D91EBDB-C1B3-4FBE-8EB4-675564B337C2}"/>
    <cellStyle name="Comma 4 4 2 4 2 5" xfId="11822" xr:uid="{60D4FF5D-2A03-424C-92EA-99B019EBB16B}"/>
    <cellStyle name="Comma 4 4 2 4 3" xfId="5453" xr:uid="{00000000-0005-0000-0000-0000ED090000}"/>
    <cellStyle name="Comma 4 4 2 4 3 2" xfId="22336" xr:uid="{2BC4F6D9-5117-4060-B7D7-D894EAF93695}"/>
    <cellStyle name="Comma 4 4 2 4 3 3" xfId="30782" xr:uid="{5E726169-73CC-420C-A087-B92184FF846A}"/>
    <cellStyle name="Comma 4 4 2 4 3 4" xfId="13895" xr:uid="{18338E9B-789E-4669-9BE8-24E19CC68F80}"/>
    <cellStyle name="Comma 4 4 2 4 4" xfId="18118" xr:uid="{2EC12203-CE30-4D6D-99A4-C1F73487ADF6}"/>
    <cellStyle name="Comma 4 4 2 4 5" xfId="26563" xr:uid="{2B099AF0-A597-43DF-8263-8B4346686035}"/>
    <cellStyle name="Comma 4 4 2 4 6" xfId="9677" xr:uid="{CB5DF5A1-3CDE-4EE1-A024-1E76045F51AF}"/>
    <cellStyle name="Comma 4 4 2 5" xfId="1558" xr:uid="{00000000-0005-0000-0000-0000EE090000}"/>
    <cellStyle name="Comma 4 4 2 5 2" xfId="3788" xr:uid="{00000000-0005-0000-0000-0000EF090000}"/>
    <cellStyle name="Comma 4 4 2 5 2 2" xfId="8011" xr:uid="{00000000-0005-0000-0000-0000F0090000}"/>
    <cellStyle name="Comma 4 4 2 5 2 2 2" xfId="24894" xr:uid="{B22A0CFB-54FE-40BD-9E69-0C02DB926B36}"/>
    <cellStyle name="Comma 4 4 2 5 2 2 3" xfId="33340" xr:uid="{4F3A0F87-6E77-4320-9CBB-624D563D706C}"/>
    <cellStyle name="Comma 4 4 2 5 2 2 4" xfId="16453" xr:uid="{AC8781BB-2E24-4AC4-BD42-CDC0170FA0AD}"/>
    <cellStyle name="Comma 4 4 2 5 2 3" xfId="20676" xr:uid="{9D2150FA-D1A2-471E-A125-29F56D8A6EB3}"/>
    <cellStyle name="Comma 4 4 2 5 2 4" xfId="29123" xr:uid="{2383EB47-2F7C-4896-85C6-EFDF20C192A1}"/>
    <cellStyle name="Comma 4 4 2 5 2 5" xfId="12235" xr:uid="{5A038C61-4E65-4AE9-A9CF-F37362ABDAA3}"/>
    <cellStyle name="Comma 4 4 2 5 3" xfId="5866" xr:uid="{00000000-0005-0000-0000-0000F1090000}"/>
    <cellStyle name="Comma 4 4 2 5 3 2" xfId="22749" xr:uid="{EABAE117-4F2D-4CC3-8783-CB70A6E6297D}"/>
    <cellStyle name="Comma 4 4 2 5 3 3" xfId="31195" xr:uid="{CFBBBC1F-5D37-4A74-A3DD-F07229A7834B}"/>
    <cellStyle name="Comma 4 4 2 5 3 4" xfId="14308" xr:uid="{66C7CBDD-09C4-4B03-9524-DE4EE3A82451}"/>
    <cellStyle name="Comma 4 4 2 5 4" xfId="18531" xr:uid="{0CD21C14-A543-4804-827B-17FEE5B175E2}"/>
    <cellStyle name="Comma 4 4 2 5 5" xfId="26976" xr:uid="{2500F70E-7EA7-480C-A674-A7CB19415735}"/>
    <cellStyle name="Comma 4 4 2 5 6" xfId="10090" xr:uid="{1BDDF9E6-C28B-4368-8627-2426E9E5AAC1}"/>
    <cellStyle name="Comma 4 4 2 6" xfId="1972" xr:uid="{00000000-0005-0000-0000-0000F2090000}"/>
    <cellStyle name="Comma 4 4 2 6 2" xfId="4201" xr:uid="{00000000-0005-0000-0000-0000F3090000}"/>
    <cellStyle name="Comma 4 4 2 6 2 2" xfId="8424" xr:uid="{00000000-0005-0000-0000-0000F4090000}"/>
    <cellStyle name="Comma 4 4 2 6 2 2 2" xfId="25307" xr:uid="{B6A8F388-024E-4A3D-8CBE-895F0AA45FEE}"/>
    <cellStyle name="Comma 4 4 2 6 2 2 3" xfId="33753" xr:uid="{697EF4B4-285C-4FF3-B60A-D62D13B8B484}"/>
    <cellStyle name="Comma 4 4 2 6 2 2 4" xfId="16866" xr:uid="{4591E7AD-FD8B-45DC-81CE-2AEE00FC8F55}"/>
    <cellStyle name="Comma 4 4 2 6 2 3" xfId="21089" xr:uid="{2780AF9E-216F-4039-BB3D-31D9A8EAFDA9}"/>
    <cellStyle name="Comma 4 4 2 6 2 4" xfId="29536" xr:uid="{17088021-27EB-4209-A6B3-EAC00B6237B2}"/>
    <cellStyle name="Comma 4 4 2 6 2 5" xfId="12648" xr:uid="{030EDE4D-FCFD-456C-8772-F84F97455882}"/>
    <cellStyle name="Comma 4 4 2 6 3" xfId="6279" xr:uid="{00000000-0005-0000-0000-0000F5090000}"/>
    <cellStyle name="Comma 4 4 2 6 3 2" xfId="23162" xr:uid="{E96B2179-976D-46BD-B51C-D3D2382BAC73}"/>
    <cellStyle name="Comma 4 4 2 6 3 3" xfId="31608" xr:uid="{604E6B45-6915-4D5C-A978-E7D181E73A28}"/>
    <cellStyle name="Comma 4 4 2 6 3 4" xfId="14721" xr:uid="{05180D96-424F-4742-B896-153F31A60924}"/>
    <cellStyle name="Comma 4 4 2 6 4" xfId="18944" xr:uid="{7CCCC1EE-CAED-4202-8437-7CF91D8037F8}"/>
    <cellStyle name="Comma 4 4 2 6 5" xfId="27389" xr:uid="{53509800-8B73-4725-92D2-C500D2E2C5E7}"/>
    <cellStyle name="Comma 4 4 2 6 6" xfId="10503" xr:uid="{7C711176-5347-4559-B9DF-01B50F05EDCA}"/>
    <cellStyle name="Comma 4 4 2 7" xfId="2407" xr:uid="{00000000-0005-0000-0000-0000F6090000}"/>
    <cellStyle name="Comma 4 4 2 7 2" xfId="6692" xr:uid="{00000000-0005-0000-0000-0000F7090000}"/>
    <cellStyle name="Comma 4 4 2 7 2 2" xfId="23575" xr:uid="{69290BAB-E674-4F2B-938C-9442CDF0AE6E}"/>
    <cellStyle name="Comma 4 4 2 7 2 3" xfId="32021" xr:uid="{CB7019EF-2848-425A-AF36-4EEF7B5B7FFA}"/>
    <cellStyle name="Comma 4 4 2 7 2 4" xfId="15134" xr:uid="{2A9B4F42-3CCD-45FB-BCDB-15AA076F7FC4}"/>
    <cellStyle name="Comma 4 4 2 7 3" xfId="19357" xr:uid="{6BA0DAD1-51EF-42B0-B53B-1A071DAEDE83}"/>
    <cellStyle name="Comma 4 4 2 7 4" xfId="27802" xr:uid="{9696CC4A-8FC8-449F-93B5-FBC722E400FD}"/>
    <cellStyle name="Comma 4 4 2 7 5" xfId="10916" xr:uid="{18E8DD6E-E9D4-4C2D-92E4-17C8549129E9}"/>
    <cellStyle name="Comma 4 4 2 8" xfId="2703" xr:uid="{00000000-0005-0000-0000-0000F8090000}"/>
    <cellStyle name="Comma 4 4 2 9" xfId="2785" xr:uid="{00000000-0005-0000-0000-0000F9090000}"/>
    <cellStyle name="Comma 4 4 2 9 2" xfId="7009" xr:uid="{00000000-0005-0000-0000-0000FA090000}"/>
    <cellStyle name="Comma 4 4 2 9 2 2" xfId="23892" xr:uid="{C9317FF6-08B6-481A-A05E-4204B4CC4601}"/>
    <cellStyle name="Comma 4 4 2 9 2 3" xfId="32338" xr:uid="{A090E4C4-A563-46E7-914C-AC2666809B28}"/>
    <cellStyle name="Comma 4 4 2 9 2 4" xfId="15451" xr:uid="{B00119EF-3C80-4E12-A0C1-9F4A0AF9A819}"/>
    <cellStyle name="Comma 4 4 2 9 3" xfId="19674" xr:uid="{5D8155B8-1848-4DDF-8E65-248029ABAF47}"/>
    <cellStyle name="Comma 4 4 2 9 4" xfId="28121" xr:uid="{8A1870DF-BB4D-4870-9C31-8C9B5A220537}"/>
    <cellStyle name="Comma 4 4 2 9 5" xfId="11233" xr:uid="{4566A5AF-51A4-4983-B53A-8738A2C36331}"/>
    <cellStyle name="Comma 4 4 3" xfId="156" xr:uid="{00000000-0005-0000-0000-0000FB090000}"/>
    <cellStyle name="Comma 4 4 3 10" xfId="17293" xr:uid="{3F84FB3B-77FF-4897-B0A1-5F0BF22A8E11}"/>
    <cellStyle name="Comma 4 4 3 11" xfId="25736" xr:uid="{636D7764-70E3-40DD-9FAD-5F2D5255DB28}"/>
    <cellStyle name="Comma 4 4 3 12" xfId="8852" xr:uid="{3585612D-FB7F-440C-A343-4E389F98EDA1}"/>
    <cellStyle name="Comma 4 4 3 2" xfId="693" xr:uid="{00000000-0005-0000-0000-0000FC090000}"/>
    <cellStyle name="Comma 4 4 3 2 2" xfId="2964" xr:uid="{00000000-0005-0000-0000-0000FD090000}"/>
    <cellStyle name="Comma 4 4 3 2 2 2" xfId="7187" xr:uid="{00000000-0005-0000-0000-0000FE090000}"/>
    <cellStyle name="Comma 4 4 3 2 2 2 2" xfId="24070" xr:uid="{46C9DA79-6E8F-44AC-AC83-0AFA579FA00E}"/>
    <cellStyle name="Comma 4 4 3 2 2 2 3" xfId="32516" xr:uid="{E330031B-A8F0-4558-9528-4C09005048B1}"/>
    <cellStyle name="Comma 4 4 3 2 2 2 4" xfId="15629" xr:uid="{7D3BAD84-D0A2-44A8-BE2F-02D6598A75C3}"/>
    <cellStyle name="Comma 4 4 3 2 2 3" xfId="19852" xr:uid="{76853E5D-66C4-426E-9A2E-1C665E729038}"/>
    <cellStyle name="Comma 4 4 3 2 2 4" xfId="28299" xr:uid="{450E82A7-DD58-43EC-9E2F-DA0B1818853F}"/>
    <cellStyle name="Comma 4 4 3 2 2 5" xfId="11411" xr:uid="{CDA0F5A5-6C8F-4B7E-9D9A-092E44FFE69B}"/>
    <cellStyle name="Comma 4 4 3 2 3" xfId="5042" xr:uid="{00000000-0005-0000-0000-0000FF090000}"/>
    <cellStyle name="Comma 4 4 3 2 3 2" xfId="21925" xr:uid="{B5BEF82B-5786-4A51-A055-C2EC333E546C}"/>
    <cellStyle name="Comma 4 4 3 2 3 3" xfId="30371" xr:uid="{528A4927-D269-4BE9-9613-CC53E4574E02}"/>
    <cellStyle name="Comma 4 4 3 2 3 4" xfId="13484" xr:uid="{275B05EF-916E-4C4B-8034-C029FE728BD9}"/>
    <cellStyle name="Comma 4 4 3 2 4" xfId="17707" xr:uid="{0A58B1F9-65DE-4683-AAB7-ACFF8770B0FA}"/>
    <cellStyle name="Comma 4 4 3 2 5" xfId="26152" xr:uid="{A6AEC103-2D49-417A-B20A-B9D2FB66F26D}"/>
    <cellStyle name="Comma 4 4 3 2 6" xfId="9266" xr:uid="{783D31F4-6647-40FE-876F-43B2C27EC12F}"/>
    <cellStyle name="Comma 4 4 3 3" xfId="1146" xr:uid="{00000000-0005-0000-0000-0000000A0000}"/>
    <cellStyle name="Comma 4 4 3 3 2" xfId="3377" xr:uid="{00000000-0005-0000-0000-0000010A0000}"/>
    <cellStyle name="Comma 4 4 3 3 2 2" xfId="7600" xr:uid="{00000000-0005-0000-0000-0000020A0000}"/>
    <cellStyle name="Comma 4 4 3 3 2 2 2" xfId="24483" xr:uid="{97633970-97EB-4350-A730-7E629F9D9493}"/>
    <cellStyle name="Comma 4 4 3 3 2 2 3" xfId="32929" xr:uid="{611EA7E3-D4D9-4E4F-8B9E-552568F66FCE}"/>
    <cellStyle name="Comma 4 4 3 3 2 2 4" xfId="16042" xr:uid="{728CB9C2-C47F-4BEA-A25A-1B970C8998BA}"/>
    <cellStyle name="Comma 4 4 3 3 2 3" xfId="20265" xr:uid="{333E0741-A205-4E8A-AFDF-8A70705F198E}"/>
    <cellStyle name="Comma 4 4 3 3 2 4" xfId="28712" xr:uid="{1B8060CC-48D9-4BA7-9616-0705E532B3B1}"/>
    <cellStyle name="Comma 4 4 3 3 2 5" xfId="11824" xr:uid="{6D1F5F98-6853-40C0-8DA4-4ED17B0FE61E}"/>
    <cellStyle name="Comma 4 4 3 3 3" xfId="5455" xr:uid="{00000000-0005-0000-0000-0000030A0000}"/>
    <cellStyle name="Comma 4 4 3 3 3 2" xfId="22338" xr:uid="{86C1179A-AD46-48B5-950C-FED1B3F23C09}"/>
    <cellStyle name="Comma 4 4 3 3 3 3" xfId="30784" xr:uid="{A02AB1BC-9517-49E0-B57B-3E0E666D88C8}"/>
    <cellStyle name="Comma 4 4 3 3 3 4" xfId="13897" xr:uid="{3BC22762-E2BE-4B4C-9AD1-BFE086B4334C}"/>
    <cellStyle name="Comma 4 4 3 3 4" xfId="18120" xr:uid="{D9D58FBF-564C-4A37-9E8F-7195BAF0EB8A}"/>
    <cellStyle name="Comma 4 4 3 3 5" xfId="26565" xr:uid="{7C4AD811-9B5E-4585-B709-49F1EB708B46}"/>
    <cellStyle name="Comma 4 4 3 3 6" xfId="9679" xr:uid="{3C63CCB4-E96D-484E-BB95-E8B156AD3D30}"/>
    <cellStyle name="Comma 4 4 3 4" xfId="1560" xr:uid="{00000000-0005-0000-0000-0000040A0000}"/>
    <cellStyle name="Comma 4 4 3 4 2" xfId="3790" xr:uid="{00000000-0005-0000-0000-0000050A0000}"/>
    <cellStyle name="Comma 4 4 3 4 2 2" xfId="8013" xr:uid="{00000000-0005-0000-0000-0000060A0000}"/>
    <cellStyle name="Comma 4 4 3 4 2 2 2" xfId="24896" xr:uid="{8862A63E-C9C8-4F53-8B00-F630F65B9CA9}"/>
    <cellStyle name="Comma 4 4 3 4 2 2 3" xfId="33342" xr:uid="{5CE4CB9C-1985-42E4-B9DC-DD829F2229EF}"/>
    <cellStyle name="Comma 4 4 3 4 2 2 4" xfId="16455" xr:uid="{4D25014D-4010-485D-8BF6-9613107E401A}"/>
    <cellStyle name="Comma 4 4 3 4 2 3" xfId="20678" xr:uid="{A65920CC-8371-4771-A8A9-9A42113BCB94}"/>
    <cellStyle name="Comma 4 4 3 4 2 4" xfId="29125" xr:uid="{F35E29B1-1055-473F-B26D-0D3D465B2D34}"/>
    <cellStyle name="Comma 4 4 3 4 2 5" xfId="12237" xr:uid="{FA8C5C04-FC3A-48D5-8492-CCCF2BCEE4EC}"/>
    <cellStyle name="Comma 4 4 3 4 3" xfId="5868" xr:uid="{00000000-0005-0000-0000-0000070A0000}"/>
    <cellStyle name="Comma 4 4 3 4 3 2" xfId="22751" xr:uid="{03C1CCCC-6A3B-44CF-8D6E-BDBF9D6C1171}"/>
    <cellStyle name="Comma 4 4 3 4 3 3" xfId="31197" xr:uid="{ADD996C2-462A-45BB-BB68-23054E418DFE}"/>
    <cellStyle name="Comma 4 4 3 4 3 4" xfId="14310" xr:uid="{E7D01FE6-0FA0-47A7-B2E9-9AF94F48C0F7}"/>
    <cellStyle name="Comma 4 4 3 4 4" xfId="18533" xr:uid="{9D894281-BA86-491E-A29B-09D9211E4EAA}"/>
    <cellStyle name="Comma 4 4 3 4 5" xfId="26978" xr:uid="{57A63706-AC49-4D24-93A5-2322884137FB}"/>
    <cellStyle name="Comma 4 4 3 4 6" xfId="10092" xr:uid="{EF46CC81-6CAC-4A8D-9AC4-A4C224875209}"/>
    <cellStyle name="Comma 4 4 3 5" xfId="1974" xr:uid="{00000000-0005-0000-0000-0000080A0000}"/>
    <cellStyle name="Comma 4 4 3 5 2" xfId="4203" xr:uid="{00000000-0005-0000-0000-0000090A0000}"/>
    <cellStyle name="Comma 4 4 3 5 2 2" xfId="8426" xr:uid="{00000000-0005-0000-0000-00000A0A0000}"/>
    <cellStyle name="Comma 4 4 3 5 2 2 2" xfId="25309" xr:uid="{D0B0F805-9537-4DF4-AF33-A43830C9F54F}"/>
    <cellStyle name="Comma 4 4 3 5 2 2 3" xfId="33755" xr:uid="{E8E1C60F-A02C-4944-A861-D2861ADF51EE}"/>
    <cellStyle name="Comma 4 4 3 5 2 2 4" xfId="16868" xr:uid="{0BC72D3E-FBD1-4773-9794-6340FBDBE24E}"/>
    <cellStyle name="Comma 4 4 3 5 2 3" xfId="21091" xr:uid="{CA22A10C-21B7-49DB-9283-0FE14EFCA4B2}"/>
    <cellStyle name="Comma 4 4 3 5 2 4" xfId="29538" xr:uid="{018B00BE-B67E-4F9D-A2BF-9DCE82F2E9D0}"/>
    <cellStyle name="Comma 4 4 3 5 2 5" xfId="12650" xr:uid="{523BD4A5-74E8-43A4-8A22-ED7176C935B0}"/>
    <cellStyle name="Comma 4 4 3 5 3" xfId="6281" xr:uid="{00000000-0005-0000-0000-00000B0A0000}"/>
    <cellStyle name="Comma 4 4 3 5 3 2" xfId="23164" xr:uid="{48444990-63E0-4CEA-8349-6C659FA2F522}"/>
    <cellStyle name="Comma 4 4 3 5 3 3" xfId="31610" xr:uid="{164BB400-9CBD-43AF-BCA7-024A9BC77A27}"/>
    <cellStyle name="Comma 4 4 3 5 3 4" xfId="14723" xr:uid="{59FF72F0-F69E-4A29-8A6E-02CE2CCC3B2C}"/>
    <cellStyle name="Comma 4 4 3 5 4" xfId="18946" xr:uid="{3E7BA530-FF32-4FF7-A0A5-9D668D168647}"/>
    <cellStyle name="Comma 4 4 3 5 5" xfId="27391" xr:uid="{6A06203A-97F8-4203-A495-74DCBC5938BD}"/>
    <cellStyle name="Comma 4 4 3 5 6" xfId="10505" xr:uid="{52171287-D4A2-4D84-B309-5CCF8126A0BA}"/>
    <cellStyle name="Comma 4 4 3 6" xfId="2409" xr:uid="{00000000-0005-0000-0000-00000C0A0000}"/>
    <cellStyle name="Comma 4 4 3 6 2" xfId="6694" xr:uid="{00000000-0005-0000-0000-00000D0A0000}"/>
    <cellStyle name="Comma 4 4 3 6 2 2" xfId="23577" xr:uid="{74280A3C-730A-42EF-967A-B173E2104B2A}"/>
    <cellStyle name="Comma 4 4 3 6 2 3" xfId="32023" xr:uid="{9E4F8F39-1E7A-44BD-995B-9187088D358C}"/>
    <cellStyle name="Comma 4 4 3 6 2 4" xfId="15136" xr:uid="{540ECC68-2D7D-400E-8F51-DC7BC3B2B2ED}"/>
    <cellStyle name="Comma 4 4 3 6 3" xfId="19359" xr:uid="{89848E7B-DE63-4C52-802F-83638D4B8CDF}"/>
    <cellStyle name="Comma 4 4 3 6 4" xfId="27804" xr:uid="{44836875-5EE0-4312-BDE5-6ED7540F9C23}"/>
    <cellStyle name="Comma 4 4 3 6 5" xfId="10918" xr:uid="{9E635FF7-9A52-47B8-A700-C9D028D7945F}"/>
    <cellStyle name="Comma 4 4 3 7" xfId="2705" xr:uid="{00000000-0005-0000-0000-00000E0A0000}"/>
    <cellStyle name="Comma 4 4 3 8" xfId="2787" xr:uid="{00000000-0005-0000-0000-00000F0A0000}"/>
    <cellStyle name="Comma 4 4 3 8 2" xfId="7011" xr:uid="{00000000-0005-0000-0000-0000100A0000}"/>
    <cellStyle name="Comma 4 4 3 8 2 2" xfId="23894" xr:uid="{372DA548-618C-485F-9197-56C15698C407}"/>
    <cellStyle name="Comma 4 4 3 8 2 3" xfId="32340" xr:uid="{9FA50ADF-B9CB-45B6-ADE5-EDCF4E83BD8F}"/>
    <cellStyle name="Comma 4 4 3 8 2 4" xfId="15453" xr:uid="{E9ECC878-4328-405C-9645-1C6DCAE85906}"/>
    <cellStyle name="Comma 4 4 3 8 3" xfId="19676" xr:uid="{36C93E3E-BB18-4444-9ED4-C4B177785DFD}"/>
    <cellStyle name="Comma 4 4 3 8 4" xfId="28123" xr:uid="{43FBC0B9-FB2A-4D48-AF73-92301E8D2D5C}"/>
    <cellStyle name="Comma 4 4 3 8 5" xfId="11235" xr:uid="{9516CE9E-D73D-42A1-AB92-F619C346A506}"/>
    <cellStyle name="Comma 4 4 3 9" xfId="4628" xr:uid="{00000000-0005-0000-0000-0000110A0000}"/>
    <cellStyle name="Comma 4 4 3 9 2" xfId="21511" xr:uid="{C554A61F-21BA-47C1-B5E3-B7F7EC17959A}"/>
    <cellStyle name="Comma 4 4 3 9 3" xfId="29957" xr:uid="{DBEF649D-BAAA-4281-A938-C78700998543}"/>
    <cellStyle name="Comma 4 4 3 9 4" xfId="13070" xr:uid="{553F4267-026D-4007-8025-425F4EB6BAED}"/>
    <cellStyle name="Comma 4 4 4" xfId="690" xr:uid="{00000000-0005-0000-0000-0000120A0000}"/>
    <cellStyle name="Comma 4 4 4 2" xfId="2961" xr:uid="{00000000-0005-0000-0000-0000130A0000}"/>
    <cellStyle name="Comma 4 4 4 2 2" xfId="7184" xr:uid="{00000000-0005-0000-0000-0000140A0000}"/>
    <cellStyle name="Comma 4 4 4 2 2 2" xfId="24067" xr:uid="{A1209DDA-047A-4C64-AA42-7ED6FAB04FBA}"/>
    <cellStyle name="Comma 4 4 4 2 2 3" xfId="32513" xr:uid="{ED48604C-FC57-4CB3-97F3-243D03FEDADA}"/>
    <cellStyle name="Comma 4 4 4 2 2 4" xfId="15626" xr:uid="{A26022BE-8C3B-44D1-8A32-FCF3291D37A8}"/>
    <cellStyle name="Comma 4 4 4 2 3" xfId="19849" xr:uid="{C43A7EBD-030A-4304-AEC4-EF895A3B6067}"/>
    <cellStyle name="Comma 4 4 4 2 4" xfId="28296" xr:uid="{F0DF7C3C-68C4-4064-9796-64418AAFF3D8}"/>
    <cellStyle name="Comma 4 4 4 2 5" xfId="11408" xr:uid="{AA1CB8B7-3D77-4FA5-83B5-AA30592F0E39}"/>
    <cellStyle name="Comma 4 4 4 3" xfId="5039" xr:uid="{00000000-0005-0000-0000-0000150A0000}"/>
    <cellStyle name="Comma 4 4 4 3 2" xfId="21922" xr:uid="{A8DEC403-1D53-4E68-9676-21D81F834D5F}"/>
    <cellStyle name="Comma 4 4 4 3 3" xfId="30368" xr:uid="{012CCAD8-4B3F-4427-A422-68FACF8A8CE7}"/>
    <cellStyle name="Comma 4 4 4 3 4" xfId="13481" xr:uid="{C2BA87B1-511F-410E-AF09-B2925A12A4AF}"/>
    <cellStyle name="Comma 4 4 4 4" xfId="17704" xr:uid="{E560C6E7-ED09-4DE6-8087-27F0A6292D24}"/>
    <cellStyle name="Comma 4 4 4 5" xfId="26149" xr:uid="{301BF6F7-9B60-4D10-9F59-B9FDBD2D87D3}"/>
    <cellStyle name="Comma 4 4 4 6" xfId="9263" xr:uid="{5D74AB61-A96E-43AF-8A73-BB622F03BE65}"/>
    <cellStyle name="Comma 4 4 5" xfId="1143" xr:uid="{00000000-0005-0000-0000-0000160A0000}"/>
    <cellStyle name="Comma 4 4 5 2" xfId="3374" xr:uid="{00000000-0005-0000-0000-0000170A0000}"/>
    <cellStyle name="Comma 4 4 5 2 2" xfId="7597" xr:uid="{00000000-0005-0000-0000-0000180A0000}"/>
    <cellStyle name="Comma 4 4 5 2 2 2" xfId="24480" xr:uid="{FCC68C10-576C-4771-882E-9AF23437F37F}"/>
    <cellStyle name="Comma 4 4 5 2 2 3" xfId="32926" xr:uid="{26CDBA1E-5A70-4EEC-B5D5-BAE254ECCF11}"/>
    <cellStyle name="Comma 4 4 5 2 2 4" xfId="16039" xr:uid="{6C1E4D30-3994-4983-86A7-254CE7172B9A}"/>
    <cellStyle name="Comma 4 4 5 2 3" xfId="20262" xr:uid="{C9EC2B69-88A3-4DCF-A739-9FD7124885DD}"/>
    <cellStyle name="Comma 4 4 5 2 4" xfId="28709" xr:uid="{64D676A5-A1A8-45B5-A3A9-1719921B8B0E}"/>
    <cellStyle name="Comma 4 4 5 2 5" xfId="11821" xr:uid="{F8A0A949-C3F4-43A3-8E78-E3440AB7D9DB}"/>
    <cellStyle name="Comma 4 4 5 3" xfId="5452" xr:uid="{00000000-0005-0000-0000-0000190A0000}"/>
    <cellStyle name="Comma 4 4 5 3 2" xfId="22335" xr:uid="{3685AB1B-3917-4571-9EB9-1E60A28F834C}"/>
    <cellStyle name="Comma 4 4 5 3 3" xfId="30781" xr:uid="{373AB682-FA36-4340-AD64-895C7A396A1D}"/>
    <cellStyle name="Comma 4 4 5 3 4" xfId="13894" xr:uid="{E2193BB1-3249-4914-AA59-C6C110E2064B}"/>
    <cellStyle name="Comma 4 4 5 4" xfId="18117" xr:uid="{A72EC4D6-9AF8-4D91-9462-49E249E37157}"/>
    <cellStyle name="Comma 4 4 5 5" xfId="26562" xr:uid="{2CAA0BDF-3FD9-45EA-9C37-452B58521DC4}"/>
    <cellStyle name="Comma 4 4 5 6" xfId="9676" xr:uid="{68C2FC03-3AA1-4F14-B434-17423333A1D6}"/>
    <cellStyle name="Comma 4 4 6" xfId="1557" xr:uid="{00000000-0005-0000-0000-00001A0A0000}"/>
    <cellStyle name="Comma 4 4 6 2" xfId="3787" xr:uid="{00000000-0005-0000-0000-00001B0A0000}"/>
    <cellStyle name="Comma 4 4 6 2 2" xfId="8010" xr:uid="{00000000-0005-0000-0000-00001C0A0000}"/>
    <cellStyle name="Comma 4 4 6 2 2 2" xfId="24893" xr:uid="{CD73E34B-8083-411B-9B2B-271820168B66}"/>
    <cellStyle name="Comma 4 4 6 2 2 3" xfId="33339" xr:uid="{22E238D2-D059-484B-9BE1-ABA12127F2B4}"/>
    <cellStyle name="Comma 4 4 6 2 2 4" xfId="16452" xr:uid="{94758DC3-78BF-4444-B4AE-ACB633D1F4C2}"/>
    <cellStyle name="Comma 4 4 6 2 3" xfId="20675" xr:uid="{2DC67104-0D9A-457B-90A2-1E6D7DA5DA7C}"/>
    <cellStyle name="Comma 4 4 6 2 4" xfId="29122" xr:uid="{9B1B82F5-660F-4763-B385-30D0198580C3}"/>
    <cellStyle name="Comma 4 4 6 2 5" xfId="12234" xr:uid="{969E95CA-EBF7-4E23-AD1A-ACB289265CE3}"/>
    <cellStyle name="Comma 4 4 6 3" xfId="5865" xr:uid="{00000000-0005-0000-0000-00001D0A0000}"/>
    <cellStyle name="Comma 4 4 6 3 2" xfId="22748" xr:uid="{BDB4C7E3-E604-40E8-943A-2861B87FB2F7}"/>
    <cellStyle name="Comma 4 4 6 3 3" xfId="31194" xr:uid="{4F58BEEE-75AE-45C4-88DB-6674A84DC6E1}"/>
    <cellStyle name="Comma 4 4 6 3 4" xfId="14307" xr:uid="{3FCF51B7-E97E-44E2-BB9D-6E07F4A062A3}"/>
    <cellStyle name="Comma 4 4 6 4" xfId="18530" xr:uid="{D3DFF1C7-D4F2-4AC0-BC84-55CE63E8F24C}"/>
    <cellStyle name="Comma 4 4 6 5" xfId="26975" xr:uid="{1B30E0F2-1835-4CEB-9F94-0B863CB0346D}"/>
    <cellStyle name="Comma 4 4 6 6" xfId="10089" xr:uid="{4C142332-00CA-430F-B759-AD975E6D6DEB}"/>
    <cellStyle name="Comma 4 4 7" xfId="1971" xr:uid="{00000000-0005-0000-0000-00001E0A0000}"/>
    <cellStyle name="Comma 4 4 7 2" xfId="4200" xr:uid="{00000000-0005-0000-0000-00001F0A0000}"/>
    <cellStyle name="Comma 4 4 7 2 2" xfId="8423" xr:uid="{00000000-0005-0000-0000-0000200A0000}"/>
    <cellStyle name="Comma 4 4 7 2 2 2" xfId="25306" xr:uid="{C8583BC4-4D72-43C6-A1E0-82C561DA0D79}"/>
    <cellStyle name="Comma 4 4 7 2 2 3" xfId="33752" xr:uid="{E40C2C2D-9AF5-4A58-96D1-39A15671EDFE}"/>
    <cellStyle name="Comma 4 4 7 2 2 4" xfId="16865" xr:uid="{15F3EC3D-6B29-45B1-8C3B-DDE225129D13}"/>
    <cellStyle name="Comma 4 4 7 2 3" xfId="21088" xr:uid="{B080C24D-7347-4E21-818E-CFBA954F735D}"/>
    <cellStyle name="Comma 4 4 7 2 4" xfId="29535" xr:uid="{C07FA0FF-D28C-4A53-8EEF-5E9A9ACB15D5}"/>
    <cellStyle name="Comma 4 4 7 2 5" xfId="12647" xr:uid="{9F3A93DA-AA02-474A-91E9-6B3D3DB422AF}"/>
    <cellStyle name="Comma 4 4 7 3" xfId="6278" xr:uid="{00000000-0005-0000-0000-0000210A0000}"/>
    <cellStyle name="Comma 4 4 7 3 2" xfId="23161" xr:uid="{D90EE5E0-159E-4B70-9DCD-2C5468F78A8B}"/>
    <cellStyle name="Comma 4 4 7 3 3" xfId="31607" xr:uid="{0A769528-57D3-4E35-B019-4F3406AF9D9F}"/>
    <cellStyle name="Comma 4 4 7 3 4" xfId="14720" xr:uid="{7D82A4E6-A712-4080-960E-7545A618BCC6}"/>
    <cellStyle name="Comma 4 4 7 4" xfId="18943" xr:uid="{0C8F1704-09D5-4E3C-9E13-3CEAD04B94CD}"/>
    <cellStyle name="Comma 4 4 7 5" xfId="27388" xr:uid="{A86F8B17-5F65-4A8A-A9E9-1D3C3652F9A5}"/>
    <cellStyle name="Comma 4 4 7 6" xfId="10502" xr:uid="{E743AD73-E245-47A6-9017-4CFFDBFBE5EB}"/>
    <cellStyle name="Comma 4 4 8" xfId="2406" xr:uid="{00000000-0005-0000-0000-0000220A0000}"/>
    <cellStyle name="Comma 4 4 8 2" xfId="6691" xr:uid="{00000000-0005-0000-0000-0000230A0000}"/>
    <cellStyle name="Comma 4 4 8 2 2" xfId="23574" xr:uid="{AD83A813-D1E2-4113-9736-B74FAC944730}"/>
    <cellStyle name="Comma 4 4 8 2 3" xfId="32020" xr:uid="{7278F563-617F-4BD6-B356-2F1DD4804EFF}"/>
    <cellStyle name="Comma 4 4 8 2 4" xfId="15133" xr:uid="{2B60ACD0-EFE6-43C9-B430-DF55CFE99D9A}"/>
    <cellStyle name="Comma 4 4 8 3" xfId="19356" xr:uid="{45EB482A-C929-42D4-9475-9654623BCFAC}"/>
    <cellStyle name="Comma 4 4 8 4" xfId="27801" xr:uid="{F4222C74-0A38-4C7D-8E43-DCA67EB61218}"/>
    <cellStyle name="Comma 4 4 8 5" xfId="10915" xr:uid="{91DE1829-D3E7-47DF-A205-1E209EE2FE8C}"/>
    <cellStyle name="Comma 4 4 9" xfId="2702" xr:uid="{00000000-0005-0000-0000-0000240A0000}"/>
    <cellStyle name="Comma 4 5" xfId="157" xr:uid="{00000000-0005-0000-0000-0000250A0000}"/>
    <cellStyle name="Comma 4 5 10" xfId="4629" xr:uid="{00000000-0005-0000-0000-0000260A0000}"/>
    <cellStyle name="Comma 4 5 10 2" xfId="21512" xr:uid="{A30B53AE-39A0-49D3-851A-F0FD887671E7}"/>
    <cellStyle name="Comma 4 5 10 3" xfId="29958" xr:uid="{3D9D0C58-FA31-431C-BE2B-F97B85EBCE2C}"/>
    <cellStyle name="Comma 4 5 10 4" xfId="13071" xr:uid="{682E4E85-E733-42A1-9131-723B28C7B883}"/>
    <cellStyle name="Comma 4 5 11" xfId="17294" xr:uid="{AADC399C-7497-4B3F-81A6-810B4FA6E281}"/>
    <cellStyle name="Comma 4 5 12" xfId="25737" xr:uid="{E3AE680A-ED33-4982-BFD6-9A59649F2BA7}"/>
    <cellStyle name="Comma 4 5 13" xfId="8853" xr:uid="{212F5089-0DB8-4E56-A6C7-272BC344B6D3}"/>
    <cellStyle name="Comma 4 5 2" xfId="158" xr:uid="{00000000-0005-0000-0000-0000270A0000}"/>
    <cellStyle name="Comma 4 5 2 10" xfId="17295" xr:uid="{7868B926-8B8A-4A8B-8CCC-A9BC50DE70E2}"/>
    <cellStyle name="Comma 4 5 2 11" xfId="25738" xr:uid="{8C610C07-70F2-4B23-99C3-50FEE1741751}"/>
    <cellStyle name="Comma 4 5 2 12" xfId="8854" xr:uid="{A6CE5E5E-3D1F-4140-BF40-9D3F3C14593F}"/>
    <cellStyle name="Comma 4 5 2 2" xfId="695" xr:uid="{00000000-0005-0000-0000-0000280A0000}"/>
    <cellStyle name="Comma 4 5 2 2 2" xfId="2966" xr:uid="{00000000-0005-0000-0000-0000290A0000}"/>
    <cellStyle name="Comma 4 5 2 2 2 2" xfId="7189" xr:uid="{00000000-0005-0000-0000-00002A0A0000}"/>
    <cellStyle name="Comma 4 5 2 2 2 2 2" xfId="24072" xr:uid="{CBB65120-8B1C-4470-AEC7-B2DA23354817}"/>
    <cellStyle name="Comma 4 5 2 2 2 2 3" xfId="32518" xr:uid="{F0FE6EA5-4097-4B0F-9DAF-B5A57AFD6D5A}"/>
    <cellStyle name="Comma 4 5 2 2 2 2 4" xfId="15631" xr:uid="{E58232B2-877D-472D-8597-EFFCF74999F4}"/>
    <cellStyle name="Comma 4 5 2 2 2 3" xfId="19854" xr:uid="{02C9A517-674B-4C30-B111-76F0D4CD8B81}"/>
    <cellStyle name="Comma 4 5 2 2 2 4" xfId="28301" xr:uid="{D53F6204-D64F-47EA-A1A3-E6B60850C6C3}"/>
    <cellStyle name="Comma 4 5 2 2 2 5" xfId="11413" xr:uid="{DC194768-D0A9-4BAA-9E64-0DCE6CA3EBA6}"/>
    <cellStyle name="Comma 4 5 2 2 3" xfId="5044" xr:uid="{00000000-0005-0000-0000-00002B0A0000}"/>
    <cellStyle name="Comma 4 5 2 2 3 2" xfId="21927" xr:uid="{91A2E8F5-3FF1-4375-AB14-3AA24FBA6EB0}"/>
    <cellStyle name="Comma 4 5 2 2 3 3" xfId="30373" xr:uid="{136A3C40-378F-4D69-AF16-EFCE5C779B08}"/>
    <cellStyle name="Comma 4 5 2 2 3 4" xfId="13486" xr:uid="{41E417C9-8601-4088-9DAE-B79F5C7C6B8D}"/>
    <cellStyle name="Comma 4 5 2 2 4" xfId="17709" xr:uid="{A24194D3-EDD5-4DFC-B7A7-5C22D2BE12E7}"/>
    <cellStyle name="Comma 4 5 2 2 5" xfId="26154" xr:uid="{B0FE6179-F3D2-415B-A024-4305A56BE7AF}"/>
    <cellStyle name="Comma 4 5 2 2 6" xfId="9268" xr:uid="{F6855E50-D8B1-4D39-B7A9-A61BFC30E8CE}"/>
    <cellStyle name="Comma 4 5 2 3" xfId="1148" xr:uid="{00000000-0005-0000-0000-00002C0A0000}"/>
    <cellStyle name="Comma 4 5 2 3 2" xfId="3379" xr:uid="{00000000-0005-0000-0000-00002D0A0000}"/>
    <cellStyle name="Comma 4 5 2 3 2 2" xfId="7602" xr:uid="{00000000-0005-0000-0000-00002E0A0000}"/>
    <cellStyle name="Comma 4 5 2 3 2 2 2" xfId="24485" xr:uid="{BE2C0BED-2C0E-4933-8E5F-D338237FFCC2}"/>
    <cellStyle name="Comma 4 5 2 3 2 2 3" xfId="32931" xr:uid="{EA43CF3D-F749-44B9-AC42-79741A7DFC70}"/>
    <cellStyle name="Comma 4 5 2 3 2 2 4" xfId="16044" xr:uid="{CA55CFD6-33AC-4A54-BFE1-6C29ABB2CA2B}"/>
    <cellStyle name="Comma 4 5 2 3 2 3" xfId="20267" xr:uid="{2999E3DF-8D05-4829-92A4-91F8584B9597}"/>
    <cellStyle name="Comma 4 5 2 3 2 4" xfId="28714" xr:uid="{FBB1613E-A8F4-41B5-A704-BC9BCD4C4666}"/>
    <cellStyle name="Comma 4 5 2 3 2 5" xfId="11826" xr:uid="{6117FE83-75FC-4A49-8F17-E3D6253C34B2}"/>
    <cellStyle name="Comma 4 5 2 3 3" xfId="5457" xr:uid="{00000000-0005-0000-0000-00002F0A0000}"/>
    <cellStyle name="Comma 4 5 2 3 3 2" xfId="22340" xr:uid="{A3106A16-D975-4F48-BFFE-936AE8E043BE}"/>
    <cellStyle name="Comma 4 5 2 3 3 3" xfId="30786" xr:uid="{A50439C3-5F46-471F-984E-E2D59C4402DC}"/>
    <cellStyle name="Comma 4 5 2 3 3 4" xfId="13899" xr:uid="{55CEC609-B760-4AB1-8879-635B50D4CF56}"/>
    <cellStyle name="Comma 4 5 2 3 4" xfId="18122" xr:uid="{1F967B3C-A115-4782-9DA8-8DDECF96928A}"/>
    <cellStyle name="Comma 4 5 2 3 5" xfId="26567" xr:uid="{64C0AD4D-D90E-47E4-B85C-5F893000B514}"/>
    <cellStyle name="Comma 4 5 2 3 6" xfId="9681" xr:uid="{19E92924-9CC0-4924-9200-1FA048A33C8B}"/>
    <cellStyle name="Comma 4 5 2 4" xfId="1562" xr:uid="{00000000-0005-0000-0000-0000300A0000}"/>
    <cellStyle name="Comma 4 5 2 4 2" xfId="3792" xr:uid="{00000000-0005-0000-0000-0000310A0000}"/>
    <cellStyle name="Comma 4 5 2 4 2 2" xfId="8015" xr:uid="{00000000-0005-0000-0000-0000320A0000}"/>
    <cellStyle name="Comma 4 5 2 4 2 2 2" xfId="24898" xr:uid="{584E7A1B-F431-4469-9430-A75955F8BCBB}"/>
    <cellStyle name="Comma 4 5 2 4 2 2 3" xfId="33344" xr:uid="{BAED6229-EB01-444A-865E-212850D865C6}"/>
    <cellStyle name="Comma 4 5 2 4 2 2 4" xfId="16457" xr:uid="{1E196AB9-F5A1-463E-A49C-5DCE118983B9}"/>
    <cellStyle name="Comma 4 5 2 4 2 3" xfId="20680" xr:uid="{F9E533B5-9EF4-442D-96B3-80189A7F7B94}"/>
    <cellStyle name="Comma 4 5 2 4 2 4" xfId="29127" xr:uid="{23FD2811-78ED-4EB7-AEB7-705372067A3F}"/>
    <cellStyle name="Comma 4 5 2 4 2 5" xfId="12239" xr:uid="{90A4CAD7-0007-40F1-93DE-AF3082197DC8}"/>
    <cellStyle name="Comma 4 5 2 4 3" xfId="5870" xr:uid="{00000000-0005-0000-0000-0000330A0000}"/>
    <cellStyle name="Comma 4 5 2 4 3 2" xfId="22753" xr:uid="{84001730-4096-47F4-A9AB-137A0E27E112}"/>
    <cellStyle name="Comma 4 5 2 4 3 3" xfId="31199" xr:uid="{01757B6D-551A-4ED0-9725-114062E6347A}"/>
    <cellStyle name="Comma 4 5 2 4 3 4" xfId="14312" xr:uid="{27F60FD7-0217-4010-A465-85936E512C8F}"/>
    <cellStyle name="Comma 4 5 2 4 4" xfId="18535" xr:uid="{836CBEB5-1539-454F-ABD5-6032199880E0}"/>
    <cellStyle name="Comma 4 5 2 4 5" xfId="26980" xr:uid="{45CE43EC-EAD4-4EFD-8041-9ABB65ED7CB7}"/>
    <cellStyle name="Comma 4 5 2 4 6" xfId="10094" xr:uid="{2E6F3374-4F6F-4AE1-AAE4-9FB71E6649A9}"/>
    <cellStyle name="Comma 4 5 2 5" xfId="1976" xr:uid="{00000000-0005-0000-0000-0000340A0000}"/>
    <cellStyle name="Comma 4 5 2 5 2" xfId="4205" xr:uid="{00000000-0005-0000-0000-0000350A0000}"/>
    <cellStyle name="Comma 4 5 2 5 2 2" xfId="8428" xr:uid="{00000000-0005-0000-0000-0000360A0000}"/>
    <cellStyle name="Comma 4 5 2 5 2 2 2" xfId="25311" xr:uid="{712D01DE-3759-4634-B932-AD026267012B}"/>
    <cellStyle name="Comma 4 5 2 5 2 2 3" xfId="33757" xr:uid="{9302449A-89B3-4B50-9804-E95A131D0A85}"/>
    <cellStyle name="Comma 4 5 2 5 2 2 4" xfId="16870" xr:uid="{5EBE1769-02CC-452F-96D9-E750A808D774}"/>
    <cellStyle name="Comma 4 5 2 5 2 3" xfId="21093" xr:uid="{59B5F5B9-C440-48D6-B44F-F7F1C285A289}"/>
    <cellStyle name="Comma 4 5 2 5 2 4" xfId="29540" xr:uid="{07A5EE0C-47EF-42E6-A046-A5ED98CB474C}"/>
    <cellStyle name="Comma 4 5 2 5 2 5" xfId="12652" xr:uid="{4AE4AABD-140B-4558-A779-366278895FF6}"/>
    <cellStyle name="Comma 4 5 2 5 3" xfId="6283" xr:uid="{00000000-0005-0000-0000-0000370A0000}"/>
    <cellStyle name="Comma 4 5 2 5 3 2" xfId="23166" xr:uid="{3C6E0F4E-2378-4628-B27E-E36D0B8E94CB}"/>
    <cellStyle name="Comma 4 5 2 5 3 3" xfId="31612" xr:uid="{7DB2EAA5-815E-46BD-B817-E428F783BA30}"/>
    <cellStyle name="Comma 4 5 2 5 3 4" xfId="14725" xr:uid="{EA0A2046-2419-4A1E-BBFD-CEBA292AF9CC}"/>
    <cellStyle name="Comma 4 5 2 5 4" xfId="18948" xr:uid="{E913CA24-005A-498B-B934-5ADC4C66A188}"/>
    <cellStyle name="Comma 4 5 2 5 5" xfId="27393" xr:uid="{2691AD3E-6347-4110-8B58-05930EA52111}"/>
    <cellStyle name="Comma 4 5 2 5 6" xfId="10507" xr:uid="{08B02EC8-0A70-4FD9-BA92-5967FF54538D}"/>
    <cellStyle name="Comma 4 5 2 6" xfId="2411" xr:uid="{00000000-0005-0000-0000-0000380A0000}"/>
    <cellStyle name="Comma 4 5 2 6 2" xfId="6696" xr:uid="{00000000-0005-0000-0000-0000390A0000}"/>
    <cellStyle name="Comma 4 5 2 6 2 2" xfId="23579" xr:uid="{AC272A41-78AA-4AA0-B883-850CFDD29791}"/>
    <cellStyle name="Comma 4 5 2 6 2 3" xfId="32025" xr:uid="{6EE6A1DF-44EE-43EB-8623-54B08C465225}"/>
    <cellStyle name="Comma 4 5 2 6 2 4" xfId="15138" xr:uid="{DADF475A-C690-43E4-96C0-B97D62E5A056}"/>
    <cellStyle name="Comma 4 5 2 6 3" xfId="19361" xr:uid="{2FAE3C82-FE2C-4ADE-9C82-C8115A1D1765}"/>
    <cellStyle name="Comma 4 5 2 6 4" xfId="27806" xr:uid="{0023F83B-03D5-4AE1-845B-9C10D3026844}"/>
    <cellStyle name="Comma 4 5 2 6 5" xfId="10920" xr:uid="{CE7CC03F-E379-4DD3-BB35-CC18EF4D0A77}"/>
    <cellStyle name="Comma 4 5 2 7" xfId="2707" xr:uid="{00000000-0005-0000-0000-00003A0A0000}"/>
    <cellStyle name="Comma 4 5 2 8" xfId="2789" xr:uid="{00000000-0005-0000-0000-00003B0A0000}"/>
    <cellStyle name="Comma 4 5 2 8 2" xfId="7013" xr:uid="{00000000-0005-0000-0000-00003C0A0000}"/>
    <cellStyle name="Comma 4 5 2 8 2 2" xfId="23896" xr:uid="{819B5F99-3614-49D4-8B82-F8E24A158C8E}"/>
    <cellStyle name="Comma 4 5 2 8 2 3" xfId="32342" xr:uid="{6BAE0554-60D5-45F7-8668-B9CE6F8A8DCD}"/>
    <cellStyle name="Comma 4 5 2 8 2 4" xfId="15455" xr:uid="{12570095-E4E5-4B92-BA86-E46F448B0739}"/>
    <cellStyle name="Comma 4 5 2 8 3" xfId="19678" xr:uid="{538FF6CA-82B2-4075-811E-A11754C967CE}"/>
    <cellStyle name="Comma 4 5 2 8 4" xfId="28125" xr:uid="{2220C0BC-91A7-4BD6-BF7B-36FE35C045CC}"/>
    <cellStyle name="Comma 4 5 2 8 5" xfId="11237" xr:uid="{9BFF452B-9C6C-4042-A2AB-7327614210CD}"/>
    <cellStyle name="Comma 4 5 2 9" xfId="4630" xr:uid="{00000000-0005-0000-0000-00003D0A0000}"/>
    <cellStyle name="Comma 4 5 2 9 2" xfId="21513" xr:uid="{0CC9579B-D921-4940-AF6C-4EBA83BA59BE}"/>
    <cellStyle name="Comma 4 5 2 9 3" xfId="29959" xr:uid="{7D3DF8B1-EEEA-40BC-8CF2-988DD0238199}"/>
    <cellStyle name="Comma 4 5 2 9 4" xfId="13072" xr:uid="{A02F6610-4F6A-49FD-939B-F93420CEDC00}"/>
    <cellStyle name="Comma 4 5 3" xfId="694" xr:uid="{00000000-0005-0000-0000-00003E0A0000}"/>
    <cellStyle name="Comma 4 5 3 2" xfId="2965" xr:uid="{00000000-0005-0000-0000-00003F0A0000}"/>
    <cellStyle name="Comma 4 5 3 2 2" xfId="7188" xr:uid="{00000000-0005-0000-0000-0000400A0000}"/>
    <cellStyle name="Comma 4 5 3 2 2 2" xfId="24071" xr:uid="{E0901226-B7D1-42D1-80AA-551A4B2D1BD5}"/>
    <cellStyle name="Comma 4 5 3 2 2 3" xfId="32517" xr:uid="{DD382663-EFE6-4CD3-9AFF-D7012BEC621B}"/>
    <cellStyle name="Comma 4 5 3 2 2 4" xfId="15630" xr:uid="{AE985632-9134-414C-9084-34D88FF56F0D}"/>
    <cellStyle name="Comma 4 5 3 2 3" xfId="19853" xr:uid="{515FEDD4-C565-4E28-81BA-AD3EE4A972DA}"/>
    <cellStyle name="Comma 4 5 3 2 4" xfId="28300" xr:uid="{E57DAB2E-C8C1-4FA6-83B6-2A03098C2A8E}"/>
    <cellStyle name="Comma 4 5 3 2 5" xfId="11412" xr:uid="{0FCBD402-2FFA-424A-B385-2EB4D268F83E}"/>
    <cellStyle name="Comma 4 5 3 3" xfId="5043" xr:uid="{00000000-0005-0000-0000-0000410A0000}"/>
    <cellStyle name="Comma 4 5 3 3 2" xfId="21926" xr:uid="{EA3612BA-D335-493D-A708-5AB419169D4C}"/>
    <cellStyle name="Comma 4 5 3 3 3" xfId="30372" xr:uid="{6CE49F12-44D8-46AF-BC7E-B892172382C2}"/>
    <cellStyle name="Comma 4 5 3 3 4" xfId="13485" xr:uid="{FD138205-2AB6-44F7-AAD0-FFD58C3F4B7B}"/>
    <cellStyle name="Comma 4 5 3 4" xfId="17708" xr:uid="{902C158F-EF63-4915-AA6D-5CF5573FE378}"/>
    <cellStyle name="Comma 4 5 3 5" xfId="26153" xr:uid="{A193335A-8BD3-4137-B0E1-64929AD43EBC}"/>
    <cellStyle name="Comma 4 5 3 6" xfId="9267" xr:uid="{A47D4AD7-298A-4246-B794-D6F46BFFB712}"/>
    <cellStyle name="Comma 4 5 4" xfId="1147" xr:uid="{00000000-0005-0000-0000-0000420A0000}"/>
    <cellStyle name="Comma 4 5 4 2" xfId="3378" xr:uid="{00000000-0005-0000-0000-0000430A0000}"/>
    <cellStyle name="Comma 4 5 4 2 2" xfId="7601" xr:uid="{00000000-0005-0000-0000-0000440A0000}"/>
    <cellStyle name="Comma 4 5 4 2 2 2" xfId="24484" xr:uid="{6421787F-957B-455F-A204-AD8F2253EF97}"/>
    <cellStyle name="Comma 4 5 4 2 2 3" xfId="32930" xr:uid="{9209A3D0-E503-4D47-A0F9-1F86FEDE2EB1}"/>
    <cellStyle name="Comma 4 5 4 2 2 4" xfId="16043" xr:uid="{58494C05-FB62-4856-B1D7-19BEA2C1877B}"/>
    <cellStyle name="Comma 4 5 4 2 3" xfId="20266" xr:uid="{C01D2520-A8E4-423A-9C04-A5231D2A035F}"/>
    <cellStyle name="Comma 4 5 4 2 4" xfId="28713" xr:uid="{774D00F5-0482-4736-BC48-9BA68AF36154}"/>
    <cellStyle name="Comma 4 5 4 2 5" xfId="11825" xr:uid="{0CAB4CEE-6C99-4968-9676-5E6425524528}"/>
    <cellStyle name="Comma 4 5 4 3" xfId="5456" xr:uid="{00000000-0005-0000-0000-0000450A0000}"/>
    <cellStyle name="Comma 4 5 4 3 2" xfId="22339" xr:uid="{70453187-1F56-4E2C-95DB-9E5AA148E017}"/>
    <cellStyle name="Comma 4 5 4 3 3" xfId="30785" xr:uid="{DE09AAB6-1EB7-499C-90F2-273DB0B25651}"/>
    <cellStyle name="Comma 4 5 4 3 4" xfId="13898" xr:uid="{4E8BDFA7-7D82-4011-A704-C319EA7E855A}"/>
    <cellStyle name="Comma 4 5 4 4" xfId="18121" xr:uid="{55A3D3A6-D892-40ED-9C67-D584FCE8E41C}"/>
    <cellStyle name="Comma 4 5 4 5" xfId="26566" xr:uid="{A5AA7F5C-3936-4ADF-9614-319650D9CF7F}"/>
    <cellStyle name="Comma 4 5 4 6" xfId="9680" xr:uid="{B5581CF5-B2B7-49E0-A30D-61902BF655E7}"/>
    <cellStyle name="Comma 4 5 5" xfId="1561" xr:uid="{00000000-0005-0000-0000-0000460A0000}"/>
    <cellStyle name="Comma 4 5 5 2" xfId="3791" xr:uid="{00000000-0005-0000-0000-0000470A0000}"/>
    <cellStyle name="Comma 4 5 5 2 2" xfId="8014" xr:uid="{00000000-0005-0000-0000-0000480A0000}"/>
    <cellStyle name="Comma 4 5 5 2 2 2" xfId="24897" xr:uid="{D125B30C-EBE7-4363-85C2-AEFCE44C82BD}"/>
    <cellStyle name="Comma 4 5 5 2 2 3" xfId="33343" xr:uid="{5C57146B-2ED6-4FD6-B3B5-221EB293F39E}"/>
    <cellStyle name="Comma 4 5 5 2 2 4" xfId="16456" xr:uid="{6E528CF7-4557-45E9-94AB-64E7FFADED83}"/>
    <cellStyle name="Comma 4 5 5 2 3" xfId="20679" xr:uid="{2CC44F1C-27AB-4A35-8025-8F239A51C468}"/>
    <cellStyle name="Comma 4 5 5 2 4" xfId="29126" xr:uid="{FE12E06F-5C04-4C30-9FA8-1613D60A90AC}"/>
    <cellStyle name="Comma 4 5 5 2 5" xfId="12238" xr:uid="{21C7FC19-C640-4B45-BCF0-DA9EF2AF3986}"/>
    <cellStyle name="Comma 4 5 5 3" xfId="5869" xr:uid="{00000000-0005-0000-0000-0000490A0000}"/>
    <cellStyle name="Comma 4 5 5 3 2" xfId="22752" xr:uid="{3D4F1453-325A-41A9-A7F7-68A3222164F6}"/>
    <cellStyle name="Comma 4 5 5 3 3" xfId="31198" xr:uid="{95783701-F3E1-475F-AA66-6C50F155AE7F}"/>
    <cellStyle name="Comma 4 5 5 3 4" xfId="14311" xr:uid="{15893D7F-810A-437D-8FD6-A325D3CA914E}"/>
    <cellStyle name="Comma 4 5 5 4" xfId="18534" xr:uid="{92697146-5765-469F-9156-826D4FB4AE39}"/>
    <cellStyle name="Comma 4 5 5 5" xfId="26979" xr:uid="{777B1A88-FF12-4830-BE5E-E33B1998C636}"/>
    <cellStyle name="Comma 4 5 5 6" xfId="10093" xr:uid="{5CDBF546-8D1D-44B7-84D5-22086FA71531}"/>
    <cellStyle name="Comma 4 5 6" xfId="1975" xr:uid="{00000000-0005-0000-0000-00004A0A0000}"/>
    <cellStyle name="Comma 4 5 6 2" xfId="4204" xr:uid="{00000000-0005-0000-0000-00004B0A0000}"/>
    <cellStyle name="Comma 4 5 6 2 2" xfId="8427" xr:uid="{00000000-0005-0000-0000-00004C0A0000}"/>
    <cellStyle name="Comma 4 5 6 2 2 2" xfId="25310" xr:uid="{520FD6C0-491C-4E82-9873-3B5840DCF8D6}"/>
    <cellStyle name="Comma 4 5 6 2 2 3" xfId="33756" xr:uid="{AB262ADE-67E0-45E0-91CD-4DE2E523DF3B}"/>
    <cellStyle name="Comma 4 5 6 2 2 4" xfId="16869" xr:uid="{4CAFA16D-B814-4FF6-8DE7-8F31338F8D93}"/>
    <cellStyle name="Comma 4 5 6 2 3" xfId="21092" xr:uid="{F398AD09-CBB0-4CAF-A0A0-95F46BB68784}"/>
    <cellStyle name="Comma 4 5 6 2 4" xfId="29539" xr:uid="{5469D8C5-98C0-48AF-A4D9-B908B5BE6E9D}"/>
    <cellStyle name="Comma 4 5 6 2 5" xfId="12651" xr:uid="{68D808EF-AE75-4E89-A4D8-3DE122E57200}"/>
    <cellStyle name="Comma 4 5 6 3" xfId="6282" xr:uid="{00000000-0005-0000-0000-00004D0A0000}"/>
    <cellStyle name="Comma 4 5 6 3 2" xfId="23165" xr:uid="{8DCE36FC-E42B-45D6-AE25-F60AFB2EF868}"/>
    <cellStyle name="Comma 4 5 6 3 3" xfId="31611" xr:uid="{66CAD3FC-B474-493F-9E5D-A5A2039DD354}"/>
    <cellStyle name="Comma 4 5 6 3 4" xfId="14724" xr:uid="{E0B729F4-E390-4E25-8F9E-8C73DC16DFC4}"/>
    <cellStyle name="Comma 4 5 6 4" xfId="18947" xr:uid="{89006AAB-F335-465C-B136-5634BF970935}"/>
    <cellStyle name="Comma 4 5 6 5" xfId="27392" xr:uid="{990C8D95-0597-4565-8115-1D75D515C582}"/>
    <cellStyle name="Comma 4 5 6 6" xfId="10506" xr:uid="{12EBE3F7-527A-4C94-AA67-2B28743D6D76}"/>
    <cellStyle name="Comma 4 5 7" xfId="2410" xr:uid="{00000000-0005-0000-0000-00004E0A0000}"/>
    <cellStyle name="Comma 4 5 7 2" xfId="6695" xr:uid="{00000000-0005-0000-0000-00004F0A0000}"/>
    <cellStyle name="Comma 4 5 7 2 2" xfId="23578" xr:uid="{EBB2917B-9304-46DD-AA33-7D30A2FAD82E}"/>
    <cellStyle name="Comma 4 5 7 2 3" xfId="32024" xr:uid="{9AE86D13-EB22-4093-84AF-74B6927B282A}"/>
    <cellStyle name="Comma 4 5 7 2 4" xfId="15137" xr:uid="{68F5CE9E-D391-4F5A-9254-B4124D58A3A4}"/>
    <cellStyle name="Comma 4 5 7 3" xfId="19360" xr:uid="{254755AD-EDEE-441E-ACB4-702E99C1A04D}"/>
    <cellStyle name="Comma 4 5 7 4" xfId="27805" xr:uid="{26E200EE-A007-4E44-9893-B1C137484639}"/>
    <cellStyle name="Comma 4 5 7 5" xfId="10919" xr:uid="{F5830453-18C2-4144-B368-79DDA29D6946}"/>
    <cellStyle name="Comma 4 5 8" xfId="2706" xr:uid="{00000000-0005-0000-0000-0000500A0000}"/>
    <cellStyle name="Comma 4 5 9" xfId="2788" xr:uid="{00000000-0005-0000-0000-0000510A0000}"/>
    <cellStyle name="Comma 4 5 9 2" xfId="7012" xr:uid="{00000000-0005-0000-0000-0000520A0000}"/>
    <cellStyle name="Comma 4 5 9 2 2" xfId="23895" xr:uid="{CBFB9114-DE20-485F-B546-70E12CE6E367}"/>
    <cellStyle name="Comma 4 5 9 2 3" xfId="32341" xr:uid="{97FB2677-7342-416C-BB11-8518F95FFE4B}"/>
    <cellStyle name="Comma 4 5 9 2 4" xfId="15454" xr:uid="{41697AFA-C0DA-46AB-9D12-0D68F542765B}"/>
    <cellStyle name="Comma 4 5 9 3" xfId="19677" xr:uid="{9FF9B3E5-DBF8-4B8B-AFE5-9B4598E47AA0}"/>
    <cellStyle name="Comma 4 5 9 4" xfId="28124" xr:uid="{671489A5-D67F-47F5-8AC7-A6590878AC61}"/>
    <cellStyle name="Comma 4 5 9 5" xfId="11236" xr:uid="{37A1A640-47F4-4F07-BCCF-6527DED0A6AE}"/>
    <cellStyle name="Comma 4 6" xfId="159" xr:uid="{00000000-0005-0000-0000-0000530A0000}"/>
    <cellStyle name="Comma 4 6 10" xfId="17296" xr:uid="{69998AAA-5223-4F65-9324-71988E711E02}"/>
    <cellStyle name="Comma 4 6 11" xfId="25739" xr:uid="{7D32BFB3-8BE1-41E8-9490-E4798D0C6585}"/>
    <cellStyle name="Comma 4 6 12" xfId="8855" xr:uid="{1C1F93DA-FE65-457F-B102-876BDFC6CF58}"/>
    <cellStyle name="Comma 4 6 2" xfId="696" xr:uid="{00000000-0005-0000-0000-0000540A0000}"/>
    <cellStyle name="Comma 4 6 2 2" xfId="2967" xr:uid="{00000000-0005-0000-0000-0000550A0000}"/>
    <cellStyle name="Comma 4 6 2 2 2" xfId="7190" xr:uid="{00000000-0005-0000-0000-0000560A0000}"/>
    <cellStyle name="Comma 4 6 2 2 2 2" xfId="24073" xr:uid="{83D97C40-5BD9-41A4-B3E1-FA6EDC80AE3A}"/>
    <cellStyle name="Comma 4 6 2 2 2 3" xfId="32519" xr:uid="{76784D32-88B8-49BF-A276-4FD917E48BA3}"/>
    <cellStyle name="Comma 4 6 2 2 2 4" xfId="15632" xr:uid="{F982B131-CEA9-4C28-B255-46A63389F5F1}"/>
    <cellStyle name="Comma 4 6 2 2 3" xfId="19855" xr:uid="{95C9C898-6156-465E-8ACD-BCA23B4304F9}"/>
    <cellStyle name="Comma 4 6 2 2 4" xfId="28302" xr:uid="{DD6F0A08-AFBD-4F36-94FD-CF199389CA80}"/>
    <cellStyle name="Comma 4 6 2 2 5" xfId="11414" xr:uid="{20A87851-9EDF-427C-BC53-4987B892ADB7}"/>
    <cellStyle name="Comma 4 6 2 3" xfId="5045" xr:uid="{00000000-0005-0000-0000-0000570A0000}"/>
    <cellStyle name="Comma 4 6 2 3 2" xfId="21928" xr:uid="{C45609C6-6F82-48B4-93A8-D987853775FF}"/>
    <cellStyle name="Comma 4 6 2 3 3" xfId="30374" xr:uid="{74AB9F20-CD64-4CA9-A973-63BD23B44321}"/>
    <cellStyle name="Comma 4 6 2 3 4" xfId="13487" xr:uid="{058B7935-8669-40DB-9659-A99149352E53}"/>
    <cellStyle name="Comma 4 6 2 4" xfId="17710" xr:uid="{B4B7B546-F0A5-4FDA-90E6-D2E6F05CC8B4}"/>
    <cellStyle name="Comma 4 6 2 5" xfId="26155" xr:uid="{304A48C2-E165-4333-8F29-CF998C6B1194}"/>
    <cellStyle name="Comma 4 6 2 6" xfId="9269" xr:uid="{62767F91-C0DD-40C9-A19F-BD0967E617DD}"/>
    <cellStyle name="Comma 4 6 3" xfId="1149" xr:uid="{00000000-0005-0000-0000-0000580A0000}"/>
    <cellStyle name="Comma 4 6 3 2" xfId="3380" xr:uid="{00000000-0005-0000-0000-0000590A0000}"/>
    <cellStyle name="Comma 4 6 3 2 2" xfId="7603" xr:uid="{00000000-0005-0000-0000-00005A0A0000}"/>
    <cellStyle name="Comma 4 6 3 2 2 2" xfId="24486" xr:uid="{2CD84E1C-DF94-449D-AAE6-2ED326771A08}"/>
    <cellStyle name="Comma 4 6 3 2 2 3" xfId="32932" xr:uid="{62672AC5-F03B-4516-82B9-FAC299F1EA20}"/>
    <cellStyle name="Comma 4 6 3 2 2 4" xfId="16045" xr:uid="{4CB9D011-AD0F-4E50-9E4A-DDA63E25B721}"/>
    <cellStyle name="Comma 4 6 3 2 3" xfId="20268" xr:uid="{D1A9CCE5-31AA-4D93-B3D5-4338D0F98F81}"/>
    <cellStyle name="Comma 4 6 3 2 4" xfId="28715" xr:uid="{335C1535-AEF7-4ED6-8B41-524ED0CBB4F3}"/>
    <cellStyle name="Comma 4 6 3 2 5" xfId="11827" xr:uid="{3F8DA0A8-0879-4DE3-A815-9A803592CC81}"/>
    <cellStyle name="Comma 4 6 3 3" xfId="5458" xr:uid="{00000000-0005-0000-0000-00005B0A0000}"/>
    <cellStyle name="Comma 4 6 3 3 2" xfId="22341" xr:uid="{432F8167-CDF1-4A5B-96AF-F971AF0AC707}"/>
    <cellStyle name="Comma 4 6 3 3 3" xfId="30787" xr:uid="{7FB5FB5A-106B-497A-84D8-A698C55852F5}"/>
    <cellStyle name="Comma 4 6 3 3 4" xfId="13900" xr:uid="{6981EDDD-D00B-4FDF-89C5-1F1ACD067733}"/>
    <cellStyle name="Comma 4 6 3 4" xfId="18123" xr:uid="{EAB6FBDE-AD96-436F-B5B5-EE6C723BE2B7}"/>
    <cellStyle name="Comma 4 6 3 5" xfId="26568" xr:uid="{18765414-36DD-4D12-B79B-8FB67A3B03E1}"/>
    <cellStyle name="Comma 4 6 3 6" xfId="9682" xr:uid="{ED3AE36C-2B09-4410-8AD9-33D9FC0F287C}"/>
    <cellStyle name="Comma 4 6 4" xfId="1563" xr:uid="{00000000-0005-0000-0000-00005C0A0000}"/>
    <cellStyle name="Comma 4 6 4 2" xfId="3793" xr:uid="{00000000-0005-0000-0000-00005D0A0000}"/>
    <cellStyle name="Comma 4 6 4 2 2" xfId="8016" xr:uid="{00000000-0005-0000-0000-00005E0A0000}"/>
    <cellStyle name="Comma 4 6 4 2 2 2" xfId="24899" xr:uid="{013368E5-31AC-41F7-9E5E-EC8E7031A2E1}"/>
    <cellStyle name="Comma 4 6 4 2 2 3" xfId="33345" xr:uid="{B872D6CD-277D-45A3-A643-D3098C524A15}"/>
    <cellStyle name="Comma 4 6 4 2 2 4" xfId="16458" xr:uid="{201E3A07-8487-4E60-A0FE-1689EDADB2E1}"/>
    <cellStyle name="Comma 4 6 4 2 3" xfId="20681" xr:uid="{8D72C629-1AC9-4E0D-977E-F9D7907F5F2C}"/>
    <cellStyle name="Comma 4 6 4 2 4" xfId="29128" xr:uid="{D2B2529C-51D2-4FFA-AB11-56764DE6E81F}"/>
    <cellStyle name="Comma 4 6 4 2 5" xfId="12240" xr:uid="{DC567FDD-CFBC-472E-839F-FB01AC68D752}"/>
    <cellStyle name="Comma 4 6 4 3" xfId="5871" xr:uid="{00000000-0005-0000-0000-00005F0A0000}"/>
    <cellStyle name="Comma 4 6 4 3 2" xfId="22754" xr:uid="{2788F653-1838-4E59-AF72-29AE47D05623}"/>
    <cellStyle name="Comma 4 6 4 3 3" xfId="31200" xr:uid="{6B24BD12-3127-40BE-B9F7-2AF677ABDA5C}"/>
    <cellStyle name="Comma 4 6 4 3 4" xfId="14313" xr:uid="{0FEC9BE4-E3FA-4A68-B9F9-F37B6EE59B2A}"/>
    <cellStyle name="Comma 4 6 4 4" xfId="18536" xr:uid="{BAA03ABD-5F63-43B3-A800-7E066F3F7C03}"/>
    <cellStyle name="Comma 4 6 4 5" xfId="26981" xr:uid="{CD06E753-885A-4103-8974-0712B1041EE2}"/>
    <cellStyle name="Comma 4 6 4 6" xfId="10095" xr:uid="{E9AF59F0-48C5-447F-8D3E-43A5ABC4BEB0}"/>
    <cellStyle name="Comma 4 6 5" xfId="1977" xr:uid="{00000000-0005-0000-0000-0000600A0000}"/>
    <cellStyle name="Comma 4 6 5 2" xfId="4206" xr:uid="{00000000-0005-0000-0000-0000610A0000}"/>
    <cellStyle name="Comma 4 6 5 2 2" xfId="8429" xr:uid="{00000000-0005-0000-0000-0000620A0000}"/>
    <cellStyle name="Comma 4 6 5 2 2 2" xfId="25312" xr:uid="{D91F6219-4491-494E-B663-216EF052EEE5}"/>
    <cellStyle name="Comma 4 6 5 2 2 3" xfId="33758" xr:uid="{3043275D-2D9F-42FB-8AE5-FC30D79FBA42}"/>
    <cellStyle name="Comma 4 6 5 2 2 4" xfId="16871" xr:uid="{440D0560-2967-4487-9C4B-0A30D0A876EA}"/>
    <cellStyle name="Comma 4 6 5 2 3" xfId="21094" xr:uid="{76B97938-A7FC-447A-A3E3-D5188DFCD272}"/>
    <cellStyle name="Comma 4 6 5 2 4" xfId="29541" xr:uid="{2D01F37C-0E81-4778-9B77-0B01FA942AEA}"/>
    <cellStyle name="Comma 4 6 5 2 5" xfId="12653" xr:uid="{B10D2CFC-F118-4A4A-AA26-91CA16AD09E8}"/>
    <cellStyle name="Comma 4 6 5 3" xfId="6284" xr:uid="{00000000-0005-0000-0000-0000630A0000}"/>
    <cellStyle name="Comma 4 6 5 3 2" xfId="23167" xr:uid="{B4B552CE-E7F0-4F4C-8854-D47B2377C015}"/>
    <cellStyle name="Comma 4 6 5 3 3" xfId="31613" xr:uid="{1E860759-C5D2-4501-92B3-210CEB87E8DC}"/>
    <cellStyle name="Comma 4 6 5 3 4" xfId="14726" xr:uid="{10F99187-C21C-4A97-A477-14273F51CA19}"/>
    <cellStyle name="Comma 4 6 5 4" xfId="18949" xr:uid="{AB70E486-1083-4C1A-A8E6-24B482CCA432}"/>
    <cellStyle name="Comma 4 6 5 5" xfId="27394" xr:uid="{0B948126-00C2-43E5-AFBC-1394C9306A74}"/>
    <cellStyle name="Comma 4 6 5 6" xfId="10508" xr:uid="{78219F26-24B1-4420-BF07-35DD9BE89338}"/>
    <cellStyle name="Comma 4 6 6" xfId="2412" xr:uid="{00000000-0005-0000-0000-0000640A0000}"/>
    <cellStyle name="Comma 4 6 6 2" xfId="6697" xr:uid="{00000000-0005-0000-0000-0000650A0000}"/>
    <cellStyle name="Comma 4 6 6 2 2" xfId="23580" xr:uid="{FE8C5F6E-EF5D-4E97-ACCE-6E0B00298DCA}"/>
    <cellStyle name="Comma 4 6 6 2 3" xfId="32026" xr:uid="{AA1780FB-DE68-4135-8218-A6FDD75F3E13}"/>
    <cellStyle name="Comma 4 6 6 2 4" xfId="15139" xr:uid="{ABAB6091-932A-400B-956A-A81998C915B6}"/>
    <cellStyle name="Comma 4 6 6 3" xfId="19362" xr:uid="{D88EC373-25A8-4D96-BB9F-9DE0FBB8E6BF}"/>
    <cellStyle name="Comma 4 6 6 4" xfId="27807" xr:uid="{2C60F81F-CFBF-465F-BAB9-2E4F6765DEB4}"/>
    <cellStyle name="Comma 4 6 6 5" xfId="10921" xr:uid="{C0020ACA-BA2C-47C1-A8DE-9FFF6B1F9D3C}"/>
    <cellStyle name="Comma 4 6 7" xfId="2708" xr:uid="{00000000-0005-0000-0000-0000660A0000}"/>
    <cellStyle name="Comma 4 6 8" xfId="2790" xr:uid="{00000000-0005-0000-0000-0000670A0000}"/>
    <cellStyle name="Comma 4 6 8 2" xfId="7014" xr:uid="{00000000-0005-0000-0000-0000680A0000}"/>
    <cellStyle name="Comma 4 6 8 2 2" xfId="23897" xr:uid="{C72BA624-8DE4-4A30-B97B-15C3CE280303}"/>
    <cellStyle name="Comma 4 6 8 2 3" xfId="32343" xr:uid="{BCB12224-AD6A-45C2-919D-C81CE6CEF3DA}"/>
    <cellStyle name="Comma 4 6 8 2 4" xfId="15456" xr:uid="{3A79F4B1-C769-4A8A-92F7-56F6E382B472}"/>
    <cellStyle name="Comma 4 6 8 3" xfId="19679" xr:uid="{347DEEFF-7616-418B-B23C-0A1B959EE4F4}"/>
    <cellStyle name="Comma 4 6 8 4" xfId="28126" xr:uid="{1670C66E-B5F9-4979-8CB1-049BC74112DB}"/>
    <cellStyle name="Comma 4 6 8 5" xfId="11238" xr:uid="{339CF042-CAE8-44EC-A71B-BA4D5316A618}"/>
    <cellStyle name="Comma 4 6 9" xfId="4631" xr:uid="{00000000-0005-0000-0000-0000690A0000}"/>
    <cellStyle name="Comma 4 6 9 2" xfId="21514" xr:uid="{E2DF3A4C-A33B-4938-82E3-F40617364E7B}"/>
    <cellStyle name="Comma 4 6 9 3" xfId="29960" xr:uid="{B0DA818E-1184-4295-BD04-0DD9359F14E1}"/>
    <cellStyle name="Comma 4 6 9 4" xfId="13073" xr:uid="{5FFB35D5-1256-4532-933A-7BD97F00E578}"/>
    <cellStyle name="Comma 4 7" xfId="160" xr:uid="{00000000-0005-0000-0000-00006A0A0000}"/>
    <cellStyle name="Comma 4 7 10" xfId="17297" xr:uid="{D9A64AE2-25CD-44CF-AF61-E01CF18AAB8D}"/>
    <cellStyle name="Comma 4 7 11" xfId="25740" xr:uid="{0BD7CCDE-7E06-4B03-B95D-EFBA287AF78B}"/>
    <cellStyle name="Comma 4 7 12" xfId="8856" xr:uid="{2E4A1389-B933-4175-A0C8-8E09FFD760B9}"/>
    <cellStyle name="Comma 4 7 2" xfId="697" xr:uid="{00000000-0005-0000-0000-00006B0A0000}"/>
    <cellStyle name="Comma 4 7 2 2" xfId="2968" xr:uid="{00000000-0005-0000-0000-00006C0A0000}"/>
    <cellStyle name="Comma 4 7 2 2 2" xfId="7191" xr:uid="{00000000-0005-0000-0000-00006D0A0000}"/>
    <cellStyle name="Comma 4 7 2 2 2 2" xfId="24074" xr:uid="{BAC846BD-B46D-4AD6-BA3E-78813BE6BEC6}"/>
    <cellStyle name="Comma 4 7 2 2 2 3" xfId="32520" xr:uid="{E24CD309-F668-4B49-9C46-710ECD343577}"/>
    <cellStyle name="Comma 4 7 2 2 2 4" xfId="15633" xr:uid="{F7D9E9B8-4186-4421-8A3C-83B9514DC525}"/>
    <cellStyle name="Comma 4 7 2 2 3" xfId="19856" xr:uid="{CD15BCDA-9053-4F33-8EB3-6B98EC78F60D}"/>
    <cellStyle name="Comma 4 7 2 2 4" xfId="28303" xr:uid="{0BB87341-BB4A-4377-9923-E796EBA7670A}"/>
    <cellStyle name="Comma 4 7 2 2 5" xfId="11415" xr:uid="{A4E4514F-C6CB-4A7F-B2D3-C3C7CF16F169}"/>
    <cellStyle name="Comma 4 7 2 3" xfId="5046" xr:uid="{00000000-0005-0000-0000-00006E0A0000}"/>
    <cellStyle name="Comma 4 7 2 3 2" xfId="21929" xr:uid="{DB16EF13-D518-4D1D-8D5A-D0C4B895F2AA}"/>
    <cellStyle name="Comma 4 7 2 3 3" xfId="30375" xr:uid="{7577C054-0233-4A13-A8DC-E13805029182}"/>
    <cellStyle name="Comma 4 7 2 3 4" xfId="13488" xr:uid="{F79A7BF2-1964-4686-A49F-1282204ABBF5}"/>
    <cellStyle name="Comma 4 7 2 4" xfId="17711" xr:uid="{F65D2E46-178F-49C0-B2F4-29D30083D08F}"/>
    <cellStyle name="Comma 4 7 2 5" xfId="26156" xr:uid="{C6B3F999-3614-4FC7-B2EF-3839218C450E}"/>
    <cellStyle name="Comma 4 7 2 6" xfId="9270" xr:uid="{C2311C91-055B-41C0-86EB-81EDBC247C2A}"/>
    <cellStyle name="Comma 4 7 3" xfId="1150" xr:uid="{00000000-0005-0000-0000-00006F0A0000}"/>
    <cellStyle name="Comma 4 7 3 2" xfId="3381" xr:uid="{00000000-0005-0000-0000-0000700A0000}"/>
    <cellStyle name="Comma 4 7 3 2 2" xfId="7604" xr:uid="{00000000-0005-0000-0000-0000710A0000}"/>
    <cellStyle name="Comma 4 7 3 2 2 2" xfId="24487" xr:uid="{3EBDE20E-8EEA-41E1-8DB9-82F9B20AF2CF}"/>
    <cellStyle name="Comma 4 7 3 2 2 3" xfId="32933" xr:uid="{6F097DB9-5034-4D4A-B313-18C16DE14E86}"/>
    <cellStyle name="Comma 4 7 3 2 2 4" xfId="16046" xr:uid="{BB8757AF-FC1B-414A-8564-690CBBCF92D7}"/>
    <cellStyle name="Comma 4 7 3 2 3" xfId="20269" xr:uid="{0D49B7FD-181F-49AE-9522-621A013E73E1}"/>
    <cellStyle name="Comma 4 7 3 2 4" xfId="28716" xr:uid="{665B776D-8B5F-4A20-855F-9EA0D9034707}"/>
    <cellStyle name="Comma 4 7 3 2 5" xfId="11828" xr:uid="{52BDD299-CE06-499D-8776-DB9D6718A4E4}"/>
    <cellStyle name="Comma 4 7 3 3" xfId="5459" xr:uid="{00000000-0005-0000-0000-0000720A0000}"/>
    <cellStyle name="Comma 4 7 3 3 2" xfId="22342" xr:uid="{81DF3E29-8999-4E87-9B67-C361D4492FBB}"/>
    <cellStyle name="Comma 4 7 3 3 3" xfId="30788" xr:uid="{E618DB35-FE90-4A33-8179-953C082B76EE}"/>
    <cellStyle name="Comma 4 7 3 3 4" xfId="13901" xr:uid="{F200BA6C-23F9-4560-875F-507563A08548}"/>
    <cellStyle name="Comma 4 7 3 4" xfId="18124" xr:uid="{80B5B150-207C-4512-8D8D-A23F4F49DEC9}"/>
    <cellStyle name="Comma 4 7 3 5" xfId="26569" xr:uid="{E5A81836-5489-4A8D-A0E3-06CA831F773C}"/>
    <cellStyle name="Comma 4 7 3 6" xfId="9683" xr:uid="{78B84CA4-5A7D-43C0-ADC2-747809892F33}"/>
    <cellStyle name="Comma 4 7 4" xfId="1564" xr:uid="{00000000-0005-0000-0000-0000730A0000}"/>
    <cellStyle name="Comma 4 7 4 2" xfId="3794" xr:uid="{00000000-0005-0000-0000-0000740A0000}"/>
    <cellStyle name="Comma 4 7 4 2 2" xfId="8017" xr:uid="{00000000-0005-0000-0000-0000750A0000}"/>
    <cellStyle name="Comma 4 7 4 2 2 2" xfId="24900" xr:uid="{2D23CA1A-667A-48A5-9709-CEE36FDDF8EA}"/>
    <cellStyle name="Comma 4 7 4 2 2 3" xfId="33346" xr:uid="{0FADB9BE-97B5-46CD-ACE2-DA6FC1532A36}"/>
    <cellStyle name="Comma 4 7 4 2 2 4" xfId="16459" xr:uid="{AB3D1EEE-4F5C-4E60-9459-B12FF4482908}"/>
    <cellStyle name="Comma 4 7 4 2 3" xfId="20682" xr:uid="{F7E5288B-0EB5-418A-BB65-2C5F18A78408}"/>
    <cellStyle name="Comma 4 7 4 2 4" xfId="29129" xr:uid="{8BEBE676-7F6D-49FA-A9F2-349D86776D84}"/>
    <cellStyle name="Comma 4 7 4 2 5" xfId="12241" xr:uid="{6A37DB6D-7DE0-4A56-9635-D489AACB67E9}"/>
    <cellStyle name="Comma 4 7 4 3" xfId="5872" xr:uid="{00000000-0005-0000-0000-0000760A0000}"/>
    <cellStyle name="Comma 4 7 4 3 2" xfId="22755" xr:uid="{4EDBBE25-DE58-4660-B8E0-67D0D52E98EC}"/>
    <cellStyle name="Comma 4 7 4 3 3" xfId="31201" xr:uid="{DCA2363E-F8F3-489A-9AE2-76A9384A3CA9}"/>
    <cellStyle name="Comma 4 7 4 3 4" xfId="14314" xr:uid="{6B2770BB-5945-40CC-B4FF-D6A9E84A3438}"/>
    <cellStyle name="Comma 4 7 4 4" xfId="18537" xr:uid="{69EE72F8-C7C6-497F-8B36-F2A6F40405AB}"/>
    <cellStyle name="Comma 4 7 4 5" xfId="26982" xr:uid="{CE1697DD-7F73-4D75-B0A0-F4D28C480388}"/>
    <cellStyle name="Comma 4 7 4 6" xfId="10096" xr:uid="{417BFCE8-091F-4B33-B820-91B6F786B071}"/>
    <cellStyle name="Comma 4 7 5" xfId="1978" xr:uid="{00000000-0005-0000-0000-0000770A0000}"/>
    <cellStyle name="Comma 4 7 5 2" xfId="4207" xr:uid="{00000000-0005-0000-0000-0000780A0000}"/>
    <cellStyle name="Comma 4 7 5 2 2" xfId="8430" xr:uid="{00000000-0005-0000-0000-0000790A0000}"/>
    <cellStyle name="Comma 4 7 5 2 2 2" xfId="25313" xr:uid="{D9CAA990-5198-4CBE-BF62-1369D495B13C}"/>
    <cellStyle name="Comma 4 7 5 2 2 3" xfId="33759" xr:uid="{18CB4467-4736-4D59-BF4C-1CE3AF3B6425}"/>
    <cellStyle name="Comma 4 7 5 2 2 4" xfId="16872" xr:uid="{608453A2-AD98-4CC3-995B-607194C82426}"/>
    <cellStyle name="Comma 4 7 5 2 3" xfId="21095" xr:uid="{733D40DF-8D1C-4949-B06C-0EF45DD8E3EE}"/>
    <cellStyle name="Comma 4 7 5 2 4" xfId="29542" xr:uid="{D1D22FA8-952D-4BAF-92AC-75B35B75AB7A}"/>
    <cellStyle name="Comma 4 7 5 2 5" xfId="12654" xr:uid="{ECE1770D-8DC7-4222-960C-C36F89BEB9A2}"/>
    <cellStyle name="Comma 4 7 5 3" xfId="6285" xr:uid="{00000000-0005-0000-0000-00007A0A0000}"/>
    <cellStyle name="Comma 4 7 5 3 2" xfId="23168" xr:uid="{2A2CDE24-6536-4F7F-BA36-B5C318748B44}"/>
    <cellStyle name="Comma 4 7 5 3 3" xfId="31614" xr:uid="{3A5B9051-D3ED-4AEE-97B2-79ED48D8E941}"/>
    <cellStyle name="Comma 4 7 5 3 4" xfId="14727" xr:uid="{E6C67EFE-9BE2-4115-B1F2-6E2C2D1FDB3A}"/>
    <cellStyle name="Comma 4 7 5 4" xfId="18950" xr:uid="{F25BE19C-BD6F-43E0-9F45-40A371C8BC6B}"/>
    <cellStyle name="Comma 4 7 5 5" xfId="27395" xr:uid="{6A2A04CD-E814-460E-94A7-C563101D6DDE}"/>
    <cellStyle name="Comma 4 7 5 6" xfId="10509" xr:uid="{AB99E7B2-729E-43C8-A42C-FC883D5C457A}"/>
    <cellStyle name="Comma 4 7 6" xfId="2413" xr:uid="{00000000-0005-0000-0000-00007B0A0000}"/>
    <cellStyle name="Comma 4 7 6 2" xfId="6698" xr:uid="{00000000-0005-0000-0000-00007C0A0000}"/>
    <cellStyle name="Comma 4 7 6 2 2" xfId="23581" xr:uid="{B714D025-AD54-4440-AEDE-D0EF7A47ABE0}"/>
    <cellStyle name="Comma 4 7 6 2 3" xfId="32027" xr:uid="{ACEDABEB-75B1-4AE8-AAE4-ED35DB8939E4}"/>
    <cellStyle name="Comma 4 7 6 2 4" xfId="15140" xr:uid="{E2BC005B-66D4-490B-9190-5616D6A71D63}"/>
    <cellStyle name="Comma 4 7 6 3" xfId="19363" xr:uid="{4DEEF242-9D0E-4A93-9E29-1EBF5F25FD3F}"/>
    <cellStyle name="Comma 4 7 6 4" xfId="27808" xr:uid="{27958815-B463-476F-A93C-2443DA74F986}"/>
    <cellStyle name="Comma 4 7 6 5" xfId="10922" xr:uid="{5ADF6EC5-28EB-486D-B246-ECC1978D09B6}"/>
    <cellStyle name="Comma 4 7 7" xfId="2709" xr:uid="{00000000-0005-0000-0000-00007D0A0000}"/>
    <cellStyle name="Comma 4 7 8" xfId="2791" xr:uid="{00000000-0005-0000-0000-00007E0A0000}"/>
    <cellStyle name="Comma 4 7 8 2" xfId="7015" xr:uid="{00000000-0005-0000-0000-00007F0A0000}"/>
    <cellStyle name="Comma 4 7 8 2 2" xfId="23898" xr:uid="{5A6899B2-E41A-4870-AA2F-D01068FABB07}"/>
    <cellStyle name="Comma 4 7 8 2 3" xfId="32344" xr:uid="{110F0EB1-7FE9-4D19-AA8B-A4E9097F535F}"/>
    <cellStyle name="Comma 4 7 8 2 4" xfId="15457" xr:uid="{B609FB36-C7E7-4D2E-86B4-74A95F263B45}"/>
    <cellStyle name="Comma 4 7 8 3" xfId="19680" xr:uid="{21F62365-C69F-4855-9B42-6FDB9F398457}"/>
    <cellStyle name="Comma 4 7 8 4" xfId="28127" xr:uid="{B47AC7D0-5F34-4E75-B06F-E288D5E5800A}"/>
    <cellStyle name="Comma 4 7 8 5" xfId="11239" xr:uid="{6E6DC5D5-EB25-4414-8603-C3DCBC477C38}"/>
    <cellStyle name="Comma 4 7 9" xfId="4632" xr:uid="{00000000-0005-0000-0000-0000800A0000}"/>
    <cellStyle name="Comma 4 7 9 2" xfId="21515" xr:uid="{C36C7CA2-3CEA-4501-A493-A03E09211AF0}"/>
    <cellStyle name="Comma 4 7 9 3" xfId="29961" xr:uid="{25B53480-E91C-447D-9731-9158D2DF573E}"/>
    <cellStyle name="Comma 4 7 9 4" xfId="13074" xr:uid="{6C18719A-0477-444E-8411-4177300548B3}"/>
    <cellStyle name="Comma 4 8" xfId="34129" xr:uid="{7ACCBF99-01FE-4141-B801-C92BB3E554F0}"/>
    <cellStyle name="Comma 5" xfId="161" xr:uid="{00000000-0005-0000-0000-0000810A0000}"/>
    <cellStyle name="Comma 5 2" xfId="162" xr:uid="{00000000-0005-0000-0000-0000820A0000}"/>
    <cellStyle name="Comma 5 2 2" xfId="698" xr:uid="{00000000-0005-0000-0000-0000830A0000}"/>
    <cellStyle name="Comma 5 3" xfId="34140" xr:uid="{12F2ADC7-D9B9-4094-B1BA-3A8A306EE2FA}"/>
    <cellStyle name="Comma 6" xfId="163" xr:uid="{00000000-0005-0000-0000-0000840A0000}"/>
    <cellStyle name="Comma 6 2" xfId="34210" xr:uid="{9BA7125B-1940-4FF0-A8C9-12A8AFF6D680}"/>
    <cellStyle name="Comma 7" xfId="4498" xr:uid="{00000000-0005-0000-0000-0000850A0000}"/>
    <cellStyle name="Comma 7 2" xfId="21383" xr:uid="{B61A867F-0E5B-45CF-BD5D-191E32FB23DB}"/>
    <cellStyle name="Comma 7 2 2" xfId="34136" xr:uid="{E427B6A4-CFBD-44F5-9822-D8760300E57F}"/>
    <cellStyle name="Comma 7 3" xfId="29829" xr:uid="{97C14D71-8603-45C9-B415-AB7FA28890B3}"/>
    <cellStyle name="Comma 7 4" xfId="34181" xr:uid="{2DDC61A7-EF32-453F-B40A-CA9B233606D6}"/>
    <cellStyle name="Comma 7 5" xfId="12942" xr:uid="{E287AB8E-1238-4BAA-94BF-DCC652B4A708}"/>
    <cellStyle name="Comma 8" xfId="34071" xr:uid="{68613839-5BB4-40CD-8034-4EC836F9F812}"/>
    <cellStyle name="Comma 9" xfId="34166" xr:uid="{4C4482A7-710A-4791-9C25-7B4C5D35FD59}"/>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25600" xr:uid="{F1382515-9C44-4DF9-B454-8DDA272BA626}"/>
    <cellStyle name="Currency 14 2 3" xfId="34046" xr:uid="{06F437C8-89C5-4C32-9F19-D8C3F8F34D59}"/>
    <cellStyle name="Currency 14 2 4" xfId="17159" xr:uid="{18E97ED3-B1E3-4477-9B91-345352B0BAE6}"/>
    <cellStyle name="Currency 14 3" xfId="8720" xr:uid="{729B09A7-2394-4D7C-912C-1471FB3455A3}"/>
    <cellStyle name="Currency 14 3 2" xfId="8724" xr:uid="{1945FB0F-31EC-4D98-B64C-BAFBADA341A1}"/>
    <cellStyle name="Currency 14 3 2 2" xfId="8727" xr:uid="{03BA8DEE-11D2-406B-B26D-8EE163916FB0}"/>
    <cellStyle name="Currency 14 3 2 2 2" xfId="25609" xr:uid="{5F44915F-0754-4753-BD03-80A21DD1AC95}"/>
    <cellStyle name="Currency 14 3 2 2 3" xfId="34055" xr:uid="{1660B123-0ACC-4BCA-84C4-77282350A467}"/>
    <cellStyle name="Currency 14 3 2 2 4" xfId="17168" xr:uid="{B90DF106-1C22-47BE-9AC8-B075D51B822F}"/>
    <cellStyle name="Currency 14 3 2 3" xfId="25606" xr:uid="{0CF8BF63-DC5F-4DFC-8575-CAFC2BE516E0}"/>
    <cellStyle name="Currency 14 3 2 4" xfId="34052" xr:uid="{8F31C296-790C-42F4-BA3A-06253FBD9307}"/>
    <cellStyle name="Currency 14 3 2 5" xfId="17165" xr:uid="{DBF774B0-B81B-4C40-BFC0-DDE047C5B50B}"/>
    <cellStyle name="Currency 14 3 3" xfId="25603" xr:uid="{B8866F05-3A15-42C9-A73F-D809464E1949}"/>
    <cellStyle name="Currency 14 3 4" xfId="34049" xr:uid="{A1F9B685-7F29-410B-808F-412DB7B62F43}"/>
    <cellStyle name="Currency 14 3 5" xfId="17162" xr:uid="{EBA6705A-2EC4-4D57-838B-452604DA3FF3}"/>
    <cellStyle name="Currency 14 4" xfId="21386" xr:uid="{9AD9F15F-A60D-4D30-89E7-E8D87D175331}"/>
    <cellStyle name="Currency 14 5" xfId="29832" xr:uid="{140BDFAB-8C14-4CDF-A5E0-31E4DDDACEE6}"/>
    <cellStyle name="Currency 14 6" xfId="12945" xr:uid="{C6BD25DA-8617-4A3A-9609-E8E1B4E42D64}"/>
    <cellStyle name="Currency 2" xfId="171" xr:uid="{00000000-0005-0000-0000-0000990A0000}"/>
    <cellStyle name="Currency 2 2" xfId="172" xr:uid="{00000000-0005-0000-0000-00009A0A0000}"/>
    <cellStyle name="Currency 2 2 2" xfId="34085" xr:uid="{42D247A9-3AA0-4F11-99C2-890292C686B3}"/>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23899" xr:uid="{0EED1D6D-CE9B-4409-A3D7-025B4F3F37AA}"/>
    <cellStyle name="Currency 3 2 2 10 2 3" xfId="32345" xr:uid="{2D7BDBB6-7791-4FA6-99DB-80899B9C3BE3}"/>
    <cellStyle name="Currency 3 2 2 10 2 4" xfId="15458" xr:uid="{6EBD7FA7-D0BA-4153-A087-95A4C1DAE99E}"/>
    <cellStyle name="Currency 3 2 2 10 3" xfId="19681" xr:uid="{CA1DDF80-C3BD-4134-A30F-658A638B2569}"/>
    <cellStyle name="Currency 3 2 2 10 4" xfId="28128" xr:uid="{C50E74DC-43C6-4546-9FD6-285E7D54E358}"/>
    <cellStyle name="Currency 3 2 2 10 5" xfId="11240" xr:uid="{1BDD667E-223F-4571-87A6-7425DA056CD2}"/>
    <cellStyle name="Currency 3 2 2 11" xfId="4633" xr:uid="{00000000-0005-0000-0000-0000A50A0000}"/>
    <cellStyle name="Currency 3 2 2 11 2" xfId="21516" xr:uid="{2272966B-048B-44CD-8426-88AE50914188}"/>
    <cellStyle name="Currency 3 2 2 11 3" xfId="29962" xr:uid="{D96315F5-F253-4925-960E-EDF5786516A7}"/>
    <cellStyle name="Currency 3 2 2 11 4" xfId="13075" xr:uid="{8A70DE42-FDF4-4057-AB98-F1EDA9965CA8}"/>
    <cellStyle name="Currency 3 2 2 12" xfId="17298" xr:uid="{C095C775-1498-4303-A403-9FAABFD8916B}"/>
    <cellStyle name="Currency 3 2 2 13" xfId="25741" xr:uid="{11193AF6-DF99-4B79-97B8-7299E78DEDD1}"/>
    <cellStyle name="Currency 3 2 2 14" xfId="8857" xr:uid="{08BCDBC2-306E-4B47-B15B-FB496FD3F6F9}"/>
    <cellStyle name="Currency 3 2 2 2" xfId="179" xr:uid="{00000000-0005-0000-0000-0000A60A0000}"/>
    <cellStyle name="Currency 3 2 2 2 10" xfId="4634" xr:uid="{00000000-0005-0000-0000-0000A70A0000}"/>
    <cellStyle name="Currency 3 2 2 2 10 2" xfId="21517" xr:uid="{859FB9E2-4C4C-4B1E-AF13-1A28A37C1AF7}"/>
    <cellStyle name="Currency 3 2 2 2 10 3" xfId="29963" xr:uid="{408975DA-CC14-4BFC-8CC2-29F54B339172}"/>
    <cellStyle name="Currency 3 2 2 2 10 4" xfId="13076" xr:uid="{707CADD0-C839-47CF-8932-DD227645017B}"/>
    <cellStyle name="Currency 3 2 2 2 11" xfId="17299" xr:uid="{9A6EF34B-8B6C-4984-9074-3826EF3B4E2B}"/>
    <cellStyle name="Currency 3 2 2 2 12" xfId="25742" xr:uid="{6C43817D-0453-443C-9454-756744348BEB}"/>
    <cellStyle name="Currency 3 2 2 2 13" xfId="8858" xr:uid="{CC4A7A98-1424-493E-8678-3378F3375252}"/>
    <cellStyle name="Currency 3 2 2 2 2" xfId="180" xr:uid="{00000000-0005-0000-0000-0000A80A0000}"/>
    <cellStyle name="Currency 3 2 2 2 2 10" xfId="17300" xr:uid="{318795C0-01E6-4DA6-A869-699210822AD1}"/>
    <cellStyle name="Currency 3 2 2 2 2 11" xfId="25743" xr:uid="{765F15BE-B19B-4CA0-B09B-03E7B0D99C3E}"/>
    <cellStyle name="Currency 3 2 2 2 2 12" xfId="8859" xr:uid="{C02A59AF-7F0E-4A7A-BBB0-D867F38486C8}"/>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24077" xr:uid="{CA3D6DA1-3B33-4427-AA37-04D017B20D81}"/>
    <cellStyle name="Currency 3 2 2 2 2 2 2 2 3" xfId="32523" xr:uid="{B73AE8BC-CF07-4BC3-A4C9-3E98443826E1}"/>
    <cellStyle name="Currency 3 2 2 2 2 2 2 2 4" xfId="15636" xr:uid="{6B6E3888-2EA7-4F9F-95C8-694F4A5F94F8}"/>
    <cellStyle name="Currency 3 2 2 2 2 2 2 3" xfId="19859" xr:uid="{2AA3794F-8E57-41EE-9515-46A9114B6787}"/>
    <cellStyle name="Currency 3 2 2 2 2 2 2 4" xfId="28306" xr:uid="{98C05B05-97F6-42BD-9282-AD8A32069A53}"/>
    <cellStyle name="Currency 3 2 2 2 2 2 2 5" xfId="11418" xr:uid="{1F4D8B21-154B-4021-A185-B2B5CAF89ED7}"/>
    <cellStyle name="Currency 3 2 2 2 2 2 3" xfId="5049" xr:uid="{00000000-0005-0000-0000-0000AC0A0000}"/>
    <cellStyle name="Currency 3 2 2 2 2 2 3 2" xfId="21932" xr:uid="{162DB460-1424-4D2E-8E9D-C3962EBB6A3F}"/>
    <cellStyle name="Currency 3 2 2 2 2 2 3 3" xfId="30378" xr:uid="{0247DEED-099A-4BDA-9357-8C2DDC514583}"/>
    <cellStyle name="Currency 3 2 2 2 2 2 3 4" xfId="13491" xr:uid="{6B254B05-FDD4-4BFC-BE89-F3A3E9B7A886}"/>
    <cellStyle name="Currency 3 2 2 2 2 2 4" xfId="17714" xr:uid="{88388713-2823-493D-A03D-C6A4AEA5F540}"/>
    <cellStyle name="Currency 3 2 2 2 2 2 5" xfId="26159" xr:uid="{42AC3AAC-BD87-4A72-A109-141A4A4A6499}"/>
    <cellStyle name="Currency 3 2 2 2 2 2 6" xfId="9273" xr:uid="{6A1F7103-38F2-416E-903C-B61637BB1126}"/>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24490" xr:uid="{22C1CCE7-C122-46E2-B29B-C770BDA5F24B}"/>
    <cellStyle name="Currency 3 2 2 2 2 3 2 2 3" xfId="32936" xr:uid="{13AF310F-C222-4E13-BFC8-70C80EF7881E}"/>
    <cellStyle name="Currency 3 2 2 2 2 3 2 2 4" xfId="16049" xr:uid="{57AD8397-2617-4B60-A4F2-A3071782A4B7}"/>
    <cellStyle name="Currency 3 2 2 2 2 3 2 3" xfId="20272" xr:uid="{32812120-B57B-4D2A-BCDE-6F2A6273817A}"/>
    <cellStyle name="Currency 3 2 2 2 2 3 2 4" xfId="28719" xr:uid="{902D3FAD-EAEB-4414-B5E4-44E5E8C98979}"/>
    <cellStyle name="Currency 3 2 2 2 2 3 2 5" xfId="11831" xr:uid="{0E59098F-A2E7-4EC9-BE06-88A757341B0B}"/>
    <cellStyle name="Currency 3 2 2 2 2 3 3" xfId="5462" xr:uid="{00000000-0005-0000-0000-0000B00A0000}"/>
    <cellStyle name="Currency 3 2 2 2 2 3 3 2" xfId="22345" xr:uid="{475F3903-2E2B-45D8-8508-5D71F2B8730F}"/>
    <cellStyle name="Currency 3 2 2 2 2 3 3 3" xfId="30791" xr:uid="{D4E2EBD5-440B-4C09-8EA3-997FCD9423EF}"/>
    <cellStyle name="Currency 3 2 2 2 2 3 3 4" xfId="13904" xr:uid="{FB307BB3-366D-44CA-AE3F-2410CCAD8528}"/>
    <cellStyle name="Currency 3 2 2 2 2 3 4" xfId="18127" xr:uid="{5929DC4B-A04C-4B19-B814-10B85A249A94}"/>
    <cellStyle name="Currency 3 2 2 2 2 3 5" xfId="26572" xr:uid="{CE905D26-3E94-455F-B2C4-BBED7E511D7F}"/>
    <cellStyle name="Currency 3 2 2 2 2 3 6" xfId="9686" xr:uid="{1854FB73-380B-4EBB-A19E-719E2258F247}"/>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24903" xr:uid="{9B9399DA-DD45-4306-B2C9-F62DD57A3C1F}"/>
    <cellStyle name="Currency 3 2 2 2 2 4 2 2 3" xfId="33349" xr:uid="{F9857E1F-F10F-44ED-8B8E-31589DB8B17F}"/>
    <cellStyle name="Currency 3 2 2 2 2 4 2 2 4" xfId="16462" xr:uid="{D75DA766-5736-4829-A3F7-FFC7C0299C52}"/>
    <cellStyle name="Currency 3 2 2 2 2 4 2 3" xfId="20685" xr:uid="{EB7462BA-CAE2-47E2-919F-06F1E5BE45D4}"/>
    <cellStyle name="Currency 3 2 2 2 2 4 2 4" xfId="29132" xr:uid="{06C44314-1651-4334-814D-8465C0F3C3BE}"/>
    <cellStyle name="Currency 3 2 2 2 2 4 2 5" xfId="12244" xr:uid="{335E4907-C1B8-4C94-9FA4-B8DD093B5E68}"/>
    <cellStyle name="Currency 3 2 2 2 2 4 3" xfId="5875" xr:uid="{00000000-0005-0000-0000-0000B40A0000}"/>
    <cellStyle name="Currency 3 2 2 2 2 4 3 2" xfId="22758" xr:uid="{B4E35ADE-1A40-423A-86CC-8A0A750CF8BB}"/>
    <cellStyle name="Currency 3 2 2 2 2 4 3 3" xfId="31204" xr:uid="{789364EB-3539-47D6-8E9E-32AD24ADC1FC}"/>
    <cellStyle name="Currency 3 2 2 2 2 4 3 4" xfId="14317" xr:uid="{4E9E716F-DC67-44FE-ADA9-5E9884ED1959}"/>
    <cellStyle name="Currency 3 2 2 2 2 4 4" xfId="18540" xr:uid="{8C28C470-FD74-456A-B8C0-BD4F679D5A4F}"/>
    <cellStyle name="Currency 3 2 2 2 2 4 5" xfId="26985" xr:uid="{0A0F63D6-7AFF-439F-BEE0-8CBD77F4B4F1}"/>
    <cellStyle name="Currency 3 2 2 2 2 4 6" xfId="10099" xr:uid="{64E65EB7-6284-44F1-8242-B0EC4C91B56E}"/>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25316" xr:uid="{87F7799F-588E-4B21-BAF9-2B79A604F645}"/>
    <cellStyle name="Currency 3 2 2 2 2 5 2 2 3" xfId="33762" xr:uid="{2D1BC992-8FF4-4C7E-9E34-8128F9202550}"/>
    <cellStyle name="Currency 3 2 2 2 2 5 2 2 4" xfId="16875" xr:uid="{2209E23E-B258-48F6-BFC6-D2303744E85C}"/>
    <cellStyle name="Currency 3 2 2 2 2 5 2 3" xfId="21098" xr:uid="{2B9ED5E8-020F-4CC9-A674-B1259075A812}"/>
    <cellStyle name="Currency 3 2 2 2 2 5 2 4" xfId="29545" xr:uid="{4B4DB0C8-2E97-426E-AA0D-81A97C8F3A91}"/>
    <cellStyle name="Currency 3 2 2 2 2 5 2 5" xfId="12657" xr:uid="{B1305725-F872-4EC8-910F-01E800060113}"/>
    <cellStyle name="Currency 3 2 2 2 2 5 3" xfId="6288" xr:uid="{00000000-0005-0000-0000-0000B80A0000}"/>
    <cellStyle name="Currency 3 2 2 2 2 5 3 2" xfId="23171" xr:uid="{7A79EF19-94AF-42D7-BF1B-13F3005AEA8A}"/>
    <cellStyle name="Currency 3 2 2 2 2 5 3 3" xfId="31617" xr:uid="{6B8CFD3F-4098-44E0-A261-D49C083BB0AB}"/>
    <cellStyle name="Currency 3 2 2 2 2 5 3 4" xfId="14730" xr:uid="{25792B74-E2DE-43D7-A015-3E5F00482D97}"/>
    <cellStyle name="Currency 3 2 2 2 2 5 4" xfId="18953" xr:uid="{784753D5-8D91-4232-937D-E2D9746CFED6}"/>
    <cellStyle name="Currency 3 2 2 2 2 5 5" xfId="27398" xr:uid="{D01A2382-30C3-43EC-8ABF-76C68B896DE2}"/>
    <cellStyle name="Currency 3 2 2 2 2 5 6" xfId="10512" xr:uid="{A6CF4FCD-1ABC-4246-968F-5E79B75590BE}"/>
    <cellStyle name="Currency 3 2 2 2 2 6" xfId="2416" xr:uid="{00000000-0005-0000-0000-0000B90A0000}"/>
    <cellStyle name="Currency 3 2 2 2 2 6 2" xfId="6701" xr:uid="{00000000-0005-0000-0000-0000BA0A0000}"/>
    <cellStyle name="Currency 3 2 2 2 2 6 2 2" xfId="23584" xr:uid="{49E17099-AB0A-4646-A87C-20712755F7DE}"/>
    <cellStyle name="Currency 3 2 2 2 2 6 2 3" xfId="32030" xr:uid="{3328957C-8F41-4995-A60B-E60C43F39B3E}"/>
    <cellStyle name="Currency 3 2 2 2 2 6 2 4" xfId="15143" xr:uid="{C5E9CB9C-CD8B-4C2A-9BE5-1A5A8052DA37}"/>
    <cellStyle name="Currency 3 2 2 2 2 6 3" xfId="19366" xr:uid="{4A260A53-1A48-43D3-802E-20C16CA65391}"/>
    <cellStyle name="Currency 3 2 2 2 2 6 4" xfId="27811" xr:uid="{1455C682-7ECE-4526-BFE6-FF328F6F0E05}"/>
    <cellStyle name="Currency 3 2 2 2 2 6 5" xfId="10925" xr:uid="{CF11BA8B-CBC4-48AB-A2F2-CDB061BB2809}"/>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23901" xr:uid="{06E37C98-A639-4AC1-AD08-DDE5BB547CF7}"/>
    <cellStyle name="Currency 3 2 2 2 2 8 2 3" xfId="32347" xr:uid="{9FA7C6F0-2D83-4E0D-ABAA-AC60602D11B4}"/>
    <cellStyle name="Currency 3 2 2 2 2 8 2 4" xfId="15460" xr:uid="{59712FCD-4E21-4D89-88BE-B7AE441A098B}"/>
    <cellStyle name="Currency 3 2 2 2 2 8 3" xfId="19683" xr:uid="{073B157F-6AD6-49DF-9342-5AE16B3B12B8}"/>
    <cellStyle name="Currency 3 2 2 2 2 8 4" xfId="28130" xr:uid="{9A2CCA6D-3F9B-49E1-9BF6-4FCF105263B3}"/>
    <cellStyle name="Currency 3 2 2 2 2 8 5" xfId="11242" xr:uid="{4EF6F018-7152-4B02-A2CD-9791EA7A81F1}"/>
    <cellStyle name="Currency 3 2 2 2 2 9" xfId="4635" xr:uid="{00000000-0005-0000-0000-0000BE0A0000}"/>
    <cellStyle name="Currency 3 2 2 2 2 9 2" xfId="21518" xr:uid="{93631610-26B6-4161-8BCA-36F970F9DFE6}"/>
    <cellStyle name="Currency 3 2 2 2 2 9 3" xfId="29964" xr:uid="{838F833D-76AC-4B71-850F-D5A04BF0A784}"/>
    <cellStyle name="Currency 3 2 2 2 2 9 4" xfId="13077" xr:uid="{3B449EFE-AA0A-43E1-BDB0-5EF9C5250E7E}"/>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24076" xr:uid="{D9ACDC5E-365B-4B69-AE48-98E138103194}"/>
    <cellStyle name="Currency 3 2 2 2 3 2 2 3" xfId="32522" xr:uid="{400A27FD-86CF-458B-B7EA-AE4D83EFE0BF}"/>
    <cellStyle name="Currency 3 2 2 2 3 2 2 4" xfId="15635" xr:uid="{90B777C1-3DF8-4658-9431-D56C44FE1BAB}"/>
    <cellStyle name="Currency 3 2 2 2 3 2 3" xfId="19858" xr:uid="{7CD103A2-F4B9-4DC6-8B38-7F31D1D4C245}"/>
    <cellStyle name="Currency 3 2 2 2 3 2 4" xfId="28305" xr:uid="{CB0DED6B-858E-4120-A939-73A7CA8FACC6}"/>
    <cellStyle name="Currency 3 2 2 2 3 2 5" xfId="11417" xr:uid="{AAB8DF99-06B9-40D5-A529-962C5A7084BD}"/>
    <cellStyle name="Currency 3 2 2 2 3 3" xfId="5048" xr:uid="{00000000-0005-0000-0000-0000C20A0000}"/>
    <cellStyle name="Currency 3 2 2 2 3 3 2" xfId="21931" xr:uid="{C3373256-C12C-4B70-A950-5E4446AC834D}"/>
    <cellStyle name="Currency 3 2 2 2 3 3 3" xfId="30377" xr:uid="{86A9D060-783A-49F1-8E21-0700DA6BBFD7}"/>
    <cellStyle name="Currency 3 2 2 2 3 3 4" xfId="13490" xr:uid="{FB83545F-505D-40A9-B8F3-64B5AC2D4F7A}"/>
    <cellStyle name="Currency 3 2 2 2 3 4" xfId="17713" xr:uid="{38A97E5D-53CA-4E95-85AF-DC404A06FC8B}"/>
    <cellStyle name="Currency 3 2 2 2 3 5" xfId="26158" xr:uid="{CAECABE9-B380-46AC-83A0-797ED33BEE1D}"/>
    <cellStyle name="Currency 3 2 2 2 3 6" xfId="9272" xr:uid="{C9375FE7-0D62-48C2-B72D-095B2BE42B32}"/>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24489" xr:uid="{BE36DA54-0ADC-4BE4-9BF5-C4194A97A341}"/>
    <cellStyle name="Currency 3 2 2 2 4 2 2 3" xfId="32935" xr:uid="{39A4CB8E-9ABA-4C07-B82E-8450137E13F8}"/>
    <cellStyle name="Currency 3 2 2 2 4 2 2 4" xfId="16048" xr:uid="{009976F9-E11F-4C3E-B2CA-033AE723A596}"/>
    <cellStyle name="Currency 3 2 2 2 4 2 3" xfId="20271" xr:uid="{35BE0A66-CF0D-4442-8C5E-CD796C2CCBE3}"/>
    <cellStyle name="Currency 3 2 2 2 4 2 4" xfId="28718" xr:uid="{28AEB96E-09FF-48D1-AE6B-E1769D6A0822}"/>
    <cellStyle name="Currency 3 2 2 2 4 2 5" xfId="11830" xr:uid="{8F61E5CA-F397-4FCB-B38D-7D7DA8F2250E}"/>
    <cellStyle name="Currency 3 2 2 2 4 3" xfId="5461" xr:uid="{00000000-0005-0000-0000-0000C60A0000}"/>
    <cellStyle name="Currency 3 2 2 2 4 3 2" xfId="22344" xr:uid="{85DD84B2-5D68-49AB-A0AF-97C5BEE5392C}"/>
    <cellStyle name="Currency 3 2 2 2 4 3 3" xfId="30790" xr:uid="{EBDC7B0D-07BA-475B-9FC7-92178EAD1894}"/>
    <cellStyle name="Currency 3 2 2 2 4 3 4" xfId="13903" xr:uid="{43DB738F-1F8C-47F9-B69C-03951ABC4183}"/>
    <cellStyle name="Currency 3 2 2 2 4 4" xfId="18126" xr:uid="{13563D98-90C0-44C2-AFA5-5AFA97F53E42}"/>
    <cellStyle name="Currency 3 2 2 2 4 5" xfId="26571" xr:uid="{036571C2-E774-4FCA-B605-40B5D3128263}"/>
    <cellStyle name="Currency 3 2 2 2 4 6" xfId="9685" xr:uid="{0EA293DB-D28D-472B-9A91-CC579D64D0C3}"/>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24902" xr:uid="{18382DD5-6FF6-403A-B524-EF2805DE230E}"/>
    <cellStyle name="Currency 3 2 2 2 5 2 2 3" xfId="33348" xr:uid="{BDBF048A-B883-4488-AB3F-D2042C3CCFDD}"/>
    <cellStyle name="Currency 3 2 2 2 5 2 2 4" xfId="16461" xr:uid="{B0F0D52E-7EC9-4A27-B15C-02C72B733A43}"/>
    <cellStyle name="Currency 3 2 2 2 5 2 3" xfId="20684" xr:uid="{CB4664D3-AF33-4CA3-B2BB-F7E1EBDD2878}"/>
    <cellStyle name="Currency 3 2 2 2 5 2 4" xfId="29131" xr:uid="{F1C2EDF8-507F-4FD8-A5CE-0AB37494EE36}"/>
    <cellStyle name="Currency 3 2 2 2 5 2 5" xfId="12243" xr:uid="{69CF670D-9A83-4FFA-816D-4965AB50148D}"/>
    <cellStyle name="Currency 3 2 2 2 5 3" xfId="5874" xr:uid="{00000000-0005-0000-0000-0000CA0A0000}"/>
    <cellStyle name="Currency 3 2 2 2 5 3 2" xfId="22757" xr:uid="{1BEBEB36-EEEC-4E60-97E3-A91415750336}"/>
    <cellStyle name="Currency 3 2 2 2 5 3 3" xfId="31203" xr:uid="{32D72C81-0898-4FD7-912F-E5AA34E5C4E3}"/>
    <cellStyle name="Currency 3 2 2 2 5 3 4" xfId="14316" xr:uid="{4B81DDDE-EF98-491A-BEBD-B1EB250B6ACC}"/>
    <cellStyle name="Currency 3 2 2 2 5 4" xfId="18539" xr:uid="{06E4EBC6-D621-4ADC-B91B-96F7D0C673BF}"/>
    <cellStyle name="Currency 3 2 2 2 5 5" xfId="26984" xr:uid="{83A96D47-96A8-4E7C-BFC9-6C7DF450AA2D}"/>
    <cellStyle name="Currency 3 2 2 2 5 6" xfId="10098" xr:uid="{93282E02-1C84-404E-A5EC-F80CCECC794E}"/>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25315" xr:uid="{FF2AC988-889F-45C6-A87F-845B994FB6D1}"/>
    <cellStyle name="Currency 3 2 2 2 6 2 2 3" xfId="33761" xr:uid="{6D5987AC-F9D1-447B-A636-9CDCB1CCA8FD}"/>
    <cellStyle name="Currency 3 2 2 2 6 2 2 4" xfId="16874" xr:uid="{24D8E1A0-B4BA-45DD-833A-B38C4A230AF5}"/>
    <cellStyle name="Currency 3 2 2 2 6 2 3" xfId="21097" xr:uid="{D35E669D-512C-4B3C-ABC2-D1C455DC78FC}"/>
    <cellStyle name="Currency 3 2 2 2 6 2 4" xfId="29544" xr:uid="{2E07CF0B-BE26-41F8-8EF8-AD7EAB8EE41D}"/>
    <cellStyle name="Currency 3 2 2 2 6 2 5" xfId="12656" xr:uid="{65C2AD8C-364E-4BE3-A6D0-EBF9E28ABBC7}"/>
    <cellStyle name="Currency 3 2 2 2 6 3" xfId="6287" xr:uid="{00000000-0005-0000-0000-0000CE0A0000}"/>
    <cellStyle name="Currency 3 2 2 2 6 3 2" xfId="23170" xr:uid="{2766660D-280E-4247-9CC7-C712BC15C9EE}"/>
    <cellStyle name="Currency 3 2 2 2 6 3 3" xfId="31616" xr:uid="{3E516DCE-20AA-47C5-8486-CC502229AA0C}"/>
    <cellStyle name="Currency 3 2 2 2 6 3 4" xfId="14729" xr:uid="{3DA94735-D390-4254-9BD0-5C3908C8AE1A}"/>
    <cellStyle name="Currency 3 2 2 2 6 4" xfId="18952" xr:uid="{77D9B03F-F81B-4802-A4C3-80190C600D4B}"/>
    <cellStyle name="Currency 3 2 2 2 6 5" xfId="27397" xr:uid="{9C1A43F1-5568-4ACE-8B9A-A9FF0381E404}"/>
    <cellStyle name="Currency 3 2 2 2 6 6" xfId="10511" xr:uid="{ACC7CB2B-E4F9-408B-9FCD-BC5B0928FEEB}"/>
    <cellStyle name="Currency 3 2 2 2 7" xfId="2415" xr:uid="{00000000-0005-0000-0000-0000CF0A0000}"/>
    <cellStyle name="Currency 3 2 2 2 7 2" xfId="6700" xr:uid="{00000000-0005-0000-0000-0000D00A0000}"/>
    <cellStyle name="Currency 3 2 2 2 7 2 2" xfId="23583" xr:uid="{51904E0E-5C50-4FC2-B04F-A04F66BF7F04}"/>
    <cellStyle name="Currency 3 2 2 2 7 2 3" xfId="32029" xr:uid="{AB60B8F6-B586-4136-9ABE-83635EDDF7CF}"/>
    <cellStyle name="Currency 3 2 2 2 7 2 4" xfId="15142" xr:uid="{5BF18BB8-840A-4AC8-9351-B9C4FC3AA4F9}"/>
    <cellStyle name="Currency 3 2 2 2 7 3" xfId="19365" xr:uid="{6A5F5105-A6A9-448B-9AE0-3BF928A85215}"/>
    <cellStyle name="Currency 3 2 2 2 7 4" xfId="27810" xr:uid="{BBD8843C-E6DF-4484-AD56-23C23980E8A5}"/>
    <cellStyle name="Currency 3 2 2 2 7 5" xfId="10924" xr:uid="{34B30563-4AFE-4D51-9966-CDA115E07A57}"/>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23900" xr:uid="{927B6F00-279E-48A2-A232-3E5F9B23CAFE}"/>
    <cellStyle name="Currency 3 2 2 2 9 2 3" xfId="32346" xr:uid="{4C9E2C63-F606-48D5-B540-05470C8212C7}"/>
    <cellStyle name="Currency 3 2 2 2 9 2 4" xfId="15459" xr:uid="{BC11118A-EEB9-4395-A74D-67D18577CE7A}"/>
    <cellStyle name="Currency 3 2 2 2 9 3" xfId="19682" xr:uid="{E41CD5D3-47FA-42F9-BF6D-0501DF389746}"/>
    <cellStyle name="Currency 3 2 2 2 9 4" xfId="28129" xr:uid="{D4033CCF-701F-40F5-9A28-8D00BC6CB76F}"/>
    <cellStyle name="Currency 3 2 2 2 9 5" xfId="11241" xr:uid="{65729B0B-8B2E-483B-A989-A8F194E75151}"/>
    <cellStyle name="Currency 3 2 2 3" xfId="181" xr:uid="{00000000-0005-0000-0000-0000D40A0000}"/>
    <cellStyle name="Currency 3 2 2 3 10" xfId="17301" xr:uid="{4F4C3AB3-476C-4DB0-85BF-10E502FC17BF}"/>
    <cellStyle name="Currency 3 2 2 3 11" xfId="25744" xr:uid="{0825300E-46B1-4028-8B6A-6663A908BAAB}"/>
    <cellStyle name="Currency 3 2 2 3 12" xfId="8860" xr:uid="{092D7D03-D1A8-4DBA-B80B-465AF7F446D5}"/>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24078" xr:uid="{E393F5B6-037F-49F5-8258-B2C3775CA81D}"/>
    <cellStyle name="Currency 3 2 2 3 2 2 2 3" xfId="32524" xr:uid="{31C47BFC-80EB-4387-8509-550AD69B092E}"/>
    <cellStyle name="Currency 3 2 2 3 2 2 2 4" xfId="15637" xr:uid="{374399A0-41EE-486D-855A-A9452D2C5574}"/>
    <cellStyle name="Currency 3 2 2 3 2 2 3" xfId="19860" xr:uid="{59792FCF-2790-412B-989E-B99C81347BE9}"/>
    <cellStyle name="Currency 3 2 2 3 2 2 4" xfId="28307" xr:uid="{8366B9FD-2F9C-428D-8A6B-EE4B4D167AEA}"/>
    <cellStyle name="Currency 3 2 2 3 2 2 5" xfId="11419" xr:uid="{7EF3E5BC-34F3-4FB2-8FF9-435FA120C897}"/>
    <cellStyle name="Currency 3 2 2 3 2 3" xfId="5050" xr:uid="{00000000-0005-0000-0000-0000D80A0000}"/>
    <cellStyle name="Currency 3 2 2 3 2 3 2" xfId="21933" xr:uid="{B70E1F8A-8F8D-4779-96CE-5CDFB82F3E22}"/>
    <cellStyle name="Currency 3 2 2 3 2 3 3" xfId="30379" xr:uid="{8CE9E3BF-74DB-46CD-8B70-5EAA2227C6DF}"/>
    <cellStyle name="Currency 3 2 2 3 2 3 4" xfId="13492" xr:uid="{BB39E950-A5BE-422F-B6E5-8E22A493647D}"/>
    <cellStyle name="Currency 3 2 2 3 2 4" xfId="17715" xr:uid="{B6F7E4B6-DBCD-4A48-9683-B8CEBD392227}"/>
    <cellStyle name="Currency 3 2 2 3 2 5" xfId="26160" xr:uid="{524E8BC1-C70A-41A1-B038-DB7D6F755C1E}"/>
    <cellStyle name="Currency 3 2 2 3 2 6" xfId="9274" xr:uid="{7FD16F6F-EEA8-48C6-B7C1-59A7B4489601}"/>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24491" xr:uid="{06364063-E186-4B29-8C6C-55542B9688FD}"/>
    <cellStyle name="Currency 3 2 2 3 3 2 2 3" xfId="32937" xr:uid="{BA71D343-A8A9-45D7-8B51-6600717CA0D4}"/>
    <cellStyle name="Currency 3 2 2 3 3 2 2 4" xfId="16050" xr:uid="{8A3DCB01-89C7-4651-B260-7B46B0066F5F}"/>
    <cellStyle name="Currency 3 2 2 3 3 2 3" xfId="20273" xr:uid="{DBA2821D-1721-41D8-AB44-76E00F47B1DB}"/>
    <cellStyle name="Currency 3 2 2 3 3 2 4" xfId="28720" xr:uid="{489FA8F3-39DE-4223-9D65-4F73DC2A2145}"/>
    <cellStyle name="Currency 3 2 2 3 3 2 5" xfId="11832" xr:uid="{B3C91CD0-3632-450D-A464-7B06B1C3CB1E}"/>
    <cellStyle name="Currency 3 2 2 3 3 3" xfId="5463" xr:uid="{00000000-0005-0000-0000-0000DC0A0000}"/>
    <cellStyle name="Currency 3 2 2 3 3 3 2" xfId="22346" xr:uid="{E44354F7-87DB-4B70-9799-D5FC98240C04}"/>
    <cellStyle name="Currency 3 2 2 3 3 3 3" xfId="30792" xr:uid="{0446F662-9708-48D0-AC5D-51E979EBBA46}"/>
    <cellStyle name="Currency 3 2 2 3 3 3 4" xfId="13905" xr:uid="{CAC6D9E6-7D61-418C-B06E-A939ED075833}"/>
    <cellStyle name="Currency 3 2 2 3 3 4" xfId="18128" xr:uid="{499AF8B5-DA29-42DA-B116-FE77C4AE0034}"/>
    <cellStyle name="Currency 3 2 2 3 3 5" xfId="26573" xr:uid="{7642BD98-3CFC-4313-9A78-9C2844CF1566}"/>
    <cellStyle name="Currency 3 2 2 3 3 6" xfId="9687" xr:uid="{A66E3F3A-D6EA-4F70-A72A-832962DA5AC4}"/>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24904" xr:uid="{D56FB523-3B26-4260-9899-AF5BA2F330F0}"/>
    <cellStyle name="Currency 3 2 2 3 4 2 2 3" xfId="33350" xr:uid="{08E579E5-E0B8-4D9E-8CE1-09CC97486770}"/>
    <cellStyle name="Currency 3 2 2 3 4 2 2 4" xfId="16463" xr:uid="{3CD0E2EC-1C36-417C-B326-9ABE2F6EE173}"/>
    <cellStyle name="Currency 3 2 2 3 4 2 3" xfId="20686" xr:uid="{6AE83F27-9352-49EF-BF88-4928999146E4}"/>
    <cellStyle name="Currency 3 2 2 3 4 2 4" xfId="29133" xr:uid="{EEA141D8-78E2-4C7D-8AEF-83494B96C7EB}"/>
    <cellStyle name="Currency 3 2 2 3 4 2 5" xfId="12245" xr:uid="{7D134632-2FC9-4EA3-9E93-05B6E9CCE4BB}"/>
    <cellStyle name="Currency 3 2 2 3 4 3" xfId="5876" xr:uid="{00000000-0005-0000-0000-0000E00A0000}"/>
    <cellStyle name="Currency 3 2 2 3 4 3 2" xfId="22759" xr:uid="{EC0C509C-9BFA-46B1-9341-9E5D37866EB1}"/>
    <cellStyle name="Currency 3 2 2 3 4 3 3" xfId="31205" xr:uid="{D02F5460-F64B-4ACD-8A5F-C75A8997FCF8}"/>
    <cellStyle name="Currency 3 2 2 3 4 3 4" xfId="14318" xr:uid="{0C899059-6ACD-4A0A-BF56-48093DA4E116}"/>
    <cellStyle name="Currency 3 2 2 3 4 4" xfId="18541" xr:uid="{C67B7877-B082-47B9-8D3C-50061F06E01C}"/>
    <cellStyle name="Currency 3 2 2 3 4 5" xfId="26986" xr:uid="{EA406220-2385-45C5-987B-F4A08AC9E7E2}"/>
    <cellStyle name="Currency 3 2 2 3 4 6" xfId="10100" xr:uid="{8469B728-FDFD-429F-A873-5C648DD7B198}"/>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25317" xr:uid="{B7F5C9B8-05AC-485E-A639-EDDEE4B24D53}"/>
    <cellStyle name="Currency 3 2 2 3 5 2 2 3" xfId="33763" xr:uid="{78746B5D-1FD4-4BFB-9414-E36F2C2FFCAC}"/>
    <cellStyle name="Currency 3 2 2 3 5 2 2 4" xfId="16876" xr:uid="{5AA5AAD7-BE55-4972-8B91-E3E524A38746}"/>
    <cellStyle name="Currency 3 2 2 3 5 2 3" xfId="21099" xr:uid="{51D41DD8-53D2-4505-B761-C1AE90CBE082}"/>
    <cellStyle name="Currency 3 2 2 3 5 2 4" xfId="29546" xr:uid="{AF061491-96BF-4771-9B22-A8F4A84F7D19}"/>
    <cellStyle name="Currency 3 2 2 3 5 2 5" xfId="12658" xr:uid="{1B861C26-D5AF-4B3A-AC0A-4CAFFBAC4ABB}"/>
    <cellStyle name="Currency 3 2 2 3 5 3" xfId="6289" xr:uid="{00000000-0005-0000-0000-0000E40A0000}"/>
    <cellStyle name="Currency 3 2 2 3 5 3 2" xfId="23172" xr:uid="{6ACC20CE-EE7C-4A94-B983-632657DF1C4A}"/>
    <cellStyle name="Currency 3 2 2 3 5 3 3" xfId="31618" xr:uid="{2E64CF9C-A729-4735-9A12-A7A66414AF3B}"/>
    <cellStyle name="Currency 3 2 2 3 5 3 4" xfId="14731" xr:uid="{E6DB79BB-60E1-42C5-AB63-AFD10FE8DD6A}"/>
    <cellStyle name="Currency 3 2 2 3 5 4" xfId="18954" xr:uid="{F7459342-87F3-4F99-9B76-DDCFB272468A}"/>
    <cellStyle name="Currency 3 2 2 3 5 5" xfId="27399" xr:uid="{0368E10E-57CD-4650-8316-943F85B6A35B}"/>
    <cellStyle name="Currency 3 2 2 3 5 6" xfId="10513" xr:uid="{65E257ED-EF23-4EEC-95BB-8D4F3E1A1CAD}"/>
    <cellStyle name="Currency 3 2 2 3 6" xfId="2417" xr:uid="{00000000-0005-0000-0000-0000E50A0000}"/>
    <cellStyle name="Currency 3 2 2 3 6 2" xfId="6702" xr:uid="{00000000-0005-0000-0000-0000E60A0000}"/>
    <cellStyle name="Currency 3 2 2 3 6 2 2" xfId="23585" xr:uid="{AAD05618-6BFA-4B80-ACC2-8AAB2FA373C0}"/>
    <cellStyle name="Currency 3 2 2 3 6 2 3" xfId="32031" xr:uid="{CF4FFD7C-1978-4B30-9C2E-F67E15F10626}"/>
    <cellStyle name="Currency 3 2 2 3 6 2 4" xfId="15144" xr:uid="{BE464364-0CFB-4EE5-B48F-C7A95A5275B0}"/>
    <cellStyle name="Currency 3 2 2 3 6 3" xfId="19367" xr:uid="{E0089197-90A2-40E3-AD10-3F9222D54564}"/>
    <cellStyle name="Currency 3 2 2 3 6 4" xfId="27812" xr:uid="{0DF76F36-1CFC-469E-8C32-3247EBA5ECBF}"/>
    <cellStyle name="Currency 3 2 2 3 6 5" xfId="10926" xr:uid="{CBFB068F-8937-4409-9BBC-C7B880B1BB47}"/>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23902" xr:uid="{8C69C523-AB9C-437C-9E47-12671FDED670}"/>
    <cellStyle name="Currency 3 2 2 3 8 2 3" xfId="32348" xr:uid="{C030B6BB-7ECE-4C3E-8178-D883F5E75E49}"/>
    <cellStyle name="Currency 3 2 2 3 8 2 4" xfId="15461" xr:uid="{4946021D-BE16-47F8-B5D8-B7FE75A6C4F5}"/>
    <cellStyle name="Currency 3 2 2 3 8 3" xfId="19684" xr:uid="{646C14CA-8BBF-4EBA-B741-38ADE9FA7E7C}"/>
    <cellStyle name="Currency 3 2 2 3 8 4" xfId="28131" xr:uid="{F53D4326-77D4-4815-BCB6-A122CCD86F2C}"/>
    <cellStyle name="Currency 3 2 2 3 8 5" xfId="11243" xr:uid="{CBC9FAF9-CD7A-47BC-8957-08C76B809108}"/>
    <cellStyle name="Currency 3 2 2 3 9" xfId="4636" xr:uid="{00000000-0005-0000-0000-0000EA0A0000}"/>
    <cellStyle name="Currency 3 2 2 3 9 2" xfId="21519" xr:uid="{F9D56B08-7B34-41F9-81E6-BBE8BBE98D0E}"/>
    <cellStyle name="Currency 3 2 2 3 9 3" xfId="29965" xr:uid="{93D9F2A8-4016-47F8-BD52-C4DDABAC043E}"/>
    <cellStyle name="Currency 3 2 2 3 9 4" xfId="13078" xr:uid="{F8E78CE2-6F8B-4B7D-A624-48D6D88B7398}"/>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24075" xr:uid="{CB83376C-81ED-4322-BA35-A5FA1B24A601}"/>
    <cellStyle name="Currency 3 2 2 4 2 2 3" xfId="32521" xr:uid="{DEFB8E99-0201-4A9F-84A0-4ED6852A6889}"/>
    <cellStyle name="Currency 3 2 2 4 2 2 4" xfId="15634" xr:uid="{F8924944-6D5A-423B-A09E-509B6294632F}"/>
    <cellStyle name="Currency 3 2 2 4 2 3" xfId="19857" xr:uid="{B2F924E9-7D19-4974-831E-78582629002C}"/>
    <cellStyle name="Currency 3 2 2 4 2 4" xfId="28304" xr:uid="{99D21100-34E4-426A-92C7-8B9C9A4E90A5}"/>
    <cellStyle name="Currency 3 2 2 4 2 5" xfId="11416" xr:uid="{E8A438A6-326A-425D-B09F-2C2DB7ED9AD5}"/>
    <cellStyle name="Currency 3 2 2 4 3" xfId="5047" xr:uid="{00000000-0005-0000-0000-0000EE0A0000}"/>
    <cellStyle name="Currency 3 2 2 4 3 2" xfId="21930" xr:uid="{B32AD3EE-A465-4C0E-9CC9-3269606634C2}"/>
    <cellStyle name="Currency 3 2 2 4 3 3" xfId="30376" xr:uid="{41A54D7F-1D64-45C8-B657-D70605D22313}"/>
    <cellStyle name="Currency 3 2 2 4 3 4" xfId="13489" xr:uid="{4C26ED6B-DC65-4E09-AB01-BA5CF64C57FE}"/>
    <cellStyle name="Currency 3 2 2 4 4" xfId="17712" xr:uid="{20BAD39A-CE69-4CE5-BC48-BEE7C921767D}"/>
    <cellStyle name="Currency 3 2 2 4 5" xfId="26157" xr:uid="{5D5B0605-2695-406C-9062-8FD9A1B4ABC0}"/>
    <cellStyle name="Currency 3 2 2 4 6" xfId="9271" xr:uid="{15A3786F-4CF6-44D1-9054-83E43BE71545}"/>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24488" xr:uid="{FC80C5D9-8D68-47D5-8FC1-ACBAFEFF7E4C}"/>
    <cellStyle name="Currency 3 2 2 5 2 2 3" xfId="32934" xr:uid="{F398E930-40E2-45A1-A564-E8769CB69E50}"/>
    <cellStyle name="Currency 3 2 2 5 2 2 4" xfId="16047" xr:uid="{7D4B954A-6BA2-4934-871C-97C6E2119181}"/>
    <cellStyle name="Currency 3 2 2 5 2 3" xfId="20270" xr:uid="{388589BA-CD37-456E-ADFA-660572CBB355}"/>
    <cellStyle name="Currency 3 2 2 5 2 4" xfId="28717" xr:uid="{1DC681C0-62DA-4E4B-BD3A-CF234C768AFA}"/>
    <cellStyle name="Currency 3 2 2 5 2 5" xfId="11829" xr:uid="{55CC5E61-B903-47C1-90EB-AF9397A50292}"/>
    <cellStyle name="Currency 3 2 2 5 3" xfId="5460" xr:uid="{00000000-0005-0000-0000-0000F20A0000}"/>
    <cellStyle name="Currency 3 2 2 5 3 2" xfId="22343" xr:uid="{70C4725B-1DC7-47F8-B427-03CB52E0E145}"/>
    <cellStyle name="Currency 3 2 2 5 3 3" xfId="30789" xr:uid="{9F7757A7-601D-4120-B426-5B3FCFA83B31}"/>
    <cellStyle name="Currency 3 2 2 5 3 4" xfId="13902" xr:uid="{87A4BA08-AFDD-49C7-8947-A8D84E9BBCF5}"/>
    <cellStyle name="Currency 3 2 2 5 4" xfId="18125" xr:uid="{28D0FAD0-C8AA-4397-A1A8-1276D3B31ADB}"/>
    <cellStyle name="Currency 3 2 2 5 5" xfId="26570" xr:uid="{D3D42D46-D4CB-47E3-AF71-8C40B15DBADC}"/>
    <cellStyle name="Currency 3 2 2 5 6" xfId="9684" xr:uid="{A4664D81-0D7B-4083-A207-8D08C221A156}"/>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24901" xr:uid="{1A204E04-AB05-4F8C-BA6C-0CCE6D547731}"/>
    <cellStyle name="Currency 3 2 2 6 2 2 3" xfId="33347" xr:uid="{DE04C7A8-5D85-4BB2-8308-A2612F693D55}"/>
    <cellStyle name="Currency 3 2 2 6 2 2 4" xfId="16460" xr:uid="{9942D06C-7EE9-4C8A-8625-0A6EA48E079A}"/>
    <cellStyle name="Currency 3 2 2 6 2 3" xfId="20683" xr:uid="{A132C27C-9FF9-4D8C-87E7-892E8C23F528}"/>
    <cellStyle name="Currency 3 2 2 6 2 4" xfId="29130" xr:uid="{5293F667-C31F-40B5-A91E-2F7FBCEC5264}"/>
    <cellStyle name="Currency 3 2 2 6 2 5" xfId="12242" xr:uid="{F25B7E19-1C6B-49BF-B0C8-49461D42B84D}"/>
    <cellStyle name="Currency 3 2 2 6 3" xfId="5873" xr:uid="{00000000-0005-0000-0000-0000F60A0000}"/>
    <cellStyle name="Currency 3 2 2 6 3 2" xfId="22756" xr:uid="{50CBDB04-07BE-440E-AD44-6E9343AF18B8}"/>
    <cellStyle name="Currency 3 2 2 6 3 3" xfId="31202" xr:uid="{C140909C-999F-4886-9758-A545FCEBEF3A}"/>
    <cellStyle name="Currency 3 2 2 6 3 4" xfId="14315" xr:uid="{23ACB97F-8AF7-44C4-9C3E-3C776929F0D9}"/>
    <cellStyle name="Currency 3 2 2 6 4" xfId="18538" xr:uid="{8882834B-CB0B-46B6-97C5-791E1AEF44F1}"/>
    <cellStyle name="Currency 3 2 2 6 5" xfId="26983" xr:uid="{FDE304CD-D745-4654-9EFF-259C3E580914}"/>
    <cellStyle name="Currency 3 2 2 6 6" xfId="10097" xr:uid="{E702C1C7-C269-4A78-A235-E6EB4E9C043F}"/>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25314" xr:uid="{35E5F388-D024-46FB-9334-473ABAE097C9}"/>
    <cellStyle name="Currency 3 2 2 7 2 2 3" xfId="33760" xr:uid="{FF73DA41-EA45-4F5F-B2B0-FDFC54DAB4F9}"/>
    <cellStyle name="Currency 3 2 2 7 2 2 4" xfId="16873" xr:uid="{06CA05B8-39DB-4350-876E-3768ED66A08E}"/>
    <cellStyle name="Currency 3 2 2 7 2 3" xfId="21096" xr:uid="{70AEDE30-8713-4D83-A52F-31B503DD6872}"/>
    <cellStyle name="Currency 3 2 2 7 2 4" xfId="29543" xr:uid="{A1FB4AE0-B6CE-451A-BE3C-4D982EE43FD7}"/>
    <cellStyle name="Currency 3 2 2 7 2 5" xfId="12655" xr:uid="{913C29DF-C62D-4F9F-A962-C158279E3ED0}"/>
    <cellStyle name="Currency 3 2 2 7 3" xfId="6286" xr:uid="{00000000-0005-0000-0000-0000FA0A0000}"/>
    <cellStyle name="Currency 3 2 2 7 3 2" xfId="23169" xr:uid="{5846A4B7-57FC-42E2-A674-9495FC355D08}"/>
    <cellStyle name="Currency 3 2 2 7 3 3" xfId="31615" xr:uid="{44143EAD-211E-49D3-BF82-6E662FD602CF}"/>
    <cellStyle name="Currency 3 2 2 7 3 4" xfId="14728" xr:uid="{D31A9D91-D22A-4111-8746-A7EECE20AD22}"/>
    <cellStyle name="Currency 3 2 2 7 4" xfId="18951" xr:uid="{25540B6D-D1AF-49E8-9816-6E8F6A7A7A49}"/>
    <cellStyle name="Currency 3 2 2 7 5" xfId="27396" xr:uid="{D2C04B44-2670-48F1-AFCD-95B3AF2C2B8B}"/>
    <cellStyle name="Currency 3 2 2 7 6" xfId="10510" xr:uid="{5289AFB1-2C32-42AB-8600-4143A071D7B3}"/>
    <cellStyle name="Currency 3 2 2 8" xfId="2414" xr:uid="{00000000-0005-0000-0000-0000FB0A0000}"/>
    <cellStyle name="Currency 3 2 2 8 2" xfId="6699" xr:uid="{00000000-0005-0000-0000-0000FC0A0000}"/>
    <cellStyle name="Currency 3 2 2 8 2 2" xfId="23582" xr:uid="{ACAA8104-08D5-413A-8E31-38826A72E50D}"/>
    <cellStyle name="Currency 3 2 2 8 2 3" xfId="32028" xr:uid="{0D3DF332-2A43-4A31-BE60-CB83694D8298}"/>
    <cellStyle name="Currency 3 2 2 8 2 4" xfId="15141" xr:uid="{1E8DABCC-1A30-4CC4-B621-912494DA4319}"/>
    <cellStyle name="Currency 3 2 2 8 3" xfId="19364" xr:uid="{6335449E-24C3-4958-9FAE-0C20691DACAB}"/>
    <cellStyle name="Currency 3 2 2 8 4" xfId="27809" xr:uid="{764FE555-36DE-43A9-8800-EF6EFF190AE3}"/>
    <cellStyle name="Currency 3 2 2 8 5" xfId="10923" xr:uid="{2D984739-71E4-47CC-A136-9792E46E4CCC}"/>
    <cellStyle name="Currency 3 2 2 9" xfId="2711" xr:uid="{00000000-0005-0000-0000-0000FD0A0000}"/>
    <cellStyle name="Currency 3 2 3" xfId="182" xr:uid="{00000000-0005-0000-0000-0000FE0A0000}"/>
    <cellStyle name="Currency 3 2 3 10" xfId="4637" xr:uid="{00000000-0005-0000-0000-0000FF0A0000}"/>
    <cellStyle name="Currency 3 2 3 10 2" xfId="21520" xr:uid="{2C764C21-23C1-4292-8097-EC96713868F5}"/>
    <cellStyle name="Currency 3 2 3 10 3" xfId="29966" xr:uid="{25161451-9531-4742-A8AF-D7F902E48EEE}"/>
    <cellStyle name="Currency 3 2 3 10 4" xfId="13079" xr:uid="{4E0EA848-218C-4907-82F7-6364B649B6DF}"/>
    <cellStyle name="Currency 3 2 3 11" xfId="17302" xr:uid="{07B1CA69-2DC1-4C3D-8BEF-4FD1F914DF52}"/>
    <cellStyle name="Currency 3 2 3 12" xfId="25745" xr:uid="{0CD68980-1989-47AD-A5A9-D3DC01D4C20A}"/>
    <cellStyle name="Currency 3 2 3 13" xfId="8861" xr:uid="{06A581A6-4F40-4495-9C89-833AF1654A86}"/>
    <cellStyle name="Currency 3 2 3 2" xfId="183" xr:uid="{00000000-0005-0000-0000-0000000B0000}"/>
    <cellStyle name="Currency 3 2 3 2 10" xfId="17303" xr:uid="{93034EEF-AA3E-41DE-A42A-6121BDFD1829}"/>
    <cellStyle name="Currency 3 2 3 2 11" xfId="25746" xr:uid="{36CE4948-8F00-496B-89D4-590D0C91B626}"/>
    <cellStyle name="Currency 3 2 3 2 12" xfId="8862" xr:uid="{160583DC-27D2-4CF6-BA0A-B5F600F6F243}"/>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24080" xr:uid="{CD06FC77-D0EA-4372-A82C-1A7077D55949}"/>
    <cellStyle name="Currency 3 2 3 2 2 2 2 3" xfId="32526" xr:uid="{97E0D976-73CD-4E84-A877-BB7CF18D6A7A}"/>
    <cellStyle name="Currency 3 2 3 2 2 2 2 4" xfId="15639" xr:uid="{C5F18B99-2947-4C9B-BA4D-558A9C35AFA8}"/>
    <cellStyle name="Currency 3 2 3 2 2 2 3" xfId="19862" xr:uid="{3B5FFB8C-E62C-4B9A-8254-5A8C22FFEC26}"/>
    <cellStyle name="Currency 3 2 3 2 2 2 4" xfId="28309" xr:uid="{972B16DA-47F5-4F23-A780-EF6B4EA20494}"/>
    <cellStyle name="Currency 3 2 3 2 2 2 5" xfId="11421" xr:uid="{1917B113-A432-4B10-A548-192371B2E534}"/>
    <cellStyle name="Currency 3 2 3 2 2 3" xfId="5052" xr:uid="{00000000-0005-0000-0000-0000040B0000}"/>
    <cellStyle name="Currency 3 2 3 2 2 3 2" xfId="21935" xr:uid="{B0853732-3679-4674-AF71-F6A20B6DE8E5}"/>
    <cellStyle name="Currency 3 2 3 2 2 3 3" xfId="30381" xr:uid="{AB325F81-DC81-4DB6-9D07-B02EE4C736ED}"/>
    <cellStyle name="Currency 3 2 3 2 2 3 4" xfId="13494" xr:uid="{7BA6E34F-750B-474A-9318-B90F46036CE5}"/>
    <cellStyle name="Currency 3 2 3 2 2 4" xfId="17717" xr:uid="{1E9FFCEB-4ECC-450B-9244-85777B2106B1}"/>
    <cellStyle name="Currency 3 2 3 2 2 5" xfId="26162" xr:uid="{139F1041-6D28-45AC-9375-FECDE324E3CE}"/>
    <cellStyle name="Currency 3 2 3 2 2 6" xfId="9276" xr:uid="{6BF5C93A-194F-46E7-85BB-3133A20E1E7B}"/>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24493" xr:uid="{9B035E10-76E0-41C1-887F-342468072A5B}"/>
    <cellStyle name="Currency 3 2 3 2 3 2 2 3" xfId="32939" xr:uid="{9BAD49BD-E108-4966-AA6B-403CD6871114}"/>
    <cellStyle name="Currency 3 2 3 2 3 2 2 4" xfId="16052" xr:uid="{41EF2050-A0D8-4436-A550-21F000C585F4}"/>
    <cellStyle name="Currency 3 2 3 2 3 2 3" xfId="20275" xr:uid="{9D9FE0D6-212A-4D33-8847-09DB3582D6C7}"/>
    <cellStyle name="Currency 3 2 3 2 3 2 4" xfId="28722" xr:uid="{CD31479F-6851-48B4-88B4-C3C356779727}"/>
    <cellStyle name="Currency 3 2 3 2 3 2 5" xfId="11834" xr:uid="{5FB700DE-D5EE-4D2F-8F5A-C940E192B43B}"/>
    <cellStyle name="Currency 3 2 3 2 3 3" xfId="5465" xr:uid="{00000000-0005-0000-0000-0000080B0000}"/>
    <cellStyle name="Currency 3 2 3 2 3 3 2" xfId="22348" xr:uid="{1778E163-D80E-43D3-8203-FA06CFECFD05}"/>
    <cellStyle name="Currency 3 2 3 2 3 3 3" xfId="30794" xr:uid="{801811D3-7AC1-4D41-ABB7-B2C3E36C1D43}"/>
    <cellStyle name="Currency 3 2 3 2 3 3 4" xfId="13907" xr:uid="{CB1091C5-E312-425D-8E66-E71908A36A57}"/>
    <cellStyle name="Currency 3 2 3 2 3 4" xfId="18130" xr:uid="{CAD5AC9D-9F8C-4667-900F-E2B5791D4FA6}"/>
    <cellStyle name="Currency 3 2 3 2 3 5" xfId="26575" xr:uid="{B22496DD-3D8D-4B92-8A19-A848BBBB4BDD}"/>
    <cellStyle name="Currency 3 2 3 2 3 6" xfId="9689" xr:uid="{6BBD5390-434E-4907-8B6C-49A8C0DDBE3A}"/>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24906" xr:uid="{C64E784E-3CA3-42EE-A185-7E4946B4A47F}"/>
    <cellStyle name="Currency 3 2 3 2 4 2 2 3" xfId="33352" xr:uid="{A49D4CCC-A699-452C-AE64-902B175F1E36}"/>
    <cellStyle name="Currency 3 2 3 2 4 2 2 4" xfId="16465" xr:uid="{B304F9E2-2556-4856-A0B7-8DE3C82AFBCE}"/>
    <cellStyle name="Currency 3 2 3 2 4 2 3" xfId="20688" xr:uid="{937C8956-AE9C-40BF-A608-1C0BE2ECE731}"/>
    <cellStyle name="Currency 3 2 3 2 4 2 4" xfId="29135" xr:uid="{8582C49A-84BA-4EC6-A304-DD4CAF6A1C33}"/>
    <cellStyle name="Currency 3 2 3 2 4 2 5" xfId="12247" xr:uid="{3DE13216-EF03-47BC-A1DB-68632805F93D}"/>
    <cellStyle name="Currency 3 2 3 2 4 3" xfId="5878" xr:uid="{00000000-0005-0000-0000-00000C0B0000}"/>
    <cellStyle name="Currency 3 2 3 2 4 3 2" xfId="22761" xr:uid="{BF5A2A82-A8C8-4FE3-9943-073A12D0944E}"/>
    <cellStyle name="Currency 3 2 3 2 4 3 3" xfId="31207" xr:uid="{ECE704B2-ACC6-430C-B4C4-4F81B62A8AA5}"/>
    <cellStyle name="Currency 3 2 3 2 4 3 4" xfId="14320" xr:uid="{5C9749ED-65EB-4FAD-BED0-23A810761B27}"/>
    <cellStyle name="Currency 3 2 3 2 4 4" xfId="18543" xr:uid="{C5824EF0-4D12-4BB6-94C6-EEF11DD9B5BF}"/>
    <cellStyle name="Currency 3 2 3 2 4 5" xfId="26988" xr:uid="{026D9C20-E9ED-43CF-859B-AFF427C1B98B}"/>
    <cellStyle name="Currency 3 2 3 2 4 6" xfId="10102" xr:uid="{1B916482-4174-4FEC-98F9-279A3FABCA84}"/>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25319" xr:uid="{351B900C-1E8F-4F5F-B4C3-A298E73A1E23}"/>
    <cellStyle name="Currency 3 2 3 2 5 2 2 3" xfId="33765" xr:uid="{B4517B4C-A7A3-4E47-8EA7-C2E7AC79BD65}"/>
    <cellStyle name="Currency 3 2 3 2 5 2 2 4" xfId="16878" xr:uid="{02FC9FB8-7BD2-4F88-9CD5-D1332CFF1D2E}"/>
    <cellStyle name="Currency 3 2 3 2 5 2 3" xfId="21101" xr:uid="{0C158805-6891-47E9-83AF-D8765F99C642}"/>
    <cellStyle name="Currency 3 2 3 2 5 2 4" xfId="29548" xr:uid="{A0DF5FED-77CA-40D2-8BF1-5215B2EFA3C6}"/>
    <cellStyle name="Currency 3 2 3 2 5 2 5" xfId="12660" xr:uid="{2A520A44-7CA6-4AF3-92C5-25B8B62A7106}"/>
    <cellStyle name="Currency 3 2 3 2 5 3" xfId="6291" xr:uid="{00000000-0005-0000-0000-0000100B0000}"/>
    <cellStyle name="Currency 3 2 3 2 5 3 2" xfId="23174" xr:uid="{6169DD6E-20EF-40E7-AABC-DAD8302BD407}"/>
    <cellStyle name="Currency 3 2 3 2 5 3 3" xfId="31620" xr:uid="{400F53E6-9794-42EA-877B-019D7388F811}"/>
    <cellStyle name="Currency 3 2 3 2 5 3 4" xfId="14733" xr:uid="{950139DC-0D63-4832-A040-B3D301037D61}"/>
    <cellStyle name="Currency 3 2 3 2 5 4" xfId="18956" xr:uid="{A9814CB7-CCF1-4475-B6AD-123B354706BB}"/>
    <cellStyle name="Currency 3 2 3 2 5 5" xfId="27401" xr:uid="{6847DBEA-1668-4547-AB14-2C98D903D2FF}"/>
    <cellStyle name="Currency 3 2 3 2 5 6" xfId="10515" xr:uid="{76DB6EA7-3DB3-4C6E-AC94-2A02FD80A947}"/>
    <cellStyle name="Currency 3 2 3 2 6" xfId="2419" xr:uid="{00000000-0005-0000-0000-0000110B0000}"/>
    <cellStyle name="Currency 3 2 3 2 6 2" xfId="6704" xr:uid="{00000000-0005-0000-0000-0000120B0000}"/>
    <cellStyle name="Currency 3 2 3 2 6 2 2" xfId="23587" xr:uid="{AE9F0C64-B3CD-4E45-ACFF-A20B7BAC344C}"/>
    <cellStyle name="Currency 3 2 3 2 6 2 3" xfId="32033" xr:uid="{EC22058E-3E55-4CF8-BF99-A1550DFA3C3B}"/>
    <cellStyle name="Currency 3 2 3 2 6 2 4" xfId="15146" xr:uid="{5A6429AA-0B5C-4D05-A6ED-8EDA2E063480}"/>
    <cellStyle name="Currency 3 2 3 2 6 3" xfId="19369" xr:uid="{0E05B7D2-B867-4D44-9774-4E7C656FFEC8}"/>
    <cellStyle name="Currency 3 2 3 2 6 4" xfId="27814" xr:uid="{5E07C496-3E8B-4829-8463-A996D3955E0C}"/>
    <cellStyle name="Currency 3 2 3 2 6 5" xfId="10928" xr:uid="{C5D59E08-86CF-467B-8982-9ADB9546D6A2}"/>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23904" xr:uid="{CE05CE32-3115-43F0-8A94-0B48FED71E7A}"/>
    <cellStyle name="Currency 3 2 3 2 8 2 3" xfId="32350" xr:uid="{6EFA00B2-3F56-422F-B566-52E96816693A}"/>
    <cellStyle name="Currency 3 2 3 2 8 2 4" xfId="15463" xr:uid="{F77F5BAE-C32F-411A-A40E-537F2C42AA7C}"/>
    <cellStyle name="Currency 3 2 3 2 8 3" xfId="19686" xr:uid="{C65FF426-9FAA-49DA-B2E7-92138E6AEC9E}"/>
    <cellStyle name="Currency 3 2 3 2 8 4" xfId="28133" xr:uid="{60C183C9-38B9-4BD2-890F-F2E1A8E6472E}"/>
    <cellStyle name="Currency 3 2 3 2 8 5" xfId="11245" xr:uid="{8F1F68D3-9BD8-41CE-AD1F-53C194DC21F7}"/>
    <cellStyle name="Currency 3 2 3 2 9" xfId="4638" xr:uid="{00000000-0005-0000-0000-0000160B0000}"/>
    <cellStyle name="Currency 3 2 3 2 9 2" xfId="21521" xr:uid="{B466FF07-49B2-43C9-A4D2-67B1957510FA}"/>
    <cellStyle name="Currency 3 2 3 2 9 3" xfId="29967" xr:uid="{04A0921D-90F3-48D7-8250-0EBC88D412E1}"/>
    <cellStyle name="Currency 3 2 3 2 9 4" xfId="13080" xr:uid="{460C9DEF-1314-4326-8D45-872AB79B79C7}"/>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24079" xr:uid="{CB061D75-AF6F-4889-8E0D-6BAAD4ADCB22}"/>
    <cellStyle name="Currency 3 2 3 3 2 2 3" xfId="32525" xr:uid="{15FC4736-4782-446A-B526-53B00F0C75B2}"/>
    <cellStyle name="Currency 3 2 3 3 2 2 4" xfId="15638" xr:uid="{E6559D99-DFAA-4E68-BBC2-086F7186548D}"/>
    <cellStyle name="Currency 3 2 3 3 2 3" xfId="19861" xr:uid="{30A276D8-C43B-434B-87FA-DCCBB221F0CB}"/>
    <cellStyle name="Currency 3 2 3 3 2 4" xfId="28308" xr:uid="{83B8046E-66FA-4CB6-917F-3249B4692BE7}"/>
    <cellStyle name="Currency 3 2 3 3 2 5" xfId="11420" xr:uid="{001074E3-95C3-4B62-B4E7-50D44995E326}"/>
    <cellStyle name="Currency 3 2 3 3 3" xfId="5051" xr:uid="{00000000-0005-0000-0000-00001A0B0000}"/>
    <cellStyle name="Currency 3 2 3 3 3 2" xfId="21934" xr:uid="{1AEFB2F7-1F23-46A3-9E53-9874104B061D}"/>
    <cellStyle name="Currency 3 2 3 3 3 3" xfId="30380" xr:uid="{4D178FB0-35AC-476A-B47E-EA1319887901}"/>
    <cellStyle name="Currency 3 2 3 3 3 4" xfId="13493" xr:uid="{C8161906-6FAF-4441-A78C-D93AFB8F7E8A}"/>
    <cellStyle name="Currency 3 2 3 3 4" xfId="17716" xr:uid="{CBF509D5-FAAF-4E53-8D54-5B0B0924D829}"/>
    <cellStyle name="Currency 3 2 3 3 5" xfId="26161" xr:uid="{F4496D53-12C9-4E10-AB8D-4D6FEABE525C}"/>
    <cellStyle name="Currency 3 2 3 3 6" xfId="9275" xr:uid="{DEC313A2-B0E1-4EA9-A784-65CA99BF9E23}"/>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24492" xr:uid="{A738F024-3254-4483-B993-8350A12357B9}"/>
    <cellStyle name="Currency 3 2 3 4 2 2 3" xfId="32938" xr:uid="{CC9F8C7A-E195-4EC0-A542-ABB6106162B7}"/>
    <cellStyle name="Currency 3 2 3 4 2 2 4" xfId="16051" xr:uid="{814E5075-24BA-4489-BD70-802984B91C62}"/>
    <cellStyle name="Currency 3 2 3 4 2 3" xfId="20274" xr:uid="{214FF2B1-D041-48D6-BFAC-DA4299AD83CB}"/>
    <cellStyle name="Currency 3 2 3 4 2 4" xfId="28721" xr:uid="{EECEF3AD-68F0-48DA-9DF6-B98B6C456F4B}"/>
    <cellStyle name="Currency 3 2 3 4 2 5" xfId="11833" xr:uid="{E53355FB-8A7A-4793-A31E-AD31371830EC}"/>
    <cellStyle name="Currency 3 2 3 4 3" xfId="5464" xr:uid="{00000000-0005-0000-0000-00001E0B0000}"/>
    <cellStyle name="Currency 3 2 3 4 3 2" xfId="22347" xr:uid="{E9FD4D0E-F4CD-468B-AF9B-698AE39FD546}"/>
    <cellStyle name="Currency 3 2 3 4 3 3" xfId="30793" xr:uid="{CAC8960F-A74D-45C2-ADDF-D63A28C984D9}"/>
    <cellStyle name="Currency 3 2 3 4 3 4" xfId="13906" xr:uid="{16660C59-9995-4033-B16F-C2ACE95D0049}"/>
    <cellStyle name="Currency 3 2 3 4 4" xfId="18129" xr:uid="{C9DD1CCB-7EE2-4186-9329-7022CA63A79A}"/>
    <cellStyle name="Currency 3 2 3 4 5" xfId="26574" xr:uid="{49EC45E2-4AF6-4314-A5A4-F42594895EE8}"/>
    <cellStyle name="Currency 3 2 3 4 6" xfId="9688" xr:uid="{3DDAC032-82BF-4276-8AE0-6B53CA3CCA5F}"/>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24905" xr:uid="{28496302-3F0C-400D-85B3-D0AEB5226DEA}"/>
    <cellStyle name="Currency 3 2 3 5 2 2 3" xfId="33351" xr:uid="{280FBBC0-4C28-48C6-9034-0E85081283A2}"/>
    <cellStyle name="Currency 3 2 3 5 2 2 4" xfId="16464" xr:uid="{0DF783A6-5036-4ACD-8BF0-F5631900AC06}"/>
    <cellStyle name="Currency 3 2 3 5 2 3" xfId="20687" xr:uid="{0C57BCB8-04F2-4194-B6DD-4B4E167FE465}"/>
    <cellStyle name="Currency 3 2 3 5 2 4" xfId="29134" xr:uid="{FBF7F01F-9A39-4E23-ADF1-4B21B056E05A}"/>
    <cellStyle name="Currency 3 2 3 5 2 5" xfId="12246" xr:uid="{4E5B32B3-D622-449C-AA01-ABEE52B0EE8D}"/>
    <cellStyle name="Currency 3 2 3 5 3" xfId="5877" xr:uid="{00000000-0005-0000-0000-0000220B0000}"/>
    <cellStyle name="Currency 3 2 3 5 3 2" xfId="22760" xr:uid="{0382FB5A-DD67-4092-981B-DD7E04438128}"/>
    <cellStyle name="Currency 3 2 3 5 3 3" xfId="31206" xr:uid="{009785D5-A853-494C-87AD-FFA3A4B69A5E}"/>
    <cellStyle name="Currency 3 2 3 5 3 4" xfId="14319" xr:uid="{DA288ED1-36B5-4AA4-99CC-0B55C35C8AC7}"/>
    <cellStyle name="Currency 3 2 3 5 4" xfId="18542" xr:uid="{791A628C-8D38-4A27-97B9-54D102F51EFD}"/>
    <cellStyle name="Currency 3 2 3 5 5" xfId="26987" xr:uid="{F9C95A43-3B04-4525-83C9-EBEC96853C2C}"/>
    <cellStyle name="Currency 3 2 3 5 6" xfId="10101" xr:uid="{E39A3364-29AF-4F4E-BACC-4F9BAD2D7887}"/>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25318" xr:uid="{1DE47C8A-205F-4E05-ACAB-F39280B12983}"/>
    <cellStyle name="Currency 3 2 3 6 2 2 3" xfId="33764" xr:uid="{2142D8D4-D584-4765-A70F-53098678E015}"/>
    <cellStyle name="Currency 3 2 3 6 2 2 4" xfId="16877" xr:uid="{342A9772-ED13-49B1-B409-CB3306877738}"/>
    <cellStyle name="Currency 3 2 3 6 2 3" xfId="21100" xr:uid="{A835C5D6-29F1-4100-B7D6-A2B186A6CF2F}"/>
    <cellStyle name="Currency 3 2 3 6 2 4" xfId="29547" xr:uid="{CD201D68-506C-4D69-989F-C49E582AA3E2}"/>
    <cellStyle name="Currency 3 2 3 6 2 5" xfId="12659" xr:uid="{9748ED9B-75EF-48DC-BF65-FCD60D01D255}"/>
    <cellStyle name="Currency 3 2 3 6 3" xfId="6290" xr:uid="{00000000-0005-0000-0000-0000260B0000}"/>
    <cellStyle name="Currency 3 2 3 6 3 2" xfId="23173" xr:uid="{8885E7A7-41D4-4384-8B23-14195532BD4F}"/>
    <cellStyle name="Currency 3 2 3 6 3 3" xfId="31619" xr:uid="{EF199CB0-7D09-415E-B3A0-6595AF6A83D2}"/>
    <cellStyle name="Currency 3 2 3 6 3 4" xfId="14732" xr:uid="{7D830BA5-1A9B-4D16-BB83-59375E9E171E}"/>
    <cellStyle name="Currency 3 2 3 6 4" xfId="18955" xr:uid="{00F754FF-2987-4B77-9B0D-2ACC35B740A6}"/>
    <cellStyle name="Currency 3 2 3 6 5" xfId="27400" xr:uid="{55716648-8878-42D3-81D1-46F3B394DB15}"/>
    <cellStyle name="Currency 3 2 3 6 6" xfId="10514" xr:uid="{0E31461B-C2AF-465C-9DDB-2362E509263D}"/>
    <cellStyle name="Currency 3 2 3 7" xfId="2418" xr:uid="{00000000-0005-0000-0000-0000270B0000}"/>
    <cellStyle name="Currency 3 2 3 7 2" xfId="6703" xr:uid="{00000000-0005-0000-0000-0000280B0000}"/>
    <cellStyle name="Currency 3 2 3 7 2 2" xfId="23586" xr:uid="{4828B7FA-B453-4FBD-B61F-3B81869EE58C}"/>
    <cellStyle name="Currency 3 2 3 7 2 3" xfId="32032" xr:uid="{82A77CCB-E127-416F-8F80-EBDB9CB16253}"/>
    <cellStyle name="Currency 3 2 3 7 2 4" xfId="15145" xr:uid="{CF73184B-7595-4C84-B448-FB4C2ADC9C64}"/>
    <cellStyle name="Currency 3 2 3 7 3" xfId="19368" xr:uid="{AEAB8E6A-3711-435D-9B02-9E4755CC15A9}"/>
    <cellStyle name="Currency 3 2 3 7 4" xfId="27813" xr:uid="{D8DA31CC-2EB9-4390-8F29-B4A9E8E540B1}"/>
    <cellStyle name="Currency 3 2 3 7 5" xfId="10927" xr:uid="{102BAFAA-C7B8-417A-98DB-A427DAF53088}"/>
    <cellStyle name="Currency 3 2 3 8" xfId="2715" xr:uid="{00000000-0005-0000-0000-0000290B0000}"/>
    <cellStyle name="Currency 3 2 3 9" xfId="2796" xr:uid="{00000000-0005-0000-0000-00002A0B0000}"/>
    <cellStyle name="Currency 3 2 3 9 2" xfId="7020" xr:uid="{00000000-0005-0000-0000-00002B0B0000}"/>
    <cellStyle name="Currency 3 2 3 9 2 2" xfId="23903" xr:uid="{0DF1F5DC-999B-438F-8D66-3F28B478FD5B}"/>
    <cellStyle name="Currency 3 2 3 9 2 3" xfId="32349" xr:uid="{2232D896-8B3C-4447-B27F-3C6A2E160A49}"/>
    <cellStyle name="Currency 3 2 3 9 2 4" xfId="15462" xr:uid="{6245B9C7-C95A-4A04-A097-0DE0F6731C48}"/>
    <cellStyle name="Currency 3 2 3 9 3" xfId="19685" xr:uid="{C946AA08-95AF-4552-8960-2D0C90915DDE}"/>
    <cellStyle name="Currency 3 2 3 9 4" xfId="28132" xr:uid="{55106C73-7AEE-4F63-A3FE-04F7AB8F62D6}"/>
    <cellStyle name="Currency 3 2 3 9 5" xfId="11244" xr:uid="{88A86ED1-7BE0-4306-B2B9-BDE0E851380D}"/>
    <cellStyle name="Currency 3 2 4" xfId="184" xr:uid="{00000000-0005-0000-0000-00002C0B0000}"/>
    <cellStyle name="Currency 3 2 4 10" xfId="17304" xr:uid="{2F1A7255-FF06-4872-B172-C4F6FA4C1E4D}"/>
    <cellStyle name="Currency 3 2 4 11" xfId="25747" xr:uid="{19A9823D-CC82-4441-9AC3-AC85DCEB9D36}"/>
    <cellStyle name="Currency 3 2 4 12" xfId="8863" xr:uid="{FC893A7E-CE7B-4919-B51D-1D2A6416E51F}"/>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24081" xr:uid="{4285ACD6-5BF8-4451-909A-B222A317EAD2}"/>
    <cellStyle name="Currency 3 2 4 2 2 2 3" xfId="32527" xr:uid="{E4C96A5F-FF00-4619-80F3-CF43DFA95193}"/>
    <cellStyle name="Currency 3 2 4 2 2 2 4" xfId="15640" xr:uid="{74E53711-189F-4506-90A5-CC439F0B0418}"/>
    <cellStyle name="Currency 3 2 4 2 2 3" xfId="19863" xr:uid="{CC5BB65E-8F65-4E7E-8C3E-F81B1C7C7CD4}"/>
    <cellStyle name="Currency 3 2 4 2 2 4" xfId="28310" xr:uid="{997B1B0E-9965-4F62-9FEE-9FB737053D5C}"/>
    <cellStyle name="Currency 3 2 4 2 2 5" xfId="11422" xr:uid="{077EBCD5-16F6-4ADC-BD59-B0918B8FDFDA}"/>
    <cellStyle name="Currency 3 2 4 2 3" xfId="5053" xr:uid="{00000000-0005-0000-0000-0000300B0000}"/>
    <cellStyle name="Currency 3 2 4 2 3 2" xfId="21936" xr:uid="{5C5CF7D3-45A5-451F-9F32-3343F1BD2A4F}"/>
    <cellStyle name="Currency 3 2 4 2 3 3" xfId="30382" xr:uid="{B172B763-7EA0-48F2-8BDA-72E4DA1B65B0}"/>
    <cellStyle name="Currency 3 2 4 2 3 4" xfId="13495" xr:uid="{D0B4191C-E875-42DD-8EEF-3D573A0F31FE}"/>
    <cellStyle name="Currency 3 2 4 2 4" xfId="17718" xr:uid="{0EB31D7B-4F2D-4475-AD6A-667B3ED0A269}"/>
    <cellStyle name="Currency 3 2 4 2 5" xfId="26163" xr:uid="{2A3E7633-B9F6-48A3-B3D8-0B05EB769A2D}"/>
    <cellStyle name="Currency 3 2 4 2 6" xfId="9277" xr:uid="{751C0CEF-2CB5-4F4E-B39B-5E07A4030A71}"/>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24494" xr:uid="{87406739-EF79-4331-9E74-AF24B9F69467}"/>
    <cellStyle name="Currency 3 2 4 3 2 2 3" xfId="32940" xr:uid="{2C68A65A-5CE9-433F-A399-394EC7489F90}"/>
    <cellStyle name="Currency 3 2 4 3 2 2 4" xfId="16053" xr:uid="{E1207AAB-CB4B-459C-BBB3-D82C70F75EA8}"/>
    <cellStyle name="Currency 3 2 4 3 2 3" xfId="20276" xr:uid="{261232F9-BEE6-4D0D-8F49-CB9DFC2482AA}"/>
    <cellStyle name="Currency 3 2 4 3 2 4" xfId="28723" xr:uid="{98C2C807-A4A6-4529-B615-2604B89A3760}"/>
    <cellStyle name="Currency 3 2 4 3 2 5" xfId="11835" xr:uid="{1195EFBC-A9C3-4185-8E5A-A01BD974686B}"/>
    <cellStyle name="Currency 3 2 4 3 3" xfId="5466" xr:uid="{00000000-0005-0000-0000-0000340B0000}"/>
    <cellStyle name="Currency 3 2 4 3 3 2" xfId="22349" xr:uid="{53178AC1-EAA7-4682-8ADF-AB2BF9AB164C}"/>
    <cellStyle name="Currency 3 2 4 3 3 3" xfId="30795" xr:uid="{6F01C7A2-7EA4-4EEF-B6BB-AE6FE77CEE52}"/>
    <cellStyle name="Currency 3 2 4 3 3 4" xfId="13908" xr:uid="{EFE88DD1-3422-4481-9477-04C5138E2568}"/>
    <cellStyle name="Currency 3 2 4 3 4" xfId="18131" xr:uid="{F318F46A-9138-402F-99E8-C4A07B8E0AAF}"/>
    <cellStyle name="Currency 3 2 4 3 5" xfId="26576" xr:uid="{3BE11958-97F6-4ACC-AE64-07534097D361}"/>
    <cellStyle name="Currency 3 2 4 3 6" xfId="9690" xr:uid="{54F51169-7B88-4C6E-93B5-CF9DDFF9A996}"/>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24907" xr:uid="{3867E0C7-45FB-430B-9C12-C04D0454527E}"/>
    <cellStyle name="Currency 3 2 4 4 2 2 3" xfId="33353" xr:uid="{77A54393-70FC-4A4E-A883-882C7EF27DB6}"/>
    <cellStyle name="Currency 3 2 4 4 2 2 4" xfId="16466" xr:uid="{CBBF150B-0977-467F-8DD5-5FDF237672B4}"/>
    <cellStyle name="Currency 3 2 4 4 2 3" xfId="20689" xr:uid="{9140BFD8-1A5E-47E3-80E6-DE5C3E3CCEB5}"/>
    <cellStyle name="Currency 3 2 4 4 2 4" xfId="29136" xr:uid="{4280825C-2EF3-4C70-91FE-8617E0A63C34}"/>
    <cellStyle name="Currency 3 2 4 4 2 5" xfId="12248" xr:uid="{BB90E25C-936A-4D79-B0A6-2FF2E565C590}"/>
    <cellStyle name="Currency 3 2 4 4 3" xfId="5879" xr:uid="{00000000-0005-0000-0000-0000380B0000}"/>
    <cellStyle name="Currency 3 2 4 4 3 2" xfId="22762" xr:uid="{424A44A5-D138-48B6-A4E7-B1E9693AE50A}"/>
    <cellStyle name="Currency 3 2 4 4 3 3" xfId="31208" xr:uid="{CA0C36E5-5345-4DA9-B586-2D7318E8ADCB}"/>
    <cellStyle name="Currency 3 2 4 4 3 4" xfId="14321" xr:uid="{51CCE889-483B-4F2A-B39C-6407A3D7EBAC}"/>
    <cellStyle name="Currency 3 2 4 4 4" xfId="18544" xr:uid="{24FC4847-91D4-4A8B-AF35-8397A442AC5A}"/>
    <cellStyle name="Currency 3 2 4 4 5" xfId="26989" xr:uid="{8593A36B-6E00-4B56-9263-9C1AC7774249}"/>
    <cellStyle name="Currency 3 2 4 4 6" xfId="10103" xr:uid="{B7A3B56C-5FC9-46D2-B0AA-B3685460D4A9}"/>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25320" xr:uid="{304B3966-6F22-4D38-928A-475628218D9E}"/>
    <cellStyle name="Currency 3 2 4 5 2 2 3" xfId="33766" xr:uid="{A380C089-0557-4A57-B510-755F2085DF11}"/>
    <cellStyle name="Currency 3 2 4 5 2 2 4" xfId="16879" xr:uid="{31743DDF-D224-4774-931A-7D48B0DD50A0}"/>
    <cellStyle name="Currency 3 2 4 5 2 3" xfId="21102" xr:uid="{BE9276A6-2EE7-4925-B568-B9E0A2055ADC}"/>
    <cellStyle name="Currency 3 2 4 5 2 4" xfId="29549" xr:uid="{B3C5582A-A8C1-4F73-AE24-6DA076CFCF69}"/>
    <cellStyle name="Currency 3 2 4 5 2 5" xfId="12661" xr:uid="{5BC3A4A7-D12B-4A53-B8B1-697C2AAD3898}"/>
    <cellStyle name="Currency 3 2 4 5 3" xfId="6292" xr:uid="{00000000-0005-0000-0000-00003C0B0000}"/>
    <cellStyle name="Currency 3 2 4 5 3 2" xfId="23175" xr:uid="{69892A37-55B7-4C2A-9A03-314C0734744F}"/>
    <cellStyle name="Currency 3 2 4 5 3 3" xfId="31621" xr:uid="{E36ED986-22AE-42BD-BDEF-8ABED9B04C37}"/>
    <cellStyle name="Currency 3 2 4 5 3 4" xfId="14734" xr:uid="{D979074D-1C88-4FC6-BCDB-8A7C855DE882}"/>
    <cellStyle name="Currency 3 2 4 5 4" xfId="18957" xr:uid="{F4C90618-4EBC-491C-B877-52D291F4F186}"/>
    <cellStyle name="Currency 3 2 4 5 5" xfId="27402" xr:uid="{C42E58E5-D7B3-4A95-A9B8-F18697F19C30}"/>
    <cellStyle name="Currency 3 2 4 5 6" xfId="10516" xr:uid="{4ED84BC9-5060-4397-A881-C6A92FAF1018}"/>
    <cellStyle name="Currency 3 2 4 6" xfId="2420" xr:uid="{00000000-0005-0000-0000-00003D0B0000}"/>
    <cellStyle name="Currency 3 2 4 6 2" xfId="6705" xr:uid="{00000000-0005-0000-0000-00003E0B0000}"/>
    <cellStyle name="Currency 3 2 4 6 2 2" xfId="23588" xr:uid="{891A7367-D2EA-4F09-B1E9-2A8D1FC4F6FF}"/>
    <cellStyle name="Currency 3 2 4 6 2 3" xfId="32034" xr:uid="{DBE15AE2-4770-4205-8CBC-6BE37D544252}"/>
    <cellStyle name="Currency 3 2 4 6 2 4" xfId="15147" xr:uid="{0CC3B369-9747-492F-9605-58584058BD30}"/>
    <cellStyle name="Currency 3 2 4 6 3" xfId="19370" xr:uid="{5A166A20-3F76-4A61-90F2-26916ADE2E0E}"/>
    <cellStyle name="Currency 3 2 4 6 4" xfId="27815" xr:uid="{FB317761-8B30-40D9-A12F-8AD35CF780B8}"/>
    <cellStyle name="Currency 3 2 4 6 5" xfId="10929" xr:uid="{A785B2C2-33B9-433A-A509-38CD52EAF935}"/>
    <cellStyle name="Currency 3 2 4 7" xfId="2717" xr:uid="{00000000-0005-0000-0000-00003F0B0000}"/>
    <cellStyle name="Currency 3 2 4 8" xfId="2798" xr:uid="{00000000-0005-0000-0000-0000400B0000}"/>
    <cellStyle name="Currency 3 2 4 8 2" xfId="7022" xr:uid="{00000000-0005-0000-0000-0000410B0000}"/>
    <cellStyle name="Currency 3 2 4 8 2 2" xfId="23905" xr:uid="{74791697-6CE0-447A-B3AF-735139A9BD04}"/>
    <cellStyle name="Currency 3 2 4 8 2 3" xfId="32351" xr:uid="{ACBC3EF1-1E12-47F9-A13C-16334C4ACDA0}"/>
    <cellStyle name="Currency 3 2 4 8 2 4" xfId="15464" xr:uid="{DAF33DBB-9CD6-4B6D-B8ED-2544BB9C4EAC}"/>
    <cellStyle name="Currency 3 2 4 8 3" xfId="19687" xr:uid="{7236523D-FBCD-4892-9A27-86630AB9F5A2}"/>
    <cellStyle name="Currency 3 2 4 8 4" xfId="28134" xr:uid="{0AB4EF81-9C36-4ED9-9000-A8ED7EA75247}"/>
    <cellStyle name="Currency 3 2 4 8 5" xfId="11246" xr:uid="{D531CC6C-6125-4D41-96C7-523953332236}"/>
    <cellStyle name="Currency 3 2 4 9" xfId="4639" xr:uid="{00000000-0005-0000-0000-0000420B0000}"/>
    <cellStyle name="Currency 3 2 4 9 2" xfId="21522" xr:uid="{CCF9D110-0D7A-4AAB-9521-64E9FE209CB9}"/>
    <cellStyle name="Currency 3 2 4 9 3" xfId="29968" xr:uid="{AB84E17D-0F7B-4E6A-A34E-C00B370067D2}"/>
    <cellStyle name="Currency 3 2 4 9 4" xfId="13081" xr:uid="{7F36E763-DEBA-4005-B2A0-667E67688819}"/>
    <cellStyle name="Currency 3 2 5" xfId="185" xr:uid="{00000000-0005-0000-0000-0000430B0000}"/>
    <cellStyle name="Currency 3 2 5 10" xfId="17305" xr:uid="{9A8988BC-D846-400A-B0E6-127EDEEF130C}"/>
    <cellStyle name="Currency 3 2 5 11" xfId="25748" xr:uid="{17A80FC2-5473-4701-BBF6-B767675648BA}"/>
    <cellStyle name="Currency 3 2 5 12" xfId="8864" xr:uid="{BEB13C3F-BA46-4A79-AFDE-20394C4DEB1F}"/>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24082" xr:uid="{619EEEA8-D003-46B8-B74E-2547A20FBEDD}"/>
    <cellStyle name="Currency 3 2 5 2 2 2 3" xfId="32528" xr:uid="{980BAB71-8508-4F75-924C-F9E3BD062415}"/>
    <cellStyle name="Currency 3 2 5 2 2 2 4" xfId="15641" xr:uid="{95790EFF-4B57-4660-9A46-AE29A77F390C}"/>
    <cellStyle name="Currency 3 2 5 2 2 3" xfId="19864" xr:uid="{2F317D21-940A-4189-B1EC-CC3CA78ED9A7}"/>
    <cellStyle name="Currency 3 2 5 2 2 4" xfId="28311" xr:uid="{7B66E8E7-4EB0-4D63-A886-F3315EB997B2}"/>
    <cellStyle name="Currency 3 2 5 2 2 5" xfId="11423" xr:uid="{6D05AFDC-B106-4312-80FF-1949C5BB3815}"/>
    <cellStyle name="Currency 3 2 5 2 3" xfId="5054" xr:uid="{00000000-0005-0000-0000-0000470B0000}"/>
    <cellStyle name="Currency 3 2 5 2 3 2" xfId="21937" xr:uid="{B8CCAB5F-8B84-4FDC-9E17-344C38107510}"/>
    <cellStyle name="Currency 3 2 5 2 3 3" xfId="30383" xr:uid="{532411C9-3EFA-4540-84BB-CF02FCAE8C4F}"/>
    <cellStyle name="Currency 3 2 5 2 3 4" xfId="13496" xr:uid="{99E34848-7B88-4BA1-811D-692E9D881729}"/>
    <cellStyle name="Currency 3 2 5 2 4" xfId="17719" xr:uid="{8D8794A9-44BB-404A-A994-6121EC0907EC}"/>
    <cellStyle name="Currency 3 2 5 2 5" xfId="26164" xr:uid="{88A1401C-6DB0-4003-B68D-DD4693A39861}"/>
    <cellStyle name="Currency 3 2 5 2 6" xfId="9278" xr:uid="{8CEC9386-537F-4FEF-8F82-71213346C7FA}"/>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24495" xr:uid="{B538CEEF-84CD-4002-81C0-198962B1B74E}"/>
    <cellStyle name="Currency 3 2 5 3 2 2 3" xfId="32941" xr:uid="{B28727E9-5020-4383-A2AD-698727D0C259}"/>
    <cellStyle name="Currency 3 2 5 3 2 2 4" xfId="16054" xr:uid="{DD9DDA38-2407-4D5A-9BF5-FE7588D28267}"/>
    <cellStyle name="Currency 3 2 5 3 2 3" xfId="20277" xr:uid="{EE8EDEE4-DECB-4106-AC1C-52CAA907FD09}"/>
    <cellStyle name="Currency 3 2 5 3 2 4" xfId="28724" xr:uid="{228C65CB-459A-4657-A746-903EBA232917}"/>
    <cellStyle name="Currency 3 2 5 3 2 5" xfId="11836" xr:uid="{637EDC53-7EC5-4FC6-B449-F83D71C6B5BC}"/>
    <cellStyle name="Currency 3 2 5 3 3" xfId="5467" xr:uid="{00000000-0005-0000-0000-00004B0B0000}"/>
    <cellStyle name="Currency 3 2 5 3 3 2" xfId="22350" xr:uid="{CCFA29E5-9E7D-4FCC-878C-64B3AEB7D365}"/>
    <cellStyle name="Currency 3 2 5 3 3 3" xfId="30796" xr:uid="{14967910-9631-4B57-9542-4CCA8766B446}"/>
    <cellStyle name="Currency 3 2 5 3 3 4" xfId="13909" xr:uid="{3836774A-BF55-4689-A213-CD4A47AF275F}"/>
    <cellStyle name="Currency 3 2 5 3 4" xfId="18132" xr:uid="{51076096-37E6-4507-B737-9A8BA3583CBB}"/>
    <cellStyle name="Currency 3 2 5 3 5" xfId="26577" xr:uid="{51AF1D18-5454-4EF9-962B-BB3C1B2CC547}"/>
    <cellStyle name="Currency 3 2 5 3 6" xfId="9691" xr:uid="{90186D48-C058-448D-9FF5-7949B2B84BA8}"/>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24908" xr:uid="{0607831A-5450-406B-856F-4B9A6EC19950}"/>
    <cellStyle name="Currency 3 2 5 4 2 2 3" xfId="33354" xr:uid="{2F0FE3CA-9E9E-4775-9B97-6DFB7C01DDE7}"/>
    <cellStyle name="Currency 3 2 5 4 2 2 4" xfId="16467" xr:uid="{E55F59B6-240C-4BBF-8DC1-CF7457B701EE}"/>
    <cellStyle name="Currency 3 2 5 4 2 3" xfId="20690" xr:uid="{B7E92102-AB0D-4324-B6F8-FF8A9ED40675}"/>
    <cellStyle name="Currency 3 2 5 4 2 4" xfId="29137" xr:uid="{3013120E-F2C3-4303-9C7C-C88193B70F48}"/>
    <cellStyle name="Currency 3 2 5 4 2 5" xfId="12249" xr:uid="{053C3DD3-1EEA-4645-ACA9-F7A002200EE5}"/>
    <cellStyle name="Currency 3 2 5 4 3" xfId="5880" xr:uid="{00000000-0005-0000-0000-00004F0B0000}"/>
    <cellStyle name="Currency 3 2 5 4 3 2" xfId="22763" xr:uid="{E9420F1B-0817-4293-80AF-D85870C04EB8}"/>
    <cellStyle name="Currency 3 2 5 4 3 3" xfId="31209" xr:uid="{B2B103D3-D5FD-410C-AF2E-EB7D08394FDD}"/>
    <cellStyle name="Currency 3 2 5 4 3 4" xfId="14322" xr:uid="{E4E87233-E89F-42FF-840C-E829F926196B}"/>
    <cellStyle name="Currency 3 2 5 4 4" xfId="18545" xr:uid="{02DBCD93-895D-4A8C-952D-13F15BA3E169}"/>
    <cellStyle name="Currency 3 2 5 4 5" xfId="26990" xr:uid="{4E066859-9CB3-40DC-B094-ED55EA878C0D}"/>
    <cellStyle name="Currency 3 2 5 4 6" xfId="10104" xr:uid="{E48E584F-63D8-4EE8-81AD-AC0672ADA7EE}"/>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25321" xr:uid="{00CAAC90-6677-4850-8761-3757F78C52D8}"/>
    <cellStyle name="Currency 3 2 5 5 2 2 3" xfId="33767" xr:uid="{EC78BAB7-A801-4B3C-9B12-A5F9D6569F3D}"/>
    <cellStyle name="Currency 3 2 5 5 2 2 4" xfId="16880" xr:uid="{16E96743-D3FB-499D-BAA0-52DF98730CCE}"/>
    <cellStyle name="Currency 3 2 5 5 2 3" xfId="21103" xr:uid="{77FC5304-5D87-4F32-A9F1-F6051C09AF3D}"/>
    <cellStyle name="Currency 3 2 5 5 2 4" xfId="29550" xr:uid="{6D252FCB-35B7-4372-BA8E-C00AC15FA180}"/>
    <cellStyle name="Currency 3 2 5 5 2 5" xfId="12662" xr:uid="{E00A661F-7E8D-4AF7-BA44-74D186FF693C}"/>
    <cellStyle name="Currency 3 2 5 5 3" xfId="6293" xr:uid="{00000000-0005-0000-0000-0000530B0000}"/>
    <cellStyle name="Currency 3 2 5 5 3 2" xfId="23176" xr:uid="{91C88028-B31B-43E8-A1C7-B04ADAAE5911}"/>
    <cellStyle name="Currency 3 2 5 5 3 3" xfId="31622" xr:uid="{27612E1B-8761-4387-8904-219AC2F71C98}"/>
    <cellStyle name="Currency 3 2 5 5 3 4" xfId="14735" xr:uid="{C7DE27F7-CE67-429B-A4B9-A8650B4E03EE}"/>
    <cellStyle name="Currency 3 2 5 5 4" xfId="18958" xr:uid="{FEDE4EF6-A094-4ADF-BE8C-280B44EC15D8}"/>
    <cellStyle name="Currency 3 2 5 5 5" xfId="27403" xr:uid="{99D6A6A0-CA73-472D-9423-47C2B9DA7489}"/>
    <cellStyle name="Currency 3 2 5 5 6" xfId="10517" xr:uid="{628ED7C2-E3FD-425D-A0E4-DD94C1BB5267}"/>
    <cellStyle name="Currency 3 2 5 6" xfId="2421" xr:uid="{00000000-0005-0000-0000-0000540B0000}"/>
    <cellStyle name="Currency 3 2 5 6 2" xfId="6706" xr:uid="{00000000-0005-0000-0000-0000550B0000}"/>
    <cellStyle name="Currency 3 2 5 6 2 2" xfId="23589" xr:uid="{651A4FD0-4D23-46D5-B13E-D4555C5136E8}"/>
    <cellStyle name="Currency 3 2 5 6 2 3" xfId="32035" xr:uid="{722AC76C-1A3B-4320-97C1-A44559B1FFE4}"/>
    <cellStyle name="Currency 3 2 5 6 2 4" xfId="15148" xr:uid="{960D0FEF-422A-418F-9838-E7533E2E08EF}"/>
    <cellStyle name="Currency 3 2 5 6 3" xfId="19371" xr:uid="{8E7E52D3-49CD-4FC9-8AA1-8E864531E3D5}"/>
    <cellStyle name="Currency 3 2 5 6 4" xfId="27816" xr:uid="{D8740D76-BE32-4EEC-AE82-8CED887D8556}"/>
    <cellStyle name="Currency 3 2 5 6 5" xfId="10930" xr:uid="{D87179E0-3372-4F05-AFFB-94677B12784F}"/>
    <cellStyle name="Currency 3 2 5 7" xfId="2718" xr:uid="{00000000-0005-0000-0000-0000560B0000}"/>
    <cellStyle name="Currency 3 2 5 8" xfId="2799" xr:uid="{00000000-0005-0000-0000-0000570B0000}"/>
    <cellStyle name="Currency 3 2 5 8 2" xfId="7023" xr:uid="{00000000-0005-0000-0000-0000580B0000}"/>
    <cellStyle name="Currency 3 2 5 8 2 2" xfId="23906" xr:uid="{FFABE64F-779D-4647-BD23-D9955F852DAE}"/>
    <cellStyle name="Currency 3 2 5 8 2 3" xfId="32352" xr:uid="{64E05C12-CCB1-450A-BE23-B843D93EAE3F}"/>
    <cellStyle name="Currency 3 2 5 8 2 4" xfId="15465" xr:uid="{8966B79A-7594-4E7A-AE83-A046D67B55FA}"/>
    <cellStyle name="Currency 3 2 5 8 3" xfId="19688" xr:uid="{ABAEA0C8-2B48-43F0-9E9D-9C28285CBAAE}"/>
    <cellStyle name="Currency 3 2 5 8 4" xfId="28135" xr:uid="{C60840CE-FBF1-4722-A654-CEB19846FEF5}"/>
    <cellStyle name="Currency 3 2 5 8 5" xfId="11247" xr:uid="{040009AF-940E-46DF-87A8-5C4BD7A5323B}"/>
    <cellStyle name="Currency 3 2 5 9" xfId="4640" xr:uid="{00000000-0005-0000-0000-0000590B0000}"/>
    <cellStyle name="Currency 3 2 5 9 2" xfId="21523" xr:uid="{058322E6-08CF-44DB-BD08-87DAA51DF185}"/>
    <cellStyle name="Currency 3 2 5 9 3" xfId="29969" xr:uid="{7E34E6C4-FF56-4FF4-B032-A33C63362D6A}"/>
    <cellStyle name="Currency 3 2 5 9 4" xfId="13082" xr:uid="{E69C5967-8FCC-43CB-BE5B-3D6B1670D35E}"/>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23907" xr:uid="{AEB7351A-7920-4CC3-9CEF-0FF478294A91}"/>
    <cellStyle name="Currency 5 2 2 2 10 2 3" xfId="32353" xr:uid="{7CF5EE2B-2393-4545-A416-26AB1589634A}"/>
    <cellStyle name="Currency 5 2 2 2 10 2 4" xfId="15466" xr:uid="{E12BCD8C-18C8-4499-BE4D-0AA3FF1867F4}"/>
    <cellStyle name="Currency 5 2 2 2 10 3" xfId="19689" xr:uid="{1486B4FC-53A9-44CA-843C-08D291E70482}"/>
    <cellStyle name="Currency 5 2 2 2 10 4" xfId="28136" xr:uid="{1C7BD0F8-95CC-4D18-98C6-3A421659F2E2}"/>
    <cellStyle name="Currency 5 2 2 2 10 5" xfId="11248" xr:uid="{FC9B2AB7-7ED4-4BAA-8D49-88E92F2ABF71}"/>
    <cellStyle name="Currency 5 2 2 2 11" xfId="4641" xr:uid="{00000000-0005-0000-0000-00006C0B0000}"/>
    <cellStyle name="Currency 5 2 2 2 11 2" xfId="21524" xr:uid="{F89A5412-A667-4580-983D-871F4AF9ABC4}"/>
    <cellStyle name="Currency 5 2 2 2 11 3" xfId="29970" xr:uid="{F553E857-48EB-4CA9-89E9-17793C425960}"/>
    <cellStyle name="Currency 5 2 2 2 11 4" xfId="13083" xr:uid="{7C1CEF60-ADA2-4DBE-B892-A0536003B088}"/>
    <cellStyle name="Currency 5 2 2 2 12" xfId="17306" xr:uid="{CD78A731-C8B6-483B-8A39-F8A5886091B7}"/>
    <cellStyle name="Currency 5 2 2 2 13" xfId="25749" xr:uid="{9FED7C05-08F6-4175-9D62-5EEC26DC3617}"/>
    <cellStyle name="Currency 5 2 2 2 14" xfId="8865" xr:uid="{CAEFFD3F-FCC7-4656-BDD5-DFB26F183AED}"/>
    <cellStyle name="Currency 5 2 2 2 2" xfId="197" xr:uid="{00000000-0005-0000-0000-00006D0B0000}"/>
    <cellStyle name="Currency 5 2 2 2 2 10" xfId="4642" xr:uid="{00000000-0005-0000-0000-00006E0B0000}"/>
    <cellStyle name="Currency 5 2 2 2 2 10 2" xfId="21525" xr:uid="{4F6DE343-DA5E-4186-8565-D95803817FB0}"/>
    <cellStyle name="Currency 5 2 2 2 2 10 3" xfId="29971" xr:uid="{2B80CF7D-D1C8-4791-95FB-0F032BC5C2A5}"/>
    <cellStyle name="Currency 5 2 2 2 2 10 4" xfId="13084" xr:uid="{37242AAD-D453-4310-BCD0-88AB08F27BAC}"/>
    <cellStyle name="Currency 5 2 2 2 2 11" xfId="17307" xr:uid="{30C717BB-324D-43FC-992F-D5F59C2CE106}"/>
    <cellStyle name="Currency 5 2 2 2 2 12" xfId="25750" xr:uid="{390E3E8F-034E-4779-94EC-A5179ACC17F9}"/>
    <cellStyle name="Currency 5 2 2 2 2 13" xfId="8866" xr:uid="{D26824BF-60DC-4AC2-AF66-01E357726886}"/>
    <cellStyle name="Currency 5 2 2 2 2 2" xfId="198" xr:uid="{00000000-0005-0000-0000-00006F0B0000}"/>
    <cellStyle name="Currency 5 2 2 2 2 2 10" xfId="17308" xr:uid="{C56189B3-3EDE-4BDE-B60B-B56827B90722}"/>
    <cellStyle name="Currency 5 2 2 2 2 2 11" xfId="25751" xr:uid="{EE0F34D6-A7ED-4F9A-9ECB-3136B3D15D1A}"/>
    <cellStyle name="Currency 5 2 2 2 2 2 12" xfId="8867" xr:uid="{8DAAF30C-2009-4894-87C6-3D8647D0B8ED}"/>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24085" xr:uid="{F0498446-8D2A-4897-A5F5-91C0E931778A}"/>
    <cellStyle name="Currency 5 2 2 2 2 2 2 2 2 3" xfId="32531" xr:uid="{37FE2503-B466-463D-B187-428F2C8BFF36}"/>
    <cellStyle name="Currency 5 2 2 2 2 2 2 2 2 4" xfId="15644" xr:uid="{7536A266-BBE7-4C43-A492-6A1CE3F53939}"/>
    <cellStyle name="Currency 5 2 2 2 2 2 2 2 3" xfId="19867" xr:uid="{0C21D633-BA21-48CC-98B3-6C778586A5BE}"/>
    <cellStyle name="Currency 5 2 2 2 2 2 2 2 4" xfId="28314" xr:uid="{A83F66B3-90EF-4EE9-AF15-D689F47104D9}"/>
    <cellStyle name="Currency 5 2 2 2 2 2 2 2 5" xfId="11426" xr:uid="{6D47BF9B-5449-4EE7-BB20-DE393ECA9346}"/>
    <cellStyle name="Currency 5 2 2 2 2 2 2 3" xfId="5057" xr:uid="{00000000-0005-0000-0000-0000730B0000}"/>
    <cellStyle name="Currency 5 2 2 2 2 2 2 3 2" xfId="21940" xr:uid="{FC3EE8F5-1318-4E5F-B948-CE2C030F93C6}"/>
    <cellStyle name="Currency 5 2 2 2 2 2 2 3 3" xfId="30386" xr:uid="{9F758CD1-F40A-4386-B0BE-6AACD1B8C73A}"/>
    <cellStyle name="Currency 5 2 2 2 2 2 2 3 4" xfId="13499" xr:uid="{07183281-05AC-4078-A4BE-7481DB6CE4A6}"/>
    <cellStyle name="Currency 5 2 2 2 2 2 2 4" xfId="17722" xr:uid="{898373D4-0451-4B63-A4EF-E248430B5497}"/>
    <cellStyle name="Currency 5 2 2 2 2 2 2 5" xfId="26167" xr:uid="{05CA044E-E158-401C-AE7B-60C42FA94BE1}"/>
    <cellStyle name="Currency 5 2 2 2 2 2 2 6" xfId="9281" xr:uid="{4C4CFD38-8E78-495A-8974-CB2A061E786C}"/>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24498" xr:uid="{BA87A920-BCD1-447A-A830-39EC1E296EAF}"/>
    <cellStyle name="Currency 5 2 2 2 2 2 3 2 2 3" xfId="32944" xr:uid="{117BF7F1-B885-47EC-91FA-18CEB49B70FE}"/>
    <cellStyle name="Currency 5 2 2 2 2 2 3 2 2 4" xfId="16057" xr:uid="{E335216A-2C66-4F43-8827-B57B47BCE050}"/>
    <cellStyle name="Currency 5 2 2 2 2 2 3 2 3" xfId="20280" xr:uid="{E3172290-3796-4DC6-9AFD-696FE7AB3AA9}"/>
    <cellStyle name="Currency 5 2 2 2 2 2 3 2 4" xfId="28727" xr:uid="{87129B94-2BD2-4EAF-8770-0E0426C7EF91}"/>
    <cellStyle name="Currency 5 2 2 2 2 2 3 2 5" xfId="11839" xr:uid="{FF254DE8-4023-4084-A24B-1AA8348DB432}"/>
    <cellStyle name="Currency 5 2 2 2 2 2 3 3" xfId="5470" xr:uid="{00000000-0005-0000-0000-0000770B0000}"/>
    <cellStyle name="Currency 5 2 2 2 2 2 3 3 2" xfId="22353" xr:uid="{4A9CC823-E120-45C2-BFB4-0B80F9980DC3}"/>
    <cellStyle name="Currency 5 2 2 2 2 2 3 3 3" xfId="30799" xr:uid="{221FF6A1-7997-4D94-82A6-777C7B7457DD}"/>
    <cellStyle name="Currency 5 2 2 2 2 2 3 3 4" xfId="13912" xr:uid="{8199495A-51B9-437A-BD9E-648964BA6C37}"/>
    <cellStyle name="Currency 5 2 2 2 2 2 3 4" xfId="18135" xr:uid="{EB998FAE-6B1C-40E2-AE68-A4DA99F22D12}"/>
    <cellStyle name="Currency 5 2 2 2 2 2 3 5" xfId="26580" xr:uid="{58727A7A-A82F-4DC1-B614-5B25CE34777B}"/>
    <cellStyle name="Currency 5 2 2 2 2 2 3 6" xfId="9694" xr:uid="{72E329B0-1451-4B4D-9BCD-8D2FC17704CE}"/>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24911" xr:uid="{AFF8A50A-614E-4B0B-AE27-DE1E7294C87B}"/>
    <cellStyle name="Currency 5 2 2 2 2 2 4 2 2 3" xfId="33357" xr:uid="{67B733EF-654C-474B-BB6C-C98654015C4F}"/>
    <cellStyle name="Currency 5 2 2 2 2 2 4 2 2 4" xfId="16470" xr:uid="{9B6D0D98-AFC9-4157-AA6F-645B5A3CD1AA}"/>
    <cellStyle name="Currency 5 2 2 2 2 2 4 2 3" xfId="20693" xr:uid="{56EF7F83-4533-424D-BF65-39EDB14C44D9}"/>
    <cellStyle name="Currency 5 2 2 2 2 2 4 2 4" xfId="29140" xr:uid="{5BD383D0-56CB-413F-966D-E096F23CA527}"/>
    <cellStyle name="Currency 5 2 2 2 2 2 4 2 5" xfId="12252" xr:uid="{235D665C-D430-4E87-BCD1-DE2830897BBD}"/>
    <cellStyle name="Currency 5 2 2 2 2 2 4 3" xfId="5883" xr:uid="{00000000-0005-0000-0000-00007B0B0000}"/>
    <cellStyle name="Currency 5 2 2 2 2 2 4 3 2" xfId="22766" xr:uid="{01D30236-8A45-43EC-96D1-834F56AF4C70}"/>
    <cellStyle name="Currency 5 2 2 2 2 2 4 3 3" xfId="31212" xr:uid="{2F51CE34-E0FF-4D5E-9E4A-4AEC316E3015}"/>
    <cellStyle name="Currency 5 2 2 2 2 2 4 3 4" xfId="14325" xr:uid="{AE5313AD-33A0-4C65-ABB1-3D78EE2CB62D}"/>
    <cellStyle name="Currency 5 2 2 2 2 2 4 4" xfId="18548" xr:uid="{C9579EED-F09D-4C40-A6C8-CD7E2320EC5F}"/>
    <cellStyle name="Currency 5 2 2 2 2 2 4 5" xfId="26993" xr:uid="{71406DBF-FDF5-4389-974E-F7E5E2CCC8B5}"/>
    <cellStyle name="Currency 5 2 2 2 2 2 4 6" xfId="10107" xr:uid="{ED29250A-8B88-4F66-923B-AC93BC24E4A1}"/>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25324" xr:uid="{3C1747AE-95A6-435B-A971-53F9E8E8FBB9}"/>
    <cellStyle name="Currency 5 2 2 2 2 2 5 2 2 3" xfId="33770" xr:uid="{887DDEF1-91D0-4BA5-9424-267042239126}"/>
    <cellStyle name="Currency 5 2 2 2 2 2 5 2 2 4" xfId="16883" xr:uid="{C1676048-B2F5-4C61-A4A2-2721A469608F}"/>
    <cellStyle name="Currency 5 2 2 2 2 2 5 2 3" xfId="21106" xr:uid="{B3637DB4-3DB5-4C54-831A-76908E1E2180}"/>
    <cellStyle name="Currency 5 2 2 2 2 2 5 2 4" xfId="29553" xr:uid="{E2B3C259-581E-49B4-A532-DFC3D82E5C79}"/>
    <cellStyle name="Currency 5 2 2 2 2 2 5 2 5" xfId="12665" xr:uid="{D4D251A6-F888-4200-9856-5C4DF57EFEEC}"/>
    <cellStyle name="Currency 5 2 2 2 2 2 5 3" xfId="6296" xr:uid="{00000000-0005-0000-0000-00007F0B0000}"/>
    <cellStyle name="Currency 5 2 2 2 2 2 5 3 2" xfId="23179" xr:uid="{48FEF3A7-866D-4DDE-BD9F-BFE5BA7AE157}"/>
    <cellStyle name="Currency 5 2 2 2 2 2 5 3 3" xfId="31625" xr:uid="{97B42CFB-C0B9-47F7-93C5-506530F79FD0}"/>
    <cellStyle name="Currency 5 2 2 2 2 2 5 3 4" xfId="14738" xr:uid="{106FF10B-1989-463A-8A42-1FD9D0A1A163}"/>
    <cellStyle name="Currency 5 2 2 2 2 2 5 4" xfId="18961" xr:uid="{51BE11B0-5A22-4037-98C8-9A1B470B9760}"/>
    <cellStyle name="Currency 5 2 2 2 2 2 5 5" xfId="27406" xr:uid="{A871BAD9-24F5-4B2B-B60B-BC1F26E0A725}"/>
    <cellStyle name="Currency 5 2 2 2 2 2 5 6" xfId="10520" xr:uid="{A9AE8072-92BF-4435-9743-C5BE6AF861D5}"/>
    <cellStyle name="Currency 5 2 2 2 2 2 6" xfId="2424" xr:uid="{00000000-0005-0000-0000-0000800B0000}"/>
    <cellStyle name="Currency 5 2 2 2 2 2 6 2" xfId="6709" xr:uid="{00000000-0005-0000-0000-0000810B0000}"/>
    <cellStyle name="Currency 5 2 2 2 2 2 6 2 2" xfId="23592" xr:uid="{72EC65EA-685C-4461-833F-730D5418AD98}"/>
    <cellStyle name="Currency 5 2 2 2 2 2 6 2 3" xfId="32038" xr:uid="{571E83F1-DE32-4F78-937A-2CC406517710}"/>
    <cellStyle name="Currency 5 2 2 2 2 2 6 2 4" xfId="15151" xr:uid="{C0CF142C-9692-4492-96EB-4816639C2B18}"/>
    <cellStyle name="Currency 5 2 2 2 2 2 6 3" xfId="19374" xr:uid="{003DF813-D6B1-4795-B87B-3B97A15378B2}"/>
    <cellStyle name="Currency 5 2 2 2 2 2 6 4" xfId="27819" xr:uid="{29126345-5753-4261-A700-B2B688533EAD}"/>
    <cellStyle name="Currency 5 2 2 2 2 2 6 5" xfId="10933" xr:uid="{66C81BAD-9235-4545-899F-516EB92EB495}"/>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23909" xr:uid="{0C008DC0-12A0-4668-8CC3-88D872A72E5C}"/>
    <cellStyle name="Currency 5 2 2 2 2 2 8 2 3" xfId="32355" xr:uid="{AAC55640-D0CE-49AA-934C-4372FE9C6AA5}"/>
    <cellStyle name="Currency 5 2 2 2 2 2 8 2 4" xfId="15468" xr:uid="{5AA739D0-2467-4763-A389-A3C393C8B99E}"/>
    <cellStyle name="Currency 5 2 2 2 2 2 8 3" xfId="19691" xr:uid="{CD22E87E-BB94-415C-9390-BBA50D5DB05D}"/>
    <cellStyle name="Currency 5 2 2 2 2 2 8 4" xfId="28138" xr:uid="{114CAB0D-3EEE-44A1-9039-C207ADD392EA}"/>
    <cellStyle name="Currency 5 2 2 2 2 2 8 5" xfId="11250" xr:uid="{7A938E2C-BFB8-411F-94A6-65DC98A8B0BD}"/>
    <cellStyle name="Currency 5 2 2 2 2 2 9" xfId="4643" xr:uid="{00000000-0005-0000-0000-0000850B0000}"/>
    <cellStyle name="Currency 5 2 2 2 2 2 9 2" xfId="21526" xr:uid="{52DFD0F4-63A5-41B5-B49C-28EA9811BCFF}"/>
    <cellStyle name="Currency 5 2 2 2 2 2 9 3" xfId="29972" xr:uid="{9238044C-61BC-46D3-A1B5-52DF4CDDF12E}"/>
    <cellStyle name="Currency 5 2 2 2 2 2 9 4" xfId="13085" xr:uid="{85D73076-877B-481A-8874-6F19BCD29A55}"/>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24084" xr:uid="{76A6F68F-A66F-411B-B91A-A3D20279F6A0}"/>
    <cellStyle name="Currency 5 2 2 2 2 3 2 2 3" xfId="32530" xr:uid="{0C9D0076-89B6-4BEB-93C0-D5EC238AC0D6}"/>
    <cellStyle name="Currency 5 2 2 2 2 3 2 2 4" xfId="15643" xr:uid="{B755D9C6-BEB9-437B-AF63-F44A5FE2533D}"/>
    <cellStyle name="Currency 5 2 2 2 2 3 2 3" xfId="19866" xr:uid="{25227A60-D4F0-47A2-890D-287DD70E9878}"/>
    <cellStyle name="Currency 5 2 2 2 2 3 2 4" xfId="28313" xr:uid="{524EF336-948B-4E8C-BB35-F5D50F387234}"/>
    <cellStyle name="Currency 5 2 2 2 2 3 2 5" xfId="11425" xr:uid="{DFAAD71C-7DA3-4A7D-AA2A-A47893C2B965}"/>
    <cellStyle name="Currency 5 2 2 2 2 3 3" xfId="5056" xr:uid="{00000000-0005-0000-0000-0000890B0000}"/>
    <cellStyle name="Currency 5 2 2 2 2 3 3 2" xfId="21939" xr:uid="{EAF706C0-C64C-4665-9F5C-A7636CC2CF0B}"/>
    <cellStyle name="Currency 5 2 2 2 2 3 3 3" xfId="30385" xr:uid="{C21BE995-0616-43CC-9FB0-DB5013443F2E}"/>
    <cellStyle name="Currency 5 2 2 2 2 3 3 4" xfId="13498" xr:uid="{68A4366A-8B5C-4B24-A704-67DD57B21A3B}"/>
    <cellStyle name="Currency 5 2 2 2 2 3 4" xfId="17721" xr:uid="{7A491804-F81C-4320-93E2-3D95B6800E26}"/>
    <cellStyle name="Currency 5 2 2 2 2 3 5" xfId="26166" xr:uid="{2C9A892D-7AFC-491E-A685-698E050022B6}"/>
    <cellStyle name="Currency 5 2 2 2 2 3 6" xfId="9280" xr:uid="{97627830-CA85-460F-86AE-AA5ECE7F911F}"/>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24497" xr:uid="{AB619ED6-C308-4AFC-90D0-1911F772EC0B}"/>
    <cellStyle name="Currency 5 2 2 2 2 4 2 2 3" xfId="32943" xr:uid="{D05D88E6-A970-4C3D-81DB-536DF17080B7}"/>
    <cellStyle name="Currency 5 2 2 2 2 4 2 2 4" xfId="16056" xr:uid="{2E2853D1-3CBD-4914-B246-56B6A6CD5163}"/>
    <cellStyle name="Currency 5 2 2 2 2 4 2 3" xfId="20279" xr:uid="{F3544465-569E-41C7-9CB1-2B316FB2B5A5}"/>
    <cellStyle name="Currency 5 2 2 2 2 4 2 4" xfId="28726" xr:uid="{CE2DAF06-EDC3-41DD-8E8D-4F77DF09136D}"/>
    <cellStyle name="Currency 5 2 2 2 2 4 2 5" xfId="11838" xr:uid="{14D1C3C3-B94E-4C81-9D66-7D7D7EB0362B}"/>
    <cellStyle name="Currency 5 2 2 2 2 4 3" xfId="5469" xr:uid="{00000000-0005-0000-0000-00008D0B0000}"/>
    <cellStyle name="Currency 5 2 2 2 2 4 3 2" xfId="22352" xr:uid="{5D8EA83D-0DBD-40C7-AFBC-B8562FAAD4E7}"/>
    <cellStyle name="Currency 5 2 2 2 2 4 3 3" xfId="30798" xr:uid="{8CD4CD42-DAAC-4511-8FC6-B7F2F6D461AD}"/>
    <cellStyle name="Currency 5 2 2 2 2 4 3 4" xfId="13911" xr:uid="{964D3D66-362D-4D52-90CA-94CECE16CCEF}"/>
    <cellStyle name="Currency 5 2 2 2 2 4 4" xfId="18134" xr:uid="{0ED349A0-4257-4695-8A55-BD50CC5DB033}"/>
    <cellStyle name="Currency 5 2 2 2 2 4 5" xfId="26579" xr:uid="{DD08A870-BCB7-4CF4-8B40-271BFDDD3B37}"/>
    <cellStyle name="Currency 5 2 2 2 2 4 6" xfId="9693" xr:uid="{1BEB1976-1FB5-44A2-8E45-3EAA584201C9}"/>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24910" xr:uid="{EDB6AF17-D43E-426F-B303-31C17D9B399B}"/>
    <cellStyle name="Currency 5 2 2 2 2 5 2 2 3" xfId="33356" xr:uid="{54E08817-CD57-4B87-B583-48F4B53FB33C}"/>
    <cellStyle name="Currency 5 2 2 2 2 5 2 2 4" xfId="16469" xr:uid="{74DD860A-E603-4EFC-9CFB-85540A9F2F49}"/>
    <cellStyle name="Currency 5 2 2 2 2 5 2 3" xfId="20692" xr:uid="{8B58C386-225F-4EFE-B494-DD158F424F0E}"/>
    <cellStyle name="Currency 5 2 2 2 2 5 2 4" xfId="29139" xr:uid="{AC5305BA-B931-481C-82D4-D7B25C53E50A}"/>
    <cellStyle name="Currency 5 2 2 2 2 5 2 5" xfId="12251" xr:uid="{106793A9-2C8D-4B6B-9854-5A924EFA7EF3}"/>
    <cellStyle name="Currency 5 2 2 2 2 5 3" xfId="5882" xr:uid="{00000000-0005-0000-0000-0000910B0000}"/>
    <cellStyle name="Currency 5 2 2 2 2 5 3 2" xfId="22765" xr:uid="{DF81EB41-B1D4-4375-92B7-506F9D443E3D}"/>
    <cellStyle name="Currency 5 2 2 2 2 5 3 3" xfId="31211" xr:uid="{A677BAB0-F5FF-4797-A513-1B6EDE864A8B}"/>
    <cellStyle name="Currency 5 2 2 2 2 5 3 4" xfId="14324" xr:uid="{941DB9EE-4CF8-4FD7-B15A-E6C16E005CEF}"/>
    <cellStyle name="Currency 5 2 2 2 2 5 4" xfId="18547" xr:uid="{1C413390-9366-4FDF-8872-003CB3968165}"/>
    <cellStyle name="Currency 5 2 2 2 2 5 5" xfId="26992" xr:uid="{F821C8EF-99D7-48AD-8F8F-341F515BE782}"/>
    <cellStyle name="Currency 5 2 2 2 2 5 6" xfId="10106" xr:uid="{32D6361E-57B0-436C-8141-2B72289B0DA7}"/>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25323" xr:uid="{682D87E8-387A-4DA3-A263-0C3B603E1F13}"/>
    <cellStyle name="Currency 5 2 2 2 2 6 2 2 3" xfId="33769" xr:uid="{2DC10BF8-4AD4-4D41-B078-6251C47CA447}"/>
    <cellStyle name="Currency 5 2 2 2 2 6 2 2 4" xfId="16882" xr:uid="{B8ADDEDF-9990-4899-B15C-E8BF327F39B2}"/>
    <cellStyle name="Currency 5 2 2 2 2 6 2 3" xfId="21105" xr:uid="{E5DC32D2-17CE-43E1-A48D-16B04F0F8CB7}"/>
    <cellStyle name="Currency 5 2 2 2 2 6 2 4" xfId="29552" xr:uid="{C35102D0-2784-4AD4-B825-A28242BF5944}"/>
    <cellStyle name="Currency 5 2 2 2 2 6 2 5" xfId="12664" xr:uid="{080F318D-DC5B-46D7-9BD9-A3C8610D5CF3}"/>
    <cellStyle name="Currency 5 2 2 2 2 6 3" xfId="6295" xr:uid="{00000000-0005-0000-0000-0000950B0000}"/>
    <cellStyle name="Currency 5 2 2 2 2 6 3 2" xfId="23178" xr:uid="{3155122E-E656-469A-8FEB-6D872B705A47}"/>
    <cellStyle name="Currency 5 2 2 2 2 6 3 3" xfId="31624" xr:uid="{7F35B738-12AB-47DA-B848-376EA48B846C}"/>
    <cellStyle name="Currency 5 2 2 2 2 6 3 4" xfId="14737" xr:uid="{71AE11AA-4C1E-4FC4-8040-F3AD5A2C0063}"/>
    <cellStyle name="Currency 5 2 2 2 2 6 4" xfId="18960" xr:uid="{BE1904C3-EF96-4095-98B3-10C721DCF190}"/>
    <cellStyle name="Currency 5 2 2 2 2 6 5" xfId="27405" xr:uid="{FC5387AC-0592-4BB3-A774-28BC37C47CC1}"/>
    <cellStyle name="Currency 5 2 2 2 2 6 6" xfId="10519" xr:uid="{6F80A889-C350-4EC0-9F52-EBC83F413675}"/>
    <cellStyle name="Currency 5 2 2 2 2 7" xfId="2423" xr:uid="{00000000-0005-0000-0000-0000960B0000}"/>
    <cellStyle name="Currency 5 2 2 2 2 7 2" xfId="6708" xr:uid="{00000000-0005-0000-0000-0000970B0000}"/>
    <cellStyle name="Currency 5 2 2 2 2 7 2 2" xfId="23591" xr:uid="{482A02FB-3049-485F-A474-0BE96FBED84B}"/>
    <cellStyle name="Currency 5 2 2 2 2 7 2 3" xfId="32037" xr:uid="{FC4C7F8A-2FD4-47FE-88C2-61BD062A6910}"/>
    <cellStyle name="Currency 5 2 2 2 2 7 2 4" xfId="15150" xr:uid="{C1AFEC70-CC40-433A-A84D-237BBEF49A7E}"/>
    <cellStyle name="Currency 5 2 2 2 2 7 3" xfId="19373" xr:uid="{4FA64089-0FB4-48D0-96B0-B5AEA1F5D4BA}"/>
    <cellStyle name="Currency 5 2 2 2 2 7 4" xfId="27818" xr:uid="{2A652204-5F35-49BF-90E3-C166570AECFF}"/>
    <cellStyle name="Currency 5 2 2 2 2 7 5" xfId="10932" xr:uid="{71BE98DD-9A15-41FB-91F8-22B27BBFB5A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23908" xr:uid="{B2238993-76D0-4EC8-BDBF-C41D9CC51308}"/>
    <cellStyle name="Currency 5 2 2 2 2 9 2 3" xfId="32354" xr:uid="{9BB00D3C-B598-4B79-9B00-B339EA547C02}"/>
    <cellStyle name="Currency 5 2 2 2 2 9 2 4" xfId="15467" xr:uid="{57AD0007-2583-4585-AFEC-1E16CF46482F}"/>
    <cellStyle name="Currency 5 2 2 2 2 9 3" xfId="19690" xr:uid="{591B6B2A-C555-4EB0-B529-2AA702250F8A}"/>
    <cellStyle name="Currency 5 2 2 2 2 9 4" xfId="28137" xr:uid="{D971A20C-032F-481B-A699-28053D769458}"/>
    <cellStyle name="Currency 5 2 2 2 2 9 5" xfId="11249" xr:uid="{D4F45835-DBFC-4A72-9877-309029ED9726}"/>
    <cellStyle name="Currency 5 2 2 2 3" xfId="199" xr:uid="{00000000-0005-0000-0000-00009B0B0000}"/>
    <cellStyle name="Currency 5 2 2 2 3 10" xfId="17309" xr:uid="{B05BB8E7-5BF4-470F-BC33-FEDD903046F8}"/>
    <cellStyle name="Currency 5 2 2 2 3 11" xfId="25752" xr:uid="{490ED00C-7BCD-40AC-B3B1-75F40D963FDD}"/>
    <cellStyle name="Currency 5 2 2 2 3 12" xfId="8868" xr:uid="{8B718F89-03AC-41C3-A5FD-C719C858FF71}"/>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24086" xr:uid="{5F3C4F2E-C490-4D23-A192-0822DD859E0F}"/>
    <cellStyle name="Currency 5 2 2 2 3 2 2 2 3" xfId="32532" xr:uid="{8601A952-10AD-4E81-8029-506F222E44F8}"/>
    <cellStyle name="Currency 5 2 2 2 3 2 2 2 4" xfId="15645" xr:uid="{75A26D0B-F398-4504-80D5-EB4E630D90DF}"/>
    <cellStyle name="Currency 5 2 2 2 3 2 2 3" xfId="19868" xr:uid="{DD4CF553-A85E-4546-A1F9-6C02B2F3B043}"/>
    <cellStyle name="Currency 5 2 2 2 3 2 2 4" xfId="28315" xr:uid="{E14B81FB-794B-4A4D-9022-33B50077E55A}"/>
    <cellStyle name="Currency 5 2 2 2 3 2 2 5" xfId="11427" xr:uid="{B6322F5E-5EF0-4914-AD75-D0E882BCB02B}"/>
    <cellStyle name="Currency 5 2 2 2 3 2 3" xfId="5058" xr:uid="{00000000-0005-0000-0000-00009F0B0000}"/>
    <cellStyle name="Currency 5 2 2 2 3 2 3 2" xfId="21941" xr:uid="{A4314978-1211-450B-B0A8-18DC32D711E1}"/>
    <cellStyle name="Currency 5 2 2 2 3 2 3 3" xfId="30387" xr:uid="{09320B38-7608-4F75-9A72-34718ECD7509}"/>
    <cellStyle name="Currency 5 2 2 2 3 2 3 4" xfId="13500" xr:uid="{48453426-CC95-4182-AAFD-CD1053307565}"/>
    <cellStyle name="Currency 5 2 2 2 3 2 4" xfId="17723" xr:uid="{EE842C16-578C-4F12-9170-6B9F15633490}"/>
    <cellStyle name="Currency 5 2 2 2 3 2 5" xfId="26168" xr:uid="{997117A3-DE81-41D2-9233-4EF76CEB7B11}"/>
    <cellStyle name="Currency 5 2 2 2 3 2 6" xfId="9282" xr:uid="{89AFD28C-6E28-4172-B069-5B5D919F37C7}"/>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24499" xr:uid="{4638CB4F-5449-44C1-AD56-E8A6070C64F8}"/>
    <cellStyle name="Currency 5 2 2 2 3 3 2 2 3" xfId="32945" xr:uid="{2D91A620-CC51-4DB8-B8F5-77BF481EE323}"/>
    <cellStyle name="Currency 5 2 2 2 3 3 2 2 4" xfId="16058" xr:uid="{DEA785ED-1D7D-4E2B-AF22-8707853A06BC}"/>
    <cellStyle name="Currency 5 2 2 2 3 3 2 3" xfId="20281" xr:uid="{B628ADA9-FA64-40DF-895F-27AE3C0845B7}"/>
    <cellStyle name="Currency 5 2 2 2 3 3 2 4" xfId="28728" xr:uid="{ED35C9BA-AF87-40B5-B9E5-55103788211D}"/>
    <cellStyle name="Currency 5 2 2 2 3 3 2 5" xfId="11840" xr:uid="{AFEDF046-42F2-4254-8831-76B7DAB9CF10}"/>
    <cellStyle name="Currency 5 2 2 2 3 3 3" xfId="5471" xr:uid="{00000000-0005-0000-0000-0000A30B0000}"/>
    <cellStyle name="Currency 5 2 2 2 3 3 3 2" xfId="22354" xr:uid="{63737C0E-7229-4DC9-8116-27A749B4D829}"/>
    <cellStyle name="Currency 5 2 2 2 3 3 3 3" xfId="30800" xr:uid="{3E643D95-DFAB-4BF7-A252-EB4AEFF99E88}"/>
    <cellStyle name="Currency 5 2 2 2 3 3 3 4" xfId="13913" xr:uid="{0AE93F96-4344-4AAD-8EA9-60D097D2978E}"/>
    <cellStyle name="Currency 5 2 2 2 3 3 4" xfId="18136" xr:uid="{62A952FB-4891-4B12-98F2-578697C38CE7}"/>
    <cellStyle name="Currency 5 2 2 2 3 3 5" xfId="26581" xr:uid="{1FA19267-64EC-4A66-AD15-83544B4D022A}"/>
    <cellStyle name="Currency 5 2 2 2 3 3 6" xfId="9695" xr:uid="{6E285B9D-6D4C-473E-8AFE-0699D1F42E2F}"/>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24912" xr:uid="{CF25AD52-3B77-4020-B6B5-5278DDC663BE}"/>
    <cellStyle name="Currency 5 2 2 2 3 4 2 2 3" xfId="33358" xr:uid="{BB05DF77-EE61-4F5A-AB3E-C9302CE88C16}"/>
    <cellStyle name="Currency 5 2 2 2 3 4 2 2 4" xfId="16471" xr:uid="{0B983DA1-6548-4A74-8F59-08155322D6C0}"/>
    <cellStyle name="Currency 5 2 2 2 3 4 2 3" xfId="20694" xr:uid="{874228EA-4913-47C5-A120-DCC2F22026FE}"/>
    <cellStyle name="Currency 5 2 2 2 3 4 2 4" xfId="29141" xr:uid="{497863FA-72A1-4C0C-8B0F-C1BB6107352D}"/>
    <cellStyle name="Currency 5 2 2 2 3 4 2 5" xfId="12253" xr:uid="{5EC93B3F-C8EF-4E98-95F5-E13FCCC61B71}"/>
    <cellStyle name="Currency 5 2 2 2 3 4 3" xfId="5884" xr:uid="{00000000-0005-0000-0000-0000A70B0000}"/>
    <cellStyle name="Currency 5 2 2 2 3 4 3 2" xfId="22767" xr:uid="{CC5D3A0A-52F1-4D04-ADB5-B7A62613EA04}"/>
    <cellStyle name="Currency 5 2 2 2 3 4 3 3" xfId="31213" xr:uid="{007CB250-3230-445E-9EB3-C8C5CBDA21F2}"/>
    <cellStyle name="Currency 5 2 2 2 3 4 3 4" xfId="14326" xr:uid="{69E9D77B-770F-4C7E-B2AB-57995C0C7836}"/>
    <cellStyle name="Currency 5 2 2 2 3 4 4" xfId="18549" xr:uid="{C4BF1828-37D4-4120-A43E-DB530282A890}"/>
    <cellStyle name="Currency 5 2 2 2 3 4 5" xfId="26994" xr:uid="{414FA586-390D-4F99-B4E6-493DAE08707B}"/>
    <cellStyle name="Currency 5 2 2 2 3 4 6" xfId="10108" xr:uid="{7E0C3186-8FD6-4DDF-A46F-A3B6517A76E5}"/>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25325" xr:uid="{D349AD24-1C42-4271-B945-518377967924}"/>
    <cellStyle name="Currency 5 2 2 2 3 5 2 2 3" xfId="33771" xr:uid="{E18DC321-FE72-452A-BE0E-31162B6A75F7}"/>
    <cellStyle name="Currency 5 2 2 2 3 5 2 2 4" xfId="16884" xr:uid="{BA64A5C4-163A-4AB0-8FB0-F2D5DCC60004}"/>
    <cellStyle name="Currency 5 2 2 2 3 5 2 3" xfId="21107" xr:uid="{8DE4ADC6-6CC1-4962-AC16-AE4A04B4211B}"/>
    <cellStyle name="Currency 5 2 2 2 3 5 2 4" xfId="29554" xr:uid="{964C5124-4240-467A-837F-F62D17E7FA00}"/>
    <cellStyle name="Currency 5 2 2 2 3 5 2 5" xfId="12666" xr:uid="{88F24B44-C301-4128-A368-F4268714DA4B}"/>
    <cellStyle name="Currency 5 2 2 2 3 5 3" xfId="6297" xr:uid="{00000000-0005-0000-0000-0000AB0B0000}"/>
    <cellStyle name="Currency 5 2 2 2 3 5 3 2" xfId="23180" xr:uid="{009E74E7-3E96-4D64-B600-40FA738A8993}"/>
    <cellStyle name="Currency 5 2 2 2 3 5 3 3" xfId="31626" xr:uid="{6CFD720C-4610-4EEE-A40B-FEFCB881637E}"/>
    <cellStyle name="Currency 5 2 2 2 3 5 3 4" xfId="14739" xr:uid="{75848EBC-18AC-453C-AEF5-2E45272D62ED}"/>
    <cellStyle name="Currency 5 2 2 2 3 5 4" xfId="18962" xr:uid="{74ED97D7-8C2C-469A-A502-317C3C98367E}"/>
    <cellStyle name="Currency 5 2 2 2 3 5 5" xfId="27407" xr:uid="{33F6AB65-46D5-4F9F-BA0A-E1C22F8E629E}"/>
    <cellStyle name="Currency 5 2 2 2 3 5 6" xfId="10521" xr:uid="{46846CA8-1303-472F-8450-FF145AFB0AC3}"/>
    <cellStyle name="Currency 5 2 2 2 3 6" xfId="2425" xr:uid="{00000000-0005-0000-0000-0000AC0B0000}"/>
    <cellStyle name="Currency 5 2 2 2 3 6 2" xfId="6710" xr:uid="{00000000-0005-0000-0000-0000AD0B0000}"/>
    <cellStyle name="Currency 5 2 2 2 3 6 2 2" xfId="23593" xr:uid="{651FDA03-FC28-4693-BF1F-CB3164314C01}"/>
    <cellStyle name="Currency 5 2 2 2 3 6 2 3" xfId="32039" xr:uid="{4CD954B0-96B1-42C8-9FD4-511090BC1BBA}"/>
    <cellStyle name="Currency 5 2 2 2 3 6 2 4" xfId="15152" xr:uid="{A946F799-11EB-4E8E-B80A-16A14307EFB0}"/>
    <cellStyle name="Currency 5 2 2 2 3 6 3" xfId="19375" xr:uid="{1F3A2733-64F1-4059-B1BC-98C1F48FBC91}"/>
    <cellStyle name="Currency 5 2 2 2 3 6 4" xfId="27820" xr:uid="{C7D8A6E4-05EB-489C-A82F-3299890D30BC}"/>
    <cellStyle name="Currency 5 2 2 2 3 6 5" xfId="10934" xr:uid="{AE8FDC07-1752-4848-BA5D-94DB36D5E0D1}"/>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23910" xr:uid="{82BA2A14-E616-4518-83FB-55A11E143037}"/>
    <cellStyle name="Currency 5 2 2 2 3 8 2 3" xfId="32356" xr:uid="{BE35E91F-6801-4078-863D-4F764FB0CE13}"/>
    <cellStyle name="Currency 5 2 2 2 3 8 2 4" xfId="15469" xr:uid="{8A6B7D83-760E-48A4-94F9-F3B5BAEEEF74}"/>
    <cellStyle name="Currency 5 2 2 2 3 8 3" xfId="19692" xr:uid="{073910F9-1669-4A2C-B91A-6E11A09EF386}"/>
    <cellStyle name="Currency 5 2 2 2 3 8 4" xfId="28139" xr:uid="{18666A45-85FE-4E48-B585-820CEFBC5D47}"/>
    <cellStyle name="Currency 5 2 2 2 3 8 5" xfId="11251" xr:uid="{B1A9CCEC-627F-459D-8ED2-1E8032361441}"/>
    <cellStyle name="Currency 5 2 2 2 3 9" xfId="4644" xr:uid="{00000000-0005-0000-0000-0000B10B0000}"/>
    <cellStyle name="Currency 5 2 2 2 3 9 2" xfId="21527" xr:uid="{13E004B1-3AB5-41F0-9D8F-44064D59212B}"/>
    <cellStyle name="Currency 5 2 2 2 3 9 3" xfId="29973" xr:uid="{3688E281-77D4-47DE-BFAC-CFE920F04196}"/>
    <cellStyle name="Currency 5 2 2 2 3 9 4" xfId="13086" xr:uid="{5DA351E5-1F04-4414-B543-7E5E579767ED}"/>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24083" xr:uid="{55387507-14FD-45E4-89A8-DE9B16914E55}"/>
    <cellStyle name="Currency 5 2 2 2 4 2 2 3" xfId="32529" xr:uid="{97D569BF-A817-4E98-9A98-21DDF53766AC}"/>
    <cellStyle name="Currency 5 2 2 2 4 2 2 4" xfId="15642" xr:uid="{C90B0D27-2B1A-44A9-B699-0A201BE6F5FC}"/>
    <cellStyle name="Currency 5 2 2 2 4 2 3" xfId="19865" xr:uid="{8AC6567E-A3F1-4755-971C-DBAE38A32D63}"/>
    <cellStyle name="Currency 5 2 2 2 4 2 4" xfId="28312" xr:uid="{48576215-A5AF-45F6-84DF-6259F243FE3F}"/>
    <cellStyle name="Currency 5 2 2 2 4 2 5" xfId="11424" xr:uid="{A79D364A-B5E6-4FDA-AD8D-47E16F1C8EC1}"/>
    <cellStyle name="Currency 5 2 2 2 4 3" xfId="5055" xr:uid="{00000000-0005-0000-0000-0000B50B0000}"/>
    <cellStyle name="Currency 5 2 2 2 4 3 2" xfId="21938" xr:uid="{95A31B8A-A663-4CDE-82BA-504AE258CF74}"/>
    <cellStyle name="Currency 5 2 2 2 4 3 3" xfId="30384" xr:uid="{F756F3AB-E45B-4348-AD6C-65870DB4C84B}"/>
    <cellStyle name="Currency 5 2 2 2 4 3 4" xfId="13497" xr:uid="{A2A73615-295B-401A-81B2-D3BB18D0888D}"/>
    <cellStyle name="Currency 5 2 2 2 4 4" xfId="17720" xr:uid="{CC472EA6-F07B-4BB1-BBD9-5EE9A01BD8A4}"/>
    <cellStyle name="Currency 5 2 2 2 4 5" xfId="26165" xr:uid="{54401458-590D-4E2F-AC39-1EAC692466CA}"/>
    <cellStyle name="Currency 5 2 2 2 4 6" xfId="9279" xr:uid="{CA999A07-AB08-43FE-BBB5-B488CCE47D1B}"/>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24496" xr:uid="{76AF30DA-E4DA-4759-BE26-0294ACA82A7B}"/>
    <cellStyle name="Currency 5 2 2 2 5 2 2 3" xfId="32942" xr:uid="{8A89816F-F258-4E03-9254-A48AB6D30312}"/>
    <cellStyle name="Currency 5 2 2 2 5 2 2 4" xfId="16055" xr:uid="{67C02873-E256-4B4D-AB9F-67EEC0155887}"/>
    <cellStyle name="Currency 5 2 2 2 5 2 3" xfId="20278" xr:uid="{70158333-8A05-426B-88E5-05D2E491B4BC}"/>
    <cellStyle name="Currency 5 2 2 2 5 2 4" xfId="28725" xr:uid="{27753771-4E53-473D-A4E0-33CCA27109B2}"/>
    <cellStyle name="Currency 5 2 2 2 5 2 5" xfId="11837" xr:uid="{EC0696DD-8C30-4E39-B13D-69456EE8DBB8}"/>
    <cellStyle name="Currency 5 2 2 2 5 3" xfId="5468" xr:uid="{00000000-0005-0000-0000-0000B90B0000}"/>
    <cellStyle name="Currency 5 2 2 2 5 3 2" xfId="22351" xr:uid="{D5959D13-E3A5-46C9-9915-FC17FA2803AF}"/>
    <cellStyle name="Currency 5 2 2 2 5 3 3" xfId="30797" xr:uid="{0A714A93-2283-4F32-B129-A7C51B91DC85}"/>
    <cellStyle name="Currency 5 2 2 2 5 3 4" xfId="13910" xr:uid="{BB116B7B-9873-4E57-A508-9E7AACD1E072}"/>
    <cellStyle name="Currency 5 2 2 2 5 4" xfId="18133" xr:uid="{D626F316-53E9-46CA-A0F6-C75C4A5913CF}"/>
    <cellStyle name="Currency 5 2 2 2 5 5" xfId="26578" xr:uid="{D39A52D3-2635-42EC-B8E1-64D66646E6D3}"/>
    <cellStyle name="Currency 5 2 2 2 5 6" xfId="9692" xr:uid="{00AC52D0-2A93-4F6A-AA3B-A0EF8B234547}"/>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24909" xr:uid="{B21DC9E5-EA50-4F55-B945-AED12D1A46A7}"/>
    <cellStyle name="Currency 5 2 2 2 6 2 2 3" xfId="33355" xr:uid="{35E18654-BEFD-48E3-92CB-70D4A911A4BB}"/>
    <cellStyle name="Currency 5 2 2 2 6 2 2 4" xfId="16468" xr:uid="{BBBF3A3E-714E-447F-AB40-EC08FD6E3F33}"/>
    <cellStyle name="Currency 5 2 2 2 6 2 3" xfId="20691" xr:uid="{CEB3EC40-4F56-4D1A-A8A1-EF2D42D7C8E2}"/>
    <cellStyle name="Currency 5 2 2 2 6 2 4" xfId="29138" xr:uid="{2BC7835D-A028-42A1-BF41-BE8998D66C8C}"/>
    <cellStyle name="Currency 5 2 2 2 6 2 5" xfId="12250" xr:uid="{963667A3-5F4B-4EC3-B70C-A2F706AA6D80}"/>
    <cellStyle name="Currency 5 2 2 2 6 3" xfId="5881" xr:uid="{00000000-0005-0000-0000-0000BD0B0000}"/>
    <cellStyle name="Currency 5 2 2 2 6 3 2" xfId="22764" xr:uid="{FCC5739C-411A-4D09-ADBC-3311504793A8}"/>
    <cellStyle name="Currency 5 2 2 2 6 3 3" xfId="31210" xr:uid="{D244408D-BC02-4CF5-B6B2-4E309ED9E35A}"/>
    <cellStyle name="Currency 5 2 2 2 6 3 4" xfId="14323" xr:uid="{FC322256-184D-4F43-B4BC-91D3F791A4B3}"/>
    <cellStyle name="Currency 5 2 2 2 6 4" xfId="18546" xr:uid="{8887C09C-7FF2-4C76-BA31-44C5ED79F27B}"/>
    <cellStyle name="Currency 5 2 2 2 6 5" xfId="26991" xr:uid="{8847D302-1543-49A6-B028-ABDF39579F54}"/>
    <cellStyle name="Currency 5 2 2 2 6 6" xfId="10105" xr:uid="{0F9F9B1A-A872-406C-9846-56F395C1629F}"/>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25322" xr:uid="{B147551B-4C42-43BA-972D-2C3F051E3F77}"/>
    <cellStyle name="Currency 5 2 2 2 7 2 2 3" xfId="33768" xr:uid="{758A762E-0A8A-497A-955C-302AD590F5DF}"/>
    <cellStyle name="Currency 5 2 2 2 7 2 2 4" xfId="16881" xr:uid="{C380E25C-A958-4AFE-AEF1-815A625780DA}"/>
    <cellStyle name="Currency 5 2 2 2 7 2 3" xfId="21104" xr:uid="{C70B7FAB-0F3B-444F-8E4D-FC0B4947438E}"/>
    <cellStyle name="Currency 5 2 2 2 7 2 4" xfId="29551" xr:uid="{BD6789ED-23EE-42D8-837F-E8BE20BF511C}"/>
    <cellStyle name="Currency 5 2 2 2 7 2 5" xfId="12663" xr:uid="{73BE885F-648D-4347-8C38-71CF1A62BF8F}"/>
    <cellStyle name="Currency 5 2 2 2 7 3" xfId="6294" xr:uid="{00000000-0005-0000-0000-0000C10B0000}"/>
    <cellStyle name="Currency 5 2 2 2 7 3 2" xfId="23177" xr:uid="{9857FEB8-8411-4219-B9A5-4128E4071B86}"/>
    <cellStyle name="Currency 5 2 2 2 7 3 3" xfId="31623" xr:uid="{C0D965F7-ED69-4677-BA9E-8FC3A770DB65}"/>
    <cellStyle name="Currency 5 2 2 2 7 3 4" xfId="14736" xr:uid="{DDB0B30E-AD96-4673-B55F-11CED6C302BA}"/>
    <cellStyle name="Currency 5 2 2 2 7 4" xfId="18959" xr:uid="{84A370B4-B5D4-470C-9FDC-7B9884682307}"/>
    <cellStyle name="Currency 5 2 2 2 7 5" xfId="27404" xr:uid="{0B2EE7E9-4D18-445D-860E-135D030841A5}"/>
    <cellStyle name="Currency 5 2 2 2 7 6" xfId="10518" xr:uid="{688FAE67-A7CC-41BB-86B4-FC4FB55424EE}"/>
    <cellStyle name="Currency 5 2 2 2 8" xfId="2422" xr:uid="{00000000-0005-0000-0000-0000C20B0000}"/>
    <cellStyle name="Currency 5 2 2 2 8 2" xfId="6707" xr:uid="{00000000-0005-0000-0000-0000C30B0000}"/>
    <cellStyle name="Currency 5 2 2 2 8 2 2" xfId="23590" xr:uid="{2D12255E-013F-45C7-A129-5052FC1C7B14}"/>
    <cellStyle name="Currency 5 2 2 2 8 2 3" xfId="32036" xr:uid="{49143540-EC07-40B6-8F35-CCA473DFFD81}"/>
    <cellStyle name="Currency 5 2 2 2 8 2 4" xfId="15149" xr:uid="{2657ACDB-3254-4BD1-BF81-9210FC43FC45}"/>
    <cellStyle name="Currency 5 2 2 2 8 3" xfId="19372" xr:uid="{84F7A042-59BF-4FFD-BE3D-32D18E155321}"/>
    <cellStyle name="Currency 5 2 2 2 8 4" xfId="27817" xr:uid="{0B6ED6C0-D022-4138-86C1-CD132A296983}"/>
    <cellStyle name="Currency 5 2 2 2 8 5" xfId="10931" xr:uid="{F75D80A3-A6BA-4CDA-96FB-F030F58A1344}"/>
    <cellStyle name="Currency 5 2 2 2 9" xfId="2719" xr:uid="{00000000-0005-0000-0000-0000C40B0000}"/>
    <cellStyle name="Currency 5 2 2 3" xfId="200" xr:uid="{00000000-0005-0000-0000-0000C50B0000}"/>
    <cellStyle name="Currency 5 2 2 3 10" xfId="4645" xr:uid="{00000000-0005-0000-0000-0000C60B0000}"/>
    <cellStyle name="Currency 5 2 2 3 10 2" xfId="21528" xr:uid="{523764B5-1804-4BDD-A182-2A400E68BDB3}"/>
    <cellStyle name="Currency 5 2 2 3 10 3" xfId="29974" xr:uid="{97ABA88D-92CE-4E07-A726-97CC2DA3C02F}"/>
    <cellStyle name="Currency 5 2 2 3 10 4" xfId="13087" xr:uid="{6581532C-647E-45A1-B2EC-383D90F96C36}"/>
    <cellStyle name="Currency 5 2 2 3 11" xfId="17310" xr:uid="{E044285E-19CA-4A41-BC13-F0571BAD418A}"/>
    <cellStyle name="Currency 5 2 2 3 12" xfId="25753" xr:uid="{8F89DE38-60DE-45F5-B68F-CE5D96D473CC}"/>
    <cellStyle name="Currency 5 2 2 3 13" xfId="8869" xr:uid="{B0C3F192-A608-44D8-A420-F23FC44F5DB5}"/>
    <cellStyle name="Currency 5 2 2 3 2" xfId="201" xr:uid="{00000000-0005-0000-0000-0000C70B0000}"/>
    <cellStyle name="Currency 5 2 2 3 2 10" xfId="17311" xr:uid="{EFF2F93F-5F95-46A9-844C-62951E5601AB}"/>
    <cellStyle name="Currency 5 2 2 3 2 11" xfId="25754" xr:uid="{9EC5C1F0-7B7F-4243-87B7-D6AFB2E1EBCF}"/>
    <cellStyle name="Currency 5 2 2 3 2 12" xfId="8870" xr:uid="{C9D86095-7A4A-4C0D-8048-5DFE11C950CE}"/>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24088" xr:uid="{671FB307-42CB-4574-BA9F-9B21B7D1763A}"/>
    <cellStyle name="Currency 5 2 2 3 2 2 2 2 3" xfId="32534" xr:uid="{5F3CEB9A-2E4C-4562-B98C-4D3E4A4E8867}"/>
    <cellStyle name="Currency 5 2 2 3 2 2 2 2 4" xfId="15647" xr:uid="{AFF28973-535E-4DCB-AC7E-D20D368B501B}"/>
    <cellStyle name="Currency 5 2 2 3 2 2 2 3" xfId="19870" xr:uid="{6262DB15-F5F0-48CE-A280-CECFFACB81D1}"/>
    <cellStyle name="Currency 5 2 2 3 2 2 2 4" xfId="28317" xr:uid="{CC6A7630-64B4-49DC-A46D-46EE7B9A06C5}"/>
    <cellStyle name="Currency 5 2 2 3 2 2 2 5" xfId="11429" xr:uid="{3434D82A-B32F-400F-8A9B-7C703714EB4E}"/>
    <cellStyle name="Currency 5 2 2 3 2 2 3" xfId="5060" xr:uid="{00000000-0005-0000-0000-0000CB0B0000}"/>
    <cellStyle name="Currency 5 2 2 3 2 2 3 2" xfId="21943" xr:uid="{29F08D8B-0BAF-41E2-847E-76B26C660374}"/>
    <cellStyle name="Currency 5 2 2 3 2 2 3 3" xfId="30389" xr:uid="{EB1C8F8F-21DE-4E20-90D0-2A636DF5C84A}"/>
    <cellStyle name="Currency 5 2 2 3 2 2 3 4" xfId="13502" xr:uid="{5EBCE7BF-8808-4C8B-851F-7F9C988ECC5F}"/>
    <cellStyle name="Currency 5 2 2 3 2 2 4" xfId="17725" xr:uid="{4E58BE00-3FD6-40D8-AF91-1911FC3A6ECD}"/>
    <cellStyle name="Currency 5 2 2 3 2 2 5" xfId="26170" xr:uid="{F5C432BC-3F43-44ED-BF8F-546EC9389EED}"/>
    <cellStyle name="Currency 5 2 2 3 2 2 6" xfId="9284" xr:uid="{FBDDDA9B-3F06-4125-AAF1-C4D7AEB59A76}"/>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24501" xr:uid="{7647E699-20BF-4DEE-BE52-298ABBDB11E6}"/>
    <cellStyle name="Currency 5 2 2 3 2 3 2 2 3" xfId="32947" xr:uid="{23413677-5566-4112-8132-F5828B2785F8}"/>
    <cellStyle name="Currency 5 2 2 3 2 3 2 2 4" xfId="16060" xr:uid="{C6862768-3939-4964-8685-62FBBF23C028}"/>
    <cellStyle name="Currency 5 2 2 3 2 3 2 3" xfId="20283" xr:uid="{631F740E-7C7B-4218-826A-00AA42ADCE51}"/>
    <cellStyle name="Currency 5 2 2 3 2 3 2 4" xfId="28730" xr:uid="{3B80DC73-0048-4925-B0EF-90FAA20F082C}"/>
    <cellStyle name="Currency 5 2 2 3 2 3 2 5" xfId="11842" xr:uid="{52B15906-B4F6-4C19-ACA5-455B3F010B45}"/>
    <cellStyle name="Currency 5 2 2 3 2 3 3" xfId="5473" xr:uid="{00000000-0005-0000-0000-0000CF0B0000}"/>
    <cellStyle name="Currency 5 2 2 3 2 3 3 2" xfId="22356" xr:uid="{E929596F-EBAB-4967-99BA-A015EEB87A94}"/>
    <cellStyle name="Currency 5 2 2 3 2 3 3 3" xfId="30802" xr:uid="{E297DF04-2C0F-4AF5-B08B-A47720CA5BE4}"/>
    <cellStyle name="Currency 5 2 2 3 2 3 3 4" xfId="13915" xr:uid="{5ED0573C-F453-4C31-832D-EAFC05BE5DF4}"/>
    <cellStyle name="Currency 5 2 2 3 2 3 4" xfId="18138" xr:uid="{0A51CBF2-F67D-4CF5-9761-1733806B6254}"/>
    <cellStyle name="Currency 5 2 2 3 2 3 5" xfId="26583" xr:uid="{EE3BBD65-34C1-4B18-AEB5-25F7BADDFDF3}"/>
    <cellStyle name="Currency 5 2 2 3 2 3 6" xfId="9697" xr:uid="{CD27B1D9-DA29-4ABE-A0FB-E6EAEDDCC1DD}"/>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24914" xr:uid="{077E8582-41BD-4E96-A598-E3BC8A218786}"/>
    <cellStyle name="Currency 5 2 2 3 2 4 2 2 3" xfId="33360" xr:uid="{50211252-C9FE-4B7D-AF95-BE7F13610C95}"/>
    <cellStyle name="Currency 5 2 2 3 2 4 2 2 4" xfId="16473" xr:uid="{E095A0F3-8B09-41D6-8AEE-A2A43946633A}"/>
    <cellStyle name="Currency 5 2 2 3 2 4 2 3" xfId="20696" xr:uid="{B3BE55A8-5F2C-46D9-AAEF-95EA75F7A8D3}"/>
    <cellStyle name="Currency 5 2 2 3 2 4 2 4" xfId="29143" xr:uid="{19A78828-CC83-40CA-9FED-5E0E32EB62B1}"/>
    <cellStyle name="Currency 5 2 2 3 2 4 2 5" xfId="12255" xr:uid="{8AC04046-9869-4314-B118-A98ED885A12B}"/>
    <cellStyle name="Currency 5 2 2 3 2 4 3" xfId="5886" xr:uid="{00000000-0005-0000-0000-0000D30B0000}"/>
    <cellStyle name="Currency 5 2 2 3 2 4 3 2" xfId="22769" xr:uid="{584D9EE4-A399-4526-97A9-77D1E7CD4354}"/>
    <cellStyle name="Currency 5 2 2 3 2 4 3 3" xfId="31215" xr:uid="{BB9D02CC-79E9-4E59-A9C1-93B2933E0D0B}"/>
    <cellStyle name="Currency 5 2 2 3 2 4 3 4" xfId="14328" xr:uid="{3C310601-CAD8-4A8D-AEF1-EB77DA271994}"/>
    <cellStyle name="Currency 5 2 2 3 2 4 4" xfId="18551" xr:uid="{C0C128D1-3659-485F-B473-8F4DF09B381B}"/>
    <cellStyle name="Currency 5 2 2 3 2 4 5" xfId="26996" xr:uid="{FD4BB1DA-32AA-4931-92D2-9B4D913C45BB}"/>
    <cellStyle name="Currency 5 2 2 3 2 4 6" xfId="10110" xr:uid="{03A3E556-A66A-4CAB-B91B-327BEE518A4F}"/>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25327" xr:uid="{0EE991DB-E096-48E7-B020-5B1512692E2B}"/>
    <cellStyle name="Currency 5 2 2 3 2 5 2 2 3" xfId="33773" xr:uid="{85628A9B-1A6B-429A-BF8B-77E9633CB1D4}"/>
    <cellStyle name="Currency 5 2 2 3 2 5 2 2 4" xfId="16886" xr:uid="{1B1B1181-937B-4F73-B984-AB4A59B80A1C}"/>
    <cellStyle name="Currency 5 2 2 3 2 5 2 3" xfId="21109" xr:uid="{1FD6A9E7-DE62-4D28-BEA5-3A707132A6D5}"/>
    <cellStyle name="Currency 5 2 2 3 2 5 2 4" xfId="29556" xr:uid="{142A6D44-662E-42A9-B11C-5AB1644BB5B8}"/>
    <cellStyle name="Currency 5 2 2 3 2 5 2 5" xfId="12668" xr:uid="{A0625B0A-BC2D-41B9-BA97-8870DDD46944}"/>
    <cellStyle name="Currency 5 2 2 3 2 5 3" xfId="6299" xr:uid="{00000000-0005-0000-0000-0000D70B0000}"/>
    <cellStyle name="Currency 5 2 2 3 2 5 3 2" xfId="23182" xr:uid="{938477DA-8DDA-476D-A0B0-9256D6824AB2}"/>
    <cellStyle name="Currency 5 2 2 3 2 5 3 3" xfId="31628" xr:uid="{790AA1C1-71BA-475D-9AAE-7C414173F35A}"/>
    <cellStyle name="Currency 5 2 2 3 2 5 3 4" xfId="14741" xr:uid="{5F880620-DF7E-461D-A51C-B954476E34C1}"/>
    <cellStyle name="Currency 5 2 2 3 2 5 4" xfId="18964" xr:uid="{F049950F-9840-4587-98B5-465DD7A3706E}"/>
    <cellStyle name="Currency 5 2 2 3 2 5 5" xfId="27409" xr:uid="{292B6105-4209-4BB7-9047-80F10423D72F}"/>
    <cellStyle name="Currency 5 2 2 3 2 5 6" xfId="10523" xr:uid="{79918389-2432-474F-BE0B-0AE4D0428821}"/>
    <cellStyle name="Currency 5 2 2 3 2 6" xfId="2427" xr:uid="{00000000-0005-0000-0000-0000D80B0000}"/>
    <cellStyle name="Currency 5 2 2 3 2 6 2" xfId="6712" xr:uid="{00000000-0005-0000-0000-0000D90B0000}"/>
    <cellStyle name="Currency 5 2 2 3 2 6 2 2" xfId="23595" xr:uid="{28483B6A-2B05-4AEB-A29F-9F92B5DFE780}"/>
    <cellStyle name="Currency 5 2 2 3 2 6 2 3" xfId="32041" xr:uid="{19A2AFAD-4ED2-4FBB-93B3-71B25C3FB43B}"/>
    <cellStyle name="Currency 5 2 2 3 2 6 2 4" xfId="15154" xr:uid="{8E59A901-F7B8-46FC-8235-CBC4A5B8807A}"/>
    <cellStyle name="Currency 5 2 2 3 2 6 3" xfId="19377" xr:uid="{51BEFAA5-F4D7-42D7-BBFA-988EE08D05F4}"/>
    <cellStyle name="Currency 5 2 2 3 2 6 4" xfId="27822" xr:uid="{9F7C335C-EF7A-4E95-883D-DD1E2898A6DF}"/>
    <cellStyle name="Currency 5 2 2 3 2 6 5" xfId="10936" xr:uid="{2F0D68DE-4061-4669-98BC-11F5DA8D3D82}"/>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23912" xr:uid="{8D7D7C7C-9EDB-49DC-9A19-79DB2007D2AD}"/>
    <cellStyle name="Currency 5 2 2 3 2 8 2 3" xfId="32358" xr:uid="{AE70185D-865E-4AF7-A720-7B060A17DE78}"/>
    <cellStyle name="Currency 5 2 2 3 2 8 2 4" xfId="15471" xr:uid="{D33F5F8C-9BC2-4E61-B6E3-0544A42A6AAE}"/>
    <cellStyle name="Currency 5 2 2 3 2 8 3" xfId="19694" xr:uid="{259BB411-0BE4-4E90-8535-BE64F6E0B7C8}"/>
    <cellStyle name="Currency 5 2 2 3 2 8 4" xfId="28141" xr:uid="{83EC589C-9021-47C1-9879-A800B2AC8254}"/>
    <cellStyle name="Currency 5 2 2 3 2 8 5" xfId="11253" xr:uid="{1A97DE64-FB47-493C-9C3A-61901269D913}"/>
    <cellStyle name="Currency 5 2 2 3 2 9" xfId="4646" xr:uid="{00000000-0005-0000-0000-0000DD0B0000}"/>
    <cellStyle name="Currency 5 2 2 3 2 9 2" xfId="21529" xr:uid="{02BEE07F-24E6-472D-AAE6-099194F704B7}"/>
    <cellStyle name="Currency 5 2 2 3 2 9 3" xfId="29975" xr:uid="{9B97425F-0EFC-4E8C-AE99-E962071252B2}"/>
    <cellStyle name="Currency 5 2 2 3 2 9 4" xfId="13088" xr:uid="{2C84181D-AD74-427B-955F-5F19F2F785F7}"/>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24087" xr:uid="{9F58BDB9-5A31-4A0B-8A9C-FFA57A5B9EAF}"/>
    <cellStyle name="Currency 5 2 2 3 3 2 2 3" xfId="32533" xr:uid="{0D7C808C-C08E-4DD6-96C1-0A6AC93F4E93}"/>
    <cellStyle name="Currency 5 2 2 3 3 2 2 4" xfId="15646" xr:uid="{5FE74CEF-9F36-4CD3-BDDB-D94C818D8C1F}"/>
    <cellStyle name="Currency 5 2 2 3 3 2 3" xfId="19869" xr:uid="{262366AB-293C-48CE-9A6F-36A973F79E7A}"/>
    <cellStyle name="Currency 5 2 2 3 3 2 4" xfId="28316" xr:uid="{A715EFAF-19F5-4022-9F1E-75A1B95B0D02}"/>
    <cellStyle name="Currency 5 2 2 3 3 2 5" xfId="11428" xr:uid="{F4380BF6-0305-47F1-8C5F-1D78419BC4E5}"/>
    <cellStyle name="Currency 5 2 2 3 3 3" xfId="5059" xr:uid="{00000000-0005-0000-0000-0000E10B0000}"/>
    <cellStyle name="Currency 5 2 2 3 3 3 2" xfId="21942" xr:uid="{1F4D5A11-CAED-4C6F-B890-41C1F5D19CDE}"/>
    <cellStyle name="Currency 5 2 2 3 3 3 3" xfId="30388" xr:uid="{236280E6-C52F-42E7-8BB4-D7A5DDA9069E}"/>
    <cellStyle name="Currency 5 2 2 3 3 3 4" xfId="13501" xr:uid="{283A4F87-337B-4F12-8119-928F44A84B77}"/>
    <cellStyle name="Currency 5 2 2 3 3 4" xfId="17724" xr:uid="{35684C47-D777-48B6-801E-C6D72F7F1881}"/>
    <cellStyle name="Currency 5 2 2 3 3 5" xfId="26169" xr:uid="{598112D7-538D-4D54-8D35-2EF1FEE27C75}"/>
    <cellStyle name="Currency 5 2 2 3 3 6" xfId="9283" xr:uid="{C4F3F65B-9D4D-49F5-B01D-4ED8514E5208}"/>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24500" xr:uid="{FFE8EB0B-8448-447F-881E-987F9B2E021C}"/>
    <cellStyle name="Currency 5 2 2 3 4 2 2 3" xfId="32946" xr:uid="{E86C7389-745F-429F-B4C3-CB81F6056344}"/>
    <cellStyle name="Currency 5 2 2 3 4 2 2 4" xfId="16059" xr:uid="{3F9A2828-E27F-478F-933A-85ADC53965C5}"/>
    <cellStyle name="Currency 5 2 2 3 4 2 3" xfId="20282" xr:uid="{FFC07DE7-B066-469E-8FEE-446D1BF9CC7F}"/>
    <cellStyle name="Currency 5 2 2 3 4 2 4" xfId="28729" xr:uid="{E1352E15-906B-4C53-9571-54434963CC54}"/>
    <cellStyle name="Currency 5 2 2 3 4 2 5" xfId="11841" xr:uid="{2F3F2CA9-CBF9-4391-AEB2-89D27EDDCD80}"/>
    <cellStyle name="Currency 5 2 2 3 4 3" xfId="5472" xr:uid="{00000000-0005-0000-0000-0000E50B0000}"/>
    <cellStyle name="Currency 5 2 2 3 4 3 2" xfId="22355" xr:uid="{1574206B-DDE8-4D4D-984B-5843BA1442DE}"/>
    <cellStyle name="Currency 5 2 2 3 4 3 3" xfId="30801" xr:uid="{2245E061-2DBE-45ED-9101-067311F2770E}"/>
    <cellStyle name="Currency 5 2 2 3 4 3 4" xfId="13914" xr:uid="{2ED5324A-AE36-4AA7-8B8C-163B87DC7B57}"/>
    <cellStyle name="Currency 5 2 2 3 4 4" xfId="18137" xr:uid="{4A5F67D6-EAF7-48F0-9FF9-764C696AD74E}"/>
    <cellStyle name="Currency 5 2 2 3 4 5" xfId="26582" xr:uid="{85B7AF73-7D51-40E6-A2E4-8575F86EF0D4}"/>
    <cellStyle name="Currency 5 2 2 3 4 6" xfId="9696" xr:uid="{64F2845F-DCD4-40E0-B754-B6F2AC6B9F7B}"/>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24913" xr:uid="{D09135D3-673C-4B62-BEAC-10FD1AAE6B86}"/>
    <cellStyle name="Currency 5 2 2 3 5 2 2 3" xfId="33359" xr:uid="{4135D09A-F353-44F1-B017-1439FEBA028A}"/>
    <cellStyle name="Currency 5 2 2 3 5 2 2 4" xfId="16472" xr:uid="{87BC6941-F859-4A1C-BB47-A9FFD1C53B4B}"/>
    <cellStyle name="Currency 5 2 2 3 5 2 3" xfId="20695" xr:uid="{C603B280-AA56-4289-90B1-EB4FF78DE92B}"/>
    <cellStyle name="Currency 5 2 2 3 5 2 4" xfId="29142" xr:uid="{77B86A84-C5B8-4D90-B293-958E494987D7}"/>
    <cellStyle name="Currency 5 2 2 3 5 2 5" xfId="12254" xr:uid="{3448CF20-73A8-4D9F-B588-CCE7FC1C0C2A}"/>
    <cellStyle name="Currency 5 2 2 3 5 3" xfId="5885" xr:uid="{00000000-0005-0000-0000-0000E90B0000}"/>
    <cellStyle name="Currency 5 2 2 3 5 3 2" xfId="22768" xr:uid="{9962C440-EA1F-4C3F-BC5E-F60F4DE990C1}"/>
    <cellStyle name="Currency 5 2 2 3 5 3 3" xfId="31214" xr:uid="{7C42E514-EAED-416D-878B-073E8CEAE368}"/>
    <cellStyle name="Currency 5 2 2 3 5 3 4" xfId="14327" xr:uid="{67E11B9D-021B-4493-808F-7F2AD93D44AE}"/>
    <cellStyle name="Currency 5 2 2 3 5 4" xfId="18550" xr:uid="{B02B7B3F-24A3-4F01-B3D5-313BF4EADB09}"/>
    <cellStyle name="Currency 5 2 2 3 5 5" xfId="26995" xr:uid="{844BC4B4-844D-4A7B-8CD1-11E5DBE44096}"/>
    <cellStyle name="Currency 5 2 2 3 5 6" xfId="10109" xr:uid="{85C80E90-85E6-44D9-8CE7-0DD6CBD76595}"/>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25326" xr:uid="{1695CCA6-9D96-4A1C-B4F0-16607D178B85}"/>
    <cellStyle name="Currency 5 2 2 3 6 2 2 3" xfId="33772" xr:uid="{0386F7EF-210E-42A9-8188-960130FDC139}"/>
    <cellStyle name="Currency 5 2 2 3 6 2 2 4" xfId="16885" xr:uid="{721D4C31-E59D-4314-B24B-2CF5773ACB01}"/>
    <cellStyle name="Currency 5 2 2 3 6 2 3" xfId="21108" xr:uid="{53B1FB25-BCFA-4E96-B527-7823353F2C65}"/>
    <cellStyle name="Currency 5 2 2 3 6 2 4" xfId="29555" xr:uid="{25CB8A95-D6CA-4624-AABC-07437787E575}"/>
    <cellStyle name="Currency 5 2 2 3 6 2 5" xfId="12667" xr:uid="{5EC184A1-8B57-4E56-955A-81807A9408B1}"/>
    <cellStyle name="Currency 5 2 2 3 6 3" xfId="6298" xr:uid="{00000000-0005-0000-0000-0000ED0B0000}"/>
    <cellStyle name="Currency 5 2 2 3 6 3 2" xfId="23181" xr:uid="{5B71C6EB-A54A-4B94-BEE2-7837A01A8CC9}"/>
    <cellStyle name="Currency 5 2 2 3 6 3 3" xfId="31627" xr:uid="{E727B8A0-737C-4A4B-BE94-89658AB2DD4D}"/>
    <cellStyle name="Currency 5 2 2 3 6 3 4" xfId="14740" xr:uid="{EA5DA08A-46B3-4899-AADC-0F25857E85C0}"/>
    <cellStyle name="Currency 5 2 2 3 6 4" xfId="18963" xr:uid="{933D4039-93E4-4D5D-A4B7-B96F8B8B6FCD}"/>
    <cellStyle name="Currency 5 2 2 3 6 5" xfId="27408" xr:uid="{9FBFBB3E-8ABF-450E-910E-64C3CFEC607D}"/>
    <cellStyle name="Currency 5 2 2 3 6 6" xfId="10522" xr:uid="{61357330-94E6-47CA-BFF5-13D535D5A4AF}"/>
    <cellStyle name="Currency 5 2 2 3 7" xfId="2426" xr:uid="{00000000-0005-0000-0000-0000EE0B0000}"/>
    <cellStyle name="Currency 5 2 2 3 7 2" xfId="6711" xr:uid="{00000000-0005-0000-0000-0000EF0B0000}"/>
    <cellStyle name="Currency 5 2 2 3 7 2 2" xfId="23594" xr:uid="{93D236BA-A18A-4CEC-A598-2262B40C29CA}"/>
    <cellStyle name="Currency 5 2 2 3 7 2 3" xfId="32040" xr:uid="{B56E9995-DD6D-4C68-B282-50EA19C0E6B9}"/>
    <cellStyle name="Currency 5 2 2 3 7 2 4" xfId="15153" xr:uid="{0C07CE75-D442-47B2-9F66-E2FEDF0A90A2}"/>
    <cellStyle name="Currency 5 2 2 3 7 3" xfId="19376" xr:uid="{4CB5CC35-00C7-40D4-BB02-7E790ADB7274}"/>
    <cellStyle name="Currency 5 2 2 3 7 4" xfId="27821" xr:uid="{BEAF4226-6552-4A6C-A841-E3CBC28EFCDF}"/>
    <cellStyle name="Currency 5 2 2 3 7 5" xfId="10935" xr:uid="{FA3C01E7-DBA2-4303-8510-907EC67F2B41}"/>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23911" xr:uid="{12CEE97C-31FD-447D-8BFF-474F526A45C0}"/>
    <cellStyle name="Currency 5 2 2 3 9 2 3" xfId="32357" xr:uid="{7473DEC3-11BB-4A87-9DBE-0D39B3E84C96}"/>
    <cellStyle name="Currency 5 2 2 3 9 2 4" xfId="15470" xr:uid="{712A97B7-F92F-4E46-A1C4-198AB4D5D590}"/>
    <cellStyle name="Currency 5 2 2 3 9 3" xfId="19693" xr:uid="{320328F0-9728-430A-9A25-903728C7F926}"/>
    <cellStyle name="Currency 5 2 2 3 9 4" xfId="28140" xr:uid="{79730DC0-4B30-4733-8CBA-34063684419E}"/>
    <cellStyle name="Currency 5 2 2 3 9 5" xfId="11252" xr:uid="{B40DABFF-D14C-4DCB-80E8-33DA8EEAB055}"/>
    <cellStyle name="Currency 5 2 2 4" xfId="202" xr:uid="{00000000-0005-0000-0000-0000F30B0000}"/>
    <cellStyle name="Currency 5 2 2 4 10" xfId="17312" xr:uid="{AEA50AA8-7E5F-4D37-8DA4-512829EFC0A2}"/>
    <cellStyle name="Currency 5 2 2 4 11" xfId="25755" xr:uid="{B0C6DFC9-4C9B-4742-9174-A513A236881E}"/>
    <cellStyle name="Currency 5 2 2 4 12" xfId="8871" xr:uid="{3537D8A2-9106-499D-BFB7-35D67493F7FE}"/>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24089" xr:uid="{C061A3CA-096A-4F62-A7DB-3F369A191FCF}"/>
    <cellStyle name="Currency 5 2 2 4 2 2 2 3" xfId="32535" xr:uid="{29A7990B-22EF-4143-BF60-0A2F9FFD4D8F}"/>
    <cellStyle name="Currency 5 2 2 4 2 2 2 4" xfId="15648" xr:uid="{8B1866E8-09F4-44E9-80AF-1572555B7146}"/>
    <cellStyle name="Currency 5 2 2 4 2 2 3" xfId="19871" xr:uid="{FF7F8228-E0E0-4BA6-8A41-F1CC7A19FED5}"/>
    <cellStyle name="Currency 5 2 2 4 2 2 4" xfId="28318" xr:uid="{E02BC472-888E-4A78-8C45-68E4EF430E5F}"/>
    <cellStyle name="Currency 5 2 2 4 2 2 5" xfId="11430" xr:uid="{4B5B7B0C-40CF-4E63-8B82-8D661D7C2A5A}"/>
    <cellStyle name="Currency 5 2 2 4 2 3" xfId="5061" xr:uid="{00000000-0005-0000-0000-0000F70B0000}"/>
    <cellStyle name="Currency 5 2 2 4 2 3 2" xfId="21944" xr:uid="{C769B759-3DD1-48B0-8A89-153EB48B82AD}"/>
    <cellStyle name="Currency 5 2 2 4 2 3 3" xfId="30390" xr:uid="{52AD88CB-1262-483B-9660-15D909BF708D}"/>
    <cellStyle name="Currency 5 2 2 4 2 3 4" xfId="13503" xr:uid="{DE97485F-C956-46CF-8180-87591B4DFB3C}"/>
    <cellStyle name="Currency 5 2 2 4 2 4" xfId="17726" xr:uid="{3C0E9138-595F-4E27-AE10-AF226D9C4593}"/>
    <cellStyle name="Currency 5 2 2 4 2 5" xfId="26171" xr:uid="{531578E5-3849-4C9B-B436-56E668C164EA}"/>
    <cellStyle name="Currency 5 2 2 4 2 6" xfId="9285" xr:uid="{866882CF-B996-4362-86ED-700BA3249883}"/>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24502" xr:uid="{21CCAD38-6B08-4B43-BFF0-D5294A5E34ED}"/>
    <cellStyle name="Currency 5 2 2 4 3 2 2 3" xfId="32948" xr:uid="{569DA417-B591-4647-A567-E929AC9520F0}"/>
    <cellStyle name="Currency 5 2 2 4 3 2 2 4" xfId="16061" xr:uid="{1D9DB0CD-3FFB-48B0-89D2-5DED04ABC564}"/>
    <cellStyle name="Currency 5 2 2 4 3 2 3" xfId="20284" xr:uid="{DC28DE73-3975-42FE-B8FB-1BA9D932C937}"/>
    <cellStyle name="Currency 5 2 2 4 3 2 4" xfId="28731" xr:uid="{D9089ADF-A069-4300-B056-D4A2C415F7A4}"/>
    <cellStyle name="Currency 5 2 2 4 3 2 5" xfId="11843" xr:uid="{19429D56-E8D0-4359-A01F-D07F83237870}"/>
    <cellStyle name="Currency 5 2 2 4 3 3" xfId="5474" xr:uid="{00000000-0005-0000-0000-0000FB0B0000}"/>
    <cellStyle name="Currency 5 2 2 4 3 3 2" xfId="22357" xr:uid="{5058449A-A204-4FD8-8D45-4D89E4926424}"/>
    <cellStyle name="Currency 5 2 2 4 3 3 3" xfId="30803" xr:uid="{35D42ACA-AEDE-4377-8163-568F7AEEC2C0}"/>
    <cellStyle name="Currency 5 2 2 4 3 3 4" xfId="13916" xr:uid="{96EF3601-9C18-4451-8FE3-D6C7420BFEB8}"/>
    <cellStyle name="Currency 5 2 2 4 3 4" xfId="18139" xr:uid="{F2C3EFCD-2E5D-47ED-A527-C1E80BF94A3B}"/>
    <cellStyle name="Currency 5 2 2 4 3 5" xfId="26584" xr:uid="{A4DB4142-FE0A-4513-8F81-085A84428A96}"/>
    <cellStyle name="Currency 5 2 2 4 3 6" xfId="9698" xr:uid="{B5ABAC61-5381-43AB-809E-F906D04B5CB9}"/>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24915" xr:uid="{B7F65446-6AE9-497F-8AE6-D22722A2EC4A}"/>
    <cellStyle name="Currency 5 2 2 4 4 2 2 3" xfId="33361" xr:uid="{EF29ECE4-8A5C-4DE4-A6FA-9BF2F87AF2E6}"/>
    <cellStyle name="Currency 5 2 2 4 4 2 2 4" xfId="16474" xr:uid="{A6F4202A-0464-4FCC-8676-5F5CFEE18F28}"/>
    <cellStyle name="Currency 5 2 2 4 4 2 3" xfId="20697" xr:uid="{373B769F-AFA0-44CC-AE7A-E0BB37FE91BB}"/>
    <cellStyle name="Currency 5 2 2 4 4 2 4" xfId="29144" xr:uid="{0323FE1F-A3AC-4C57-8CCE-D8FF3E1AA22D}"/>
    <cellStyle name="Currency 5 2 2 4 4 2 5" xfId="12256" xr:uid="{21F1E970-0FE5-4EB8-A54D-B2C48A5704CF}"/>
    <cellStyle name="Currency 5 2 2 4 4 3" xfId="5887" xr:uid="{00000000-0005-0000-0000-0000FF0B0000}"/>
    <cellStyle name="Currency 5 2 2 4 4 3 2" xfId="22770" xr:uid="{04675AF7-605F-43B6-94E0-642BD11216C1}"/>
    <cellStyle name="Currency 5 2 2 4 4 3 3" xfId="31216" xr:uid="{F1BD71AB-E044-4B36-80A9-F2152265788E}"/>
    <cellStyle name="Currency 5 2 2 4 4 3 4" xfId="14329" xr:uid="{D9F3EC88-9AF0-49D0-91CF-0DB98BEBCA7B}"/>
    <cellStyle name="Currency 5 2 2 4 4 4" xfId="18552" xr:uid="{676F7729-CF19-4ADA-86AC-2D05C8CD4D2B}"/>
    <cellStyle name="Currency 5 2 2 4 4 5" xfId="26997" xr:uid="{FEEB5517-4D20-4108-AECD-8BF803B1708D}"/>
    <cellStyle name="Currency 5 2 2 4 4 6" xfId="10111" xr:uid="{5255EEBB-BC2E-4985-9CD4-29CAD282C08E}"/>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25328" xr:uid="{DFC0E770-C0FD-4397-BFF7-BABF78EEBD50}"/>
    <cellStyle name="Currency 5 2 2 4 5 2 2 3" xfId="33774" xr:uid="{89824561-A382-45FF-9EAE-3E4C31A314BF}"/>
    <cellStyle name="Currency 5 2 2 4 5 2 2 4" xfId="16887" xr:uid="{631656E4-F27F-47C9-9436-9D4D537F1680}"/>
    <cellStyle name="Currency 5 2 2 4 5 2 3" xfId="21110" xr:uid="{79F9695A-A89A-4BF0-9456-F7E666E24F1D}"/>
    <cellStyle name="Currency 5 2 2 4 5 2 4" xfId="29557" xr:uid="{5D7388CC-1BAC-4267-8E11-AA1CB9AE41E8}"/>
    <cellStyle name="Currency 5 2 2 4 5 2 5" xfId="12669" xr:uid="{F94A8BBE-BD56-47E9-910F-3BA915A1CB65}"/>
    <cellStyle name="Currency 5 2 2 4 5 3" xfId="6300" xr:uid="{00000000-0005-0000-0000-0000030C0000}"/>
    <cellStyle name="Currency 5 2 2 4 5 3 2" xfId="23183" xr:uid="{34B97B34-CE85-4842-A947-9017CA1AD606}"/>
    <cellStyle name="Currency 5 2 2 4 5 3 3" xfId="31629" xr:uid="{AD1D20D5-DC67-4A95-A369-A98D33D6A20F}"/>
    <cellStyle name="Currency 5 2 2 4 5 3 4" xfId="14742" xr:uid="{128A5A87-008B-41F2-BACF-44B176E166F3}"/>
    <cellStyle name="Currency 5 2 2 4 5 4" xfId="18965" xr:uid="{4B92D7AB-44D2-4C75-983F-F516C57FA1E2}"/>
    <cellStyle name="Currency 5 2 2 4 5 5" xfId="27410" xr:uid="{821D1BB8-70E1-4E09-887B-1B5CC7D37E05}"/>
    <cellStyle name="Currency 5 2 2 4 5 6" xfId="10524" xr:uid="{306E3CD2-3E2F-4685-84C0-FC13BE28D205}"/>
    <cellStyle name="Currency 5 2 2 4 6" xfId="2428" xr:uid="{00000000-0005-0000-0000-0000040C0000}"/>
    <cellStyle name="Currency 5 2 2 4 6 2" xfId="6713" xr:uid="{00000000-0005-0000-0000-0000050C0000}"/>
    <cellStyle name="Currency 5 2 2 4 6 2 2" xfId="23596" xr:uid="{7C87C15A-3C83-47C8-B561-F8148F238168}"/>
    <cellStyle name="Currency 5 2 2 4 6 2 3" xfId="32042" xr:uid="{3E2A7B43-F1B2-4BDA-81B6-90499D0FC9D6}"/>
    <cellStyle name="Currency 5 2 2 4 6 2 4" xfId="15155" xr:uid="{713BC426-6CA1-4047-A32E-BA1843821819}"/>
    <cellStyle name="Currency 5 2 2 4 6 3" xfId="19378" xr:uid="{71683D74-2EFD-4165-BB21-B45AEEE0EF29}"/>
    <cellStyle name="Currency 5 2 2 4 6 4" xfId="27823" xr:uid="{89ABCEA2-0ACB-45CC-9CC1-9DC37F398694}"/>
    <cellStyle name="Currency 5 2 2 4 6 5" xfId="10937" xr:uid="{895204FF-1FA5-4393-B814-C76CB48943AF}"/>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23913" xr:uid="{66EC4755-0DBE-4D1D-A9D4-EA05931EA728}"/>
    <cellStyle name="Currency 5 2 2 4 8 2 3" xfId="32359" xr:uid="{7C6AB9A1-393F-48BD-AD59-779449A4FAF3}"/>
    <cellStyle name="Currency 5 2 2 4 8 2 4" xfId="15472" xr:uid="{95764249-65F7-424D-8B6E-35ACDE4D448F}"/>
    <cellStyle name="Currency 5 2 2 4 8 3" xfId="19695" xr:uid="{9A1AD25E-2DE5-497F-A648-C65CA4F181C9}"/>
    <cellStyle name="Currency 5 2 2 4 8 4" xfId="28142" xr:uid="{DCC97089-8368-4139-9545-CED813F4B67F}"/>
    <cellStyle name="Currency 5 2 2 4 8 5" xfId="11254" xr:uid="{360A046A-3A4A-4A9F-B9C7-4BEC6D5B97B5}"/>
    <cellStyle name="Currency 5 2 2 4 9" xfId="4647" xr:uid="{00000000-0005-0000-0000-0000090C0000}"/>
    <cellStyle name="Currency 5 2 2 4 9 2" xfId="21530" xr:uid="{B0D624FD-A8A6-4DDC-9AC5-C81559011C21}"/>
    <cellStyle name="Currency 5 2 2 4 9 3" xfId="29976" xr:uid="{803246B1-F6F2-4F90-A95D-3B9B5289A1EB}"/>
    <cellStyle name="Currency 5 2 2 4 9 4" xfId="13089" xr:uid="{308808E8-CB41-44D3-BBCC-3CD880A8A879}"/>
    <cellStyle name="Currency 5 2 2 5" xfId="203" xr:uid="{00000000-0005-0000-0000-00000A0C0000}"/>
    <cellStyle name="Currency 5 2 2 5 10" xfId="17313" xr:uid="{B41CD77A-4748-4BEE-BFBA-FDAFB1031081}"/>
    <cellStyle name="Currency 5 2 2 5 11" xfId="25756" xr:uid="{97A55B32-2EBA-47F6-B782-DB4273A48DD3}"/>
    <cellStyle name="Currency 5 2 2 5 12" xfId="8872" xr:uid="{9C675585-CC88-4A2A-AB2F-C523DD3DB8CA}"/>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24090" xr:uid="{3800B798-64CF-45EB-935F-74C24ACD3299}"/>
    <cellStyle name="Currency 5 2 2 5 2 2 2 3" xfId="32536" xr:uid="{170CAC08-6C88-4778-A1B8-0E009722C5D6}"/>
    <cellStyle name="Currency 5 2 2 5 2 2 2 4" xfId="15649" xr:uid="{302D8C65-D470-451F-9F44-2D024DAA5FDC}"/>
    <cellStyle name="Currency 5 2 2 5 2 2 3" xfId="19872" xr:uid="{F9C59DFC-F729-44D7-802C-29961D0F076F}"/>
    <cellStyle name="Currency 5 2 2 5 2 2 4" xfId="28319" xr:uid="{7CC894C2-CC70-418F-9E3A-BBA05F3ECA0E}"/>
    <cellStyle name="Currency 5 2 2 5 2 2 5" xfId="11431" xr:uid="{5C67C21C-A65F-4F0A-A538-69ECA43AA23F}"/>
    <cellStyle name="Currency 5 2 2 5 2 3" xfId="5062" xr:uid="{00000000-0005-0000-0000-00000E0C0000}"/>
    <cellStyle name="Currency 5 2 2 5 2 3 2" xfId="21945" xr:uid="{B30AA95E-7BE3-4D78-A5EE-3E713B87DED9}"/>
    <cellStyle name="Currency 5 2 2 5 2 3 3" xfId="30391" xr:uid="{4C77154A-E38A-4FBE-A138-6DB6E8F85BF3}"/>
    <cellStyle name="Currency 5 2 2 5 2 3 4" xfId="13504" xr:uid="{8373BAFB-951B-407A-832F-18C359CE229D}"/>
    <cellStyle name="Currency 5 2 2 5 2 4" xfId="17727" xr:uid="{0840A024-5C97-4DD7-A94C-A79AD5F2F51C}"/>
    <cellStyle name="Currency 5 2 2 5 2 5" xfId="26172" xr:uid="{AAD94CE4-37AB-4A6A-97BC-CE984D4D9413}"/>
    <cellStyle name="Currency 5 2 2 5 2 6" xfId="9286" xr:uid="{27A7C16E-C733-4914-8A60-259E865E6785}"/>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24503" xr:uid="{AF5F647E-97A9-4315-AB56-D8157C8E0AD6}"/>
    <cellStyle name="Currency 5 2 2 5 3 2 2 3" xfId="32949" xr:uid="{8BCDCE9C-1B96-4B19-BEE3-EC3AE3EAFC0C}"/>
    <cellStyle name="Currency 5 2 2 5 3 2 2 4" xfId="16062" xr:uid="{01ADCDAB-B0FE-4F6E-86DB-6969050241F4}"/>
    <cellStyle name="Currency 5 2 2 5 3 2 3" xfId="20285" xr:uid="{79101E4D-E0D5-4280-AE38-54668B7F9C4F}"/>
    <cellStyle name="Currency 5 2 2 5 3 2 4" xfId="28732" xr:uid="{36E01640-B74A-4C14-BB26-ECA52B480413}"/>
    <cellStyle name="Currency 5 2 2 5 3 2 5" xfId="11844" xr:uid="{0F5152EE-567D-47CF-BF2E-C01A353D128C}"/>
    <cellStyle name="Currency 5 2 2 5 3 3" xfId="5475" xr:uid="{00000000-0005-0000-0000-0000120C0000}"/>
    <cellStyle name="Currency 5 2 2 5 3 3 2" xfId="22358" xr:uid="{23DAF411-4E32-4333-83FC-9BE43F7198BD}"/>
    <cellStyle name="Currency 5 2 2 5 3 3 3" xfId="30804" xr:uid="{C07B1BBA-2B6B-4AE7-9CE5-2A3AFB1AEC8B}"/>
    <cellStyle name="Currency 5 2 2 5 3 3 4" xfId="13917" xr:uid="{749A762C-60AC-4EA9-A4E6-1AF489F028B4}"/>
    <cellStyle name="Currency 5 2 2 5 3 4" xfId="18140" xr:uid="{B5DB2318-6755-438A-BBCF-7E22F3B6CF1E}"/>
    <cellStyle name="Currency 5 2 2 5 3 5" xfId="26585" xr:uid="{01283FBB-70D0-41B8-8F84-9CDCCCB6AB63}"/>
    <cellStyle name="Currency 5 2 2 5 3 6" xfId="9699" xr:uid="{D0A6DF12-B523-4D93-93F3-BA6E8CCDA24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24916" xr:uid="{93604D95-C098-4448-96A6-1D418219BC4F}"/>
    <cellStyle name="Currency 5 2 2 5 4 2 2 3" xfId="33362" xr:uid="{F38E9F62-C905-4C10-8E61-9CA1F870D109}"/>
    <cellStyle name="Currency 5 2 2 5 4 2 2 4" xfId="16475" xr:uid="{218DE6A1-8497-4442-BA8C-FA988358BD6E}"/>
    <cellStyle name="Currency 5 2 2 5 4 2 3" xfId="20698" xr:uid="{DF986B7C-7F34-4E99-AE04-243735FFF969}"/>
    <cellStyle name="Currency 5 2 2 5 4 2 4" xfId="29145" xr:uid="{57B60A55-ED5A-466B-8142-D12C61520336}"/>
    <cellStyle name="Currency 5 2 2 5 4 2 5" xfId="12257" xr:uid="{83A0ECAE-C46F-47ED-A952-686902665918}"/>
    <cellStyle name="Currency 5 2 2 5 4 3" xfId="5888" xr:uid="{00000000-0005-0000-0000-0000160C0000}"/>
    <cellStyle name="Currency 5 2 2 5 4 3 2" xfId="22771" xr:uid="{0B532B36-8899-4945-8760-A0A0CA82C582}"/>
    <cellStyle name="Currency 5 2 2 5 4 3 3" xfId="31217" xr:uid="{9E82E98C-A25A-4484-A4D4-BF9B2BBA2A99}"/>
    <cellStyle name="Currency 5 2 2 5 4 3 4" xfId="14330" xr:uid="{3F833E5F-434A-49F9-A9AB-EE695254E3D9}"/>
    <cellStyle name="Currency 5 2 2 5 4 4" xfId="18553" xr:uid="{1374A863-18AB-4B87-9027-47A53F9DD54A}"/>
    <cellStyle name="Currency 5 2 2 5 4 5" xfId="26998" xr:uid="{067C4F1E-C626-4A26-8DCE-8AC7EFF5661E}"/>
    <cellStyle name="Currency 5 2 2 5 4 6" xfId="10112" xr:uid="{0533A2F2-F817-4467-9CAF-B49036E003DF}"/>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25329" xr:uid="{75CD67D4-F89B-41D1-BE99-A2202903368F}"/>
    <cellStyle name="Currency 5 2 2 5 5 2 2 3" xfId="33775" xr:uid="{FDCCA828-EAD8-4999-9460-73F86B00900B}"/>
    <cellStyle name="Currency 5 2 2 5 5 2 2 4" xfId="16888" xr:uid="{E8F92B96-BEBA-4BE7-BA69-5538F4AD3D0F}"/>
    <cellStyle name="Currency 5 2 2 5 5 2 3" xfId="21111" xr:uid="{74826D55-55A0-45DA-83D8-056E0812A03C}"/>
    <cellStyle name="Currency 5 2 2 5 5 2 4" xfId="29558" xr:uid="{44218BE2-49DE-480D-9B0B-E771331F3852}"/>
    <cellStyle name="Currency 5 2 2 5 5 2 5" xfId="12670" xr:uid="{3D116A19-2999-4E40-825F-21209C6BE61B}"/>
    <cellStyle name="Currency 5 2 2 5 5 3" xfId="6301" xr:uid="{00000000-0005-0000-0000-00001A0C0000}"/>
    <cellStyle name="Currency 5 2 2 5 5 3 2" xfId="23184" xr:uid="{C85FE9FE-89E8-4F44-8DC7-31507A9BDA2C}"/>
    <cellStyle name="Currency 5 2 2 5 5 3 3" xfId="31630" xr:uid="{71012554-F1AE-4D64-AEE0-7E977BBF76C8}"/>
    <cellStyle name="Currency 5 2 2 5 5 3 4" xfId="14743" xr:uid="{48497501-099C-4C97-86AA-D9C9E2D2565B}"/>
    <cellStyle name="Currency 5 2 2 5 5 4" xfId="18966" xr:uid="{DBFB096F-7822-4507-A692-08C0A21F0B0F}"/>
    <cellStyle name="Currency 5 2 2 5 5 5" xfId="27411" xr:uid="{9BA2B121-4687-4AB0-BFC3-894B6DC76C20}"/>
    <cellStyle name="Currency 5 2 2 5 5 6" xfId="10525" xr:uid="{F501CE9B-F3C7-4D16-A0DD-18A8F25D023B}"/>
    <cellStyle name="Currency 5 2 2 5 6" xfId="2429" xr:uid="{00000000-0005-0000-0000-00001B0C0000}"/>
    <cellStyle name="Currency 5 2 2 5 6 2" xfId="6714" xr:uid="{00000000-0005-0000-0000-00001C0C0000}"/>
    <cellStyle name="Currency 5 2 2 5 6 2 2" xfId="23597" xr:uid="{A245F4E0-0607-4DA5-93BA-CA5E5C62B1E3}"/>
    <cellStyle name="Currency 5 2 2 5 6 2 3" xfId="32043" xr:uid="{3AA53CD6-17FE-47E7-9604-04BE9B25283A}"/>
    <cellStyle name="Currency 5 2 2 5 6 2 4" xfId="15156" xr:uid="{A57ADB54-9232-4FD4-A78C-83106DCB6A57}"/>
    <cellStyle name="Currency 5 2 2 5 6 3" xfId="19379" xr:uid="{0DEC006D-D301-420F-89C4-96CE22854E72}"/>
    <cellStyle name="Currency 5 2 2 5 6 4" xfId="27824" xr:uid="{CBFCE81E-0D3D-4818-8EE0-4887A3AEB677}"/>
    <cellStyle name="Currency 5 2 2 5 6 5" xfId="10938" xr:uid="{80A74CBF-524A-4532-A5B8-5685FADF0791}"/>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23914" xr:uid="{61DEEDF8-292B-42F6-8E03-217C3807AA17}"/>
    <cellStyle name="Currency 5 2 2 5 8 2 3" xfId="32360" xr:uid="{FF8F0815-51E7-42EC-B64F-3F2FC1488E51}"/>
    <cellStyle name="Currency 5 2 2 5 8 2 4" xfId="15473" xr:uid="{E0B850CA-38BD-4239-99D3-63716665234A}"/>
    <cellStyle name="Currency 5 2 2 5 8 3" xfId="19696" xr:uid="{809B6E23-DA00-46CF-BB94-DA14EDD3E2E0}"/>
    <cellStyle name="Currency 5 2 2 5 8 4" xfId="28143" xr:uid="{08A4B191-5897-4EF8-8AB2-D0145507F2A4}"/>
    <cellStyle name="Currency 5 2 2 5 8 5" xfId="11255" xr:uid="{0B3938AC-2C23-4E35-AFEA-9FBA55A93523}"/>
    <cellStyle name="Currency 5 2 2 5 9" xfId="4648" xr:uid="{00000000-0005-0000-0000-0000200C0000}"/>
    <cellStyle name="Currency 5 2 2 5 9 2" xfId="21531" xr:uid="{1D725C36-3D82-4FA5-907C-2ADBEF6642F9}"/>
    <cellStyle name="Currency 5 2 2 5 9 3" xfId="29977" xr:uid="{57957D54-E325-46F5-B1E3-1E6D4F7B4129}"/>
    <cellStyle name="Currency 5 2 2 5 9 4" xfId="13090" xr:uid="{B642190F-04DB-4993-A035-C36C9925A7CB}"/>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21532" xr:uid="{CE96BDC0-5022-4140-942D-17D2415FA721}"/>
    <cellStyle name="Currency 5 2 4 10 3" xfId="29978" xr:uid="{7284FC01-9588-4B22-A3C1-6B548B98FCC8}"/>
    <cellStyle name="Currency 5 2 4 10 4" xfId="13091" xr:uid="{27B01AC9-8092-4095-8FE1-12B3005EB815}"/>
    <cellStyle name="Currency 5 2 4 11" xfId="17314" xr:uid="{FF749CAE-6CBD-44E7-AD8A-EDBE76BA1690}"/>
    <cellStyle name="Currency 5 2 4 12" xfId="25757" xr:uid="{72977D72-DF70-4602-90AB-E65516C49C81}"/>
    <cellStyle name="Currency 5 2 4 13" xfId="8873" xr:uid="{DD792374-9C54-48C7-89D9-F53A5D51BE5E}"/>
    <cellStyle name="Currency 5 2 4 2" xfId="206" xr:uid="{00000000-0005-0000-0000-0000250C0000}"/>
    <cellStyle name="Currency 5 2 4 2 10" xfId="17315" xr:uid="{A7AC2BF5-4FC6-401D-9BB7-389412BDD658}"/>
    <cellStyle name="Currency 5 2 4 2 11" xfId="25758" xr:uid="{A1EBF573-2AF8-436C-A6C0-53A543D2C9E6}"/>
    <cellStyle name="Currency 5 2 4 2 12" xfId="8874" xr:uid="{20FE0B16-FF50-44F8-8619-11D66981EA39}"/>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24092" xr:uid="{3B3E03A3-9769-47E1-A138-C553B0DE7088}"/>
    <cellStyle name="Currency 5 2 4 2 2 2 2 3" xfId="32538" xr:uid="{153FFF43-1203-4E40-9A21-A6D164B7DCE6}"/>
    <cellStyle name="Currency 5 2 4 2 2 2 2 4" xfId="15651" xr:uid="{6C15E130-1BD2-4FDB-BA7A-AD3E3AC12B5F}"/>
    <cellStyle name="Currency 5 2 4 2 2 2 3" xfId="19874" xr:uid="{08B2A2E4-5445-4C58-AC64-0A0B16BA9AB2}"/>
    <cellStyle name="Currency 5 2 4 2 2 2 4" xfId="28321" xr:uid="{14161E8F-DB4B-402A-829E-777171679381}"/>
    <cellStyle name="Currency 5 2 4 2 2 2 5" xfId="11433" xr:uid="{6CD4F47B-6920-4537-937A-198B4E0DC604}"/>
    <cellStyle name="Currency 5 2 4 2 2 3" xfId="5064" xr:uid="{00000000-0005-0000-0000-0000290C0000}"/>
    <cellStyle name="Currency 5 2 4 2 2 3 2" xfId="21947" xr:uid="{F4220230-D7D8-4929-AEDE-817F403A825D}"/>
    <cellStyle name="Currency 5 2 4 2 2 3 3" xfId="30393" xr:uid="{5367793D-1B89-4550-9D70-36CE55A1FC60}"/>
    <cellStyle name="Currency 5 2 4 2 2 3 4" xfId="13506" xr:uid="{03DBCBE4-4569-41CD-829F-3955AFE78EB4}"/>
    <cellStyle name="Currency 5 2 4 2 2 4" xfId="17729" xr:uid="{E0750A12-20D9-417D-B4EC-146BC1CA2FF7}"/>
    <cellStyle name="Currency 5 2 4 2 2 5" xfId="26174" xr:uid="{97B4EB29-1F01-4C0B-B921-A19B98AF5F63}"/>
    <cellStyle name="Currency 5 2 4 2 2 6" xfId="9288" xr:uid="{1DE67EBF-9616-45D2-940F-25BE763BDA59}"/>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24505" xr:uid="{48148891-5484-416E-90D7-2FD3CBC723F3}"/>
    <cellStyle name="Currency 5 2 4 2 3 2 2 3" xfId="32951" xr:uid="{E99C2DC4-F4F1-4EDE-9DDB-716AC71BD66C}"/>
    <cellStyle name="Currency 5 2 4 2 3 2 2 4" xfId="16064" xr:uid="{79E403D7-A51A-4A22-AE7B-FCF3D9ECC506}"/>
    <cellStyle name="Currency 5 2 4 2 3 2 3" xfId="20287" xr:uid="{65E8A805-377C-43ED-BFC6-6525370E9DD3}"/>
    <cellStyle name="Currency 5 2 4 2 3 2 4" xfId="28734" xr:uid="{DC90D420-B5B6-4419-8D5E-918C4638EAC5}"/>
    <cellStyle name="Currency 5 2 4 2 3 2 5" xfId="11846" xr:uid="{6D751544-52FC-45F6-9097-799005CE0D65}"/>
    <cellStyle name="Currency 5 2 4 2 3 3" xfId="5477" xr:uid="{00000000-0005-0000-0000-00002D0C0000}"/>
    <cellStyle name="Currency 5 2 4 2 3 3 2" xfId="22360" xr:uid="{EBFA6FC0-0568-4CF3-9B6E-609709DC6BFD}"/>
    <cellStyle name="Currency 5 2 4 2 3 3 3" xfId="30806" xr:uid="{E2EEB092-B320-4333-9653-B8901D06BD97}"/>
    <cellStyle name="Currency 5 2 4 2 3 3 4" xfId="13919" xr:uid="{DDCBDB3D-2DA2-43DC-AEFF-9CF493C7DA47}"/>
    <cellStyle name="Currency 5 2 4 2 3 4" xfId="18142" xr:uid="{7E1BF195-E875-4127-8F5F-87B4DF40EB4A}"/>
    <cellStyle name="Currency 5 2 4 2 3 5" xfId="26587" xr:uid="{1DFD0F21-5266-4D95-AF36-3820966D659A}"/>
    <cellStyle name="Currency 5 2 4 2 3 6" xfId="9701" xr:uid="{02B8A07C-380E-4452-85E6-8223F7D00202}"/>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24918" xr:uid="{A16A8055-F241-4F79-B1AC-D09A3930EB6D}"/>
    <cellStyle name="Currency 5 2 4 2 4 2 2 3" xfId="33364" xr:uid="{39E947A3-D8D8-4DFA-8DF3-38C48C656B6E}"/>
    <cellStyle name="Currency 5 2 4 2 4 2 2 4" xfId="16477" xr:uid="{D9E7991E-D23F-4FAB-8670-1E38FE5C9437}"/>
    <cellStyle name="Currency 5 2 4 2 4 2 3" xfId="20700" xr:uid="{7439E1BB-E6C0-4ACE-9494-7A8E7CA61735}"/>
    <cellStyle name="Currency 5 2 4 2 4 2 4" xfId="29147" xr:uid="{94A97FA3-CE05-42F0-AB25-1D91F42F7D36}"/>
    <cellStyle name="Currency 5 2 4 2 4 2 5" xfId="12259" xr:uid="{43D48C6F-880C-4E0F-B634-8BC4C01B3FFA}"/>
    <cellStyle name="Currency 5 2 4 2 4 3" xfId="5890" xr:uid="{00000000-0005-0000-0000-0000310C0000}"/>
    <cellStyle name="Currency 5 2 4 2 4 3 2" xfId="22773" xr:uid="{F5B83AE7-45ED-4AF7-BFB3-A294801BC04A}"/>
    <cellStyle name="Currency 5 2 4 2 4 3 3" xfId="31219" xr:uid="{AE6ED233-550A-4D58-80D7-16D36B8C3F4F}"/>
    <cellStyle name="Currency 5 2 4 2 4 3 4" xfId="14332" xr:uid="{A2A91DD8-2C08-46B3-BA5E-987631A2484D}"/>
    <cellStyle name="Currency 5 2 4 2 4 4" xfId="18555" xr:uid="{45F0EE55-138E-4C37-8B0F-4E86DB3A5E2F}"/>
    <cellStyle name="Currency 5 2 4 2 4 5" xfId="27000" xr:uid="{F0D7BABD-2D8A-41E6-9DE2-47ED63E0D664}"/>
    <cellStyle name="Currency 5 2 4 2 4 6" xfId="10114" xr:uid="{5FD30B6F-E842-449C-B3AA-3356BB98450C}"/>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25331" xr:uid="{9F099A7E-47FC-4C24-8231-3EF60FC4DDB3}"/>
    <cellStyle name="Currency 5 2 4 2 5 2 2 3" xfId="33777" xr:uid="{2FA8B94E-BE41-4595-8DD0-769774243ABE}"/>
    <cellStyle name="Currency 5 2 4 2 5 2 2 4" xfId="16890" xr:uid="{068C15B5-9CC3-4044-912D-9486F0CF4293}"/>
    <cellStyle name="Currency 5 2 4 2 5 2 3" xfId="21113" xr:uid="{00F51B7E-8F48-4C3C-8AD2-7AF35262D9C4}"/>
    <cellStyle name="Currency 5 2 4 2 5 2 4" xfId="29560" xr:uid="{ED284B63-8FE0-4436-8D28-BB0EE1989A6B}"/>
    <cellStyle name="Currency 5 2 4 2 5 2 5" xfId="12672" xr:uid="{3A0E64A4-AD07-4B4E-B804-7897EFD92459}"/>
    <cellStyle name="Currency 5 2 4 2 5 3" xfId="6303" xr:uid="{00000000-0005-0000-0000-0000350C0000}"/>
    <cellStyle name="Currency 5 2 4 2 5 3 2" xfId="23186" xr:uid="{B1F48D55-2B95-4C7D-9D07-CF97FB476A3C}"/>
    <cellStyle name="Currency 5 2 4 2 5 3 3" xfId="31632" xr:uid="{18AA557B-F5F2-46C5-8D1B-2098E8515DC7}"/>
    <cellStyle name="Currency 5 2 4 2 5 3 4" xfId="14745" xr:uid="{5097B42A-B9C8-448E-997F-0AF698AF2FE4}"/>
    <cellStyle name="Currency 5 2 4 2 5 4" xfId="18968" xr:uid="{7BD81B7F-DB6F-4F1D-96D6-215E94BA7CC2}"/>
    <cellStyle name="Currency 5 2 4 2 5 5" xfId="27413" xr:uid="{7653BAB2-D599-443C-B69A-F8E839F33B55}"/>
    <cellStyle name="Currency 5 2 4 2 5 6" xfId="10527" xr:uid="{44C7D240-B218-4989-A153-2D843DAC921E}"/>
    <cellStyle name="Currency 5 2 4 2 6" xfId="2431" xr:uid="{00000000-0005-0000-0000-0000360C0000}"/>
    <cellStyle name="Currency 5 2 4 2 6 2" xfId="6716" xr:uid="{00000000-0005-0000-0000-0000370C0000}"/>
    <cellStyle name="Currency 5 2 4 2 6 2 2" xfId="23599" xr:uid="{6857AC1A-2A1E-4432-9B88-6F915385C2AB}"/>
    <cellStyle name="Currency 5 2 4 2 6 2 3" xfId="32045" xr:uid="{EA7D7F8E-7617-4FDF-B2A6-091CF34DF4D0}"/>
    <cellStyle name="Currency 5 2 4 2 6 2 4" xfId="15158" xr:uid="{5F584123-BD82-4EC3-96E8-155252106BDF}"/>
    <cellStyle name="Currency 5 2 4 2 6 3" xfId="19381" xr:uid="{9EC9E57C-9071-41B5-B2F5-FC7006854B73}"/>
    <cellStyle name="Currency 5 2 4 2 6 4" xfId="27826" xr:uid="{97711622-573B-4847-9251-8AFF0784EDBC}"/>
    <cellStyle name="Currency 5 2 4 2 6 5" xfId="10940" xr:uid="{49110F91-A46B-45BB-81ED-BB53CFCAC2AF}"/>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23916" xr:uid="{B10C29CD-7F33-4C33-8B37-761BECA9D31F}"/>
    <cellStyle name="Currency 5 2 4 2 8 2 3" xfId="32362" xr:uid="{AD88E106-3F53-4A52-8C52-4F8E081A6E01}"/>
    <cellStyle name="Currency 5 2 4 2 8 2 4" xfId="15475" xr:uid="{1CA1684A-575C-465F-8519-0469BDEFAF8C}"/>
    <cellStyle name="Currency 5 2 4 2 8 3" xfId="19698" xr:uid="{85DF7BCD-31CC-4709-B696-42478739CDE5}"/>
    <cellStyle name="Currency 5 2 4 2 8 4" xfId="28145" xr:uid="{73FD6B88-0213-4464-9245-2DF043D6CF94}"/>
    <cellStyle name="Currency 5 2 4 2 8 5" xfId="11257" xr:uid="{5E44AA73-FB3E-4782-BFCF-336864F53FA4}"/>
    <cellStyle name="Currency 5 2 4 2 9" xfId="4650" xr:uid="{00000000-0005-0000-0000-00003B0C0000}"/>
    <cellStyle name="Currency 5 2 4 2 9 2" xfId="21533" xr:uid="{57F38ED0-B058-4D92-B731-135DC062A753}"/>
    <cellStyle name="Currency 5 2 4 2 9 3" xfId="29979" xr:uid="{89C11E92-BFA5-44FB-BA15-77AA28837919}"/>
    <cellStyle name="Currency 5 2 4 2 9 4" xfId="13092" xr:uid="{7C5B7AC3-DFA5-403F-84E3-4BD6838D0E11}"/>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24091" xr:uid="{30A5AD37-110D-4861-AD4A-B729B174899D}"/>
    <cellStyle name="Currency 5 2 4 3 2 2 3" xfId="32537" xr:uid="{820FC0F3-96BC-4BA6-AF1A-3307E666930C}"/>
    <cellStyle name="Currency 5 2 4 3 2 2 4" xfId="15650" xr:uid="{7C5BE3CF-4DE9-4813-97B4-88FBF7DBC26A}"/>
    <cellStyle name="Currency 5 2 4 3 2 3" xfId="19873" xr:uid="{79642217-E69E-4178-B679-95ED0E97C162}"/>
    <cellStyle name="Currency 5 2 4 3 2 4" xfId="28320" xr:uid="{C12C35FF-F1DC-4BFF-A931-70C48CA976C2}"/>
    <cellStyle name="Currency 5 2 4 3 2 5" xfId="11432" xr:uid="{D3C59D89-6824-4574-8CB4-791F6AA5FB74}"/>
    <cellStyle name="Currency 5 2 4 3 3" xfId="5063" xr:uid="{00000000-0005-0000-0000-00003F0C0000}"/>
    <cellStyle name="Currency 5 2 4 3 3 2" xfId="21946" xr:uid="{46CCAC4E-74A0-4711-86C5-F3879BF8C3DE}"/>
    <cellStyle name="Currency 5 2 4 3 3 3" xfId="30392" xr:uid="{BAB94F42-4E5A-48D3-9A38-15FB075A9C1D}"/>
    <cellStyle name="Currency 5 2 4 3 3 4" xfId="13505" xr:uid="{F90955A7-89C0-458E-906C-6F333D7F691C}"/>
    <cellStyle name="Currency 5 2 4 3 4" xfId="17728" xr:uid="{30D443DE-DF08-456F-9BEC-9B6C8B86417D}"/>
    <cellStyle name="Currency 5 2 4 3 5" xfId="26173" xr:uid="{90E6338C-266D-45B6-8097-166065382C29}"/>
    <cellStyle name="Currency 5 2 4 3 6" xfId="9287" xr:uid="{583A634F-31E1-4867-B4C9-7F47B953CC83}"/>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24504" xr:uid="{F37D0317-B452-4127-92E4-6A3A65421FB5}"/>
    <cellStyle name="Currency 5 2 4 4 2 2 3" xfId="32950" xr:uid="{15976A2F-5B3B-4A31-981F-4CBE4540B7AF}"/>
    <cellStyle name="Currency 5 2 4 4 2 2 4" xfId="16063" xr:uid="{5394EE30-9286-4C05-A442-0B1A56B707FC}"/>
    <cellStyle name="Currency 5 2 4 4 2 3" xfId="20286" xr:uid="{8FC7D5B4-1A52-4903-9471-68E4DC123909}"/>
    <cellStyle name="Currency 5 2 4 4 2 4" xfId="28733" xr:uid="{EC09D916-0E95-44D9-A599-F7254026D071}"/>
    <cellStyle name="Currency 5 2 4 4 2 5" xfId="11845" xr:uid="{9A1CFD9B-59B7-4514-B30E-B5DA851BAD3A}"/>
    <cellStyle name="Currency 5 2 4 4 3" xfId="5476" xr:uid="{00000000-0005-0000-0000-0000430C0000}"/>
    <cellStyle name="Currency 5 2 4 4 3 2" xfId="22359" xr:uid="{5A001438-B6DD-4D38-B0E3-959CB48F4170}"/>
    <cellStyle name="Currency 5 2 4 4 3 3" xfId="30805" xr:uid="{02202A5C-0E41-443D-A808-CD2593157C8C}"/>
    <cellStyle name="Currency 5 2 4 4 3 4" xfId="13918" xr:uid="{77F307B2-3326-4689-93C9-0EDB38F8949C}"/>
    <cellStyle name="Currency 5 2 4 4 4" xfId="18141" xr:uid="{D79135B1-D5CE-487B-B5C0-805D76DCC899}"/>
    <cellStyle name="Currency 5 2 4 4 5" xfId="26586" xr:uid="{396C9E97-2C66-46D1-8D78-CDBD262390E9}"/>
    <cellStyle name="Currency 5 2 4 4 6" xfId="9700" xr:uid="{591E840A-B949-46C4-8D6C-D1CE8DB31926}"/>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24917" xr:uid="{5657088D-79E3-4A4A-961A-34597648E95B}"/>
    <cellStyle name="Currency 5 2 4 5 2 2 3" xfId="33363" xr:uid="{890947E1-6208-45AC-8D0A-43AE758AC93B}"/>
    <cellStyle name="Currency 5 2 4 5 2 2 4" xfId="16476" xr:uid="{8A3B9720-CB8D-46CB-9EC8-E42EEF31B137}"/>
    <cellStyle name="Currency 5 2 4 5 2 3" xfId="20699" xr:uid="{BF9C41A0-23C6-4686-B93D-1513DA2ED4A0}"/>
    <cellStyle name="Currency 5 2 4 5 2 4" xfId="29146" xr:uid="{B2911F06-B0ED-462E-8188-7DDE7F78F2FF}"/>
    <cellStyle name="Currency 5 2 4 5 2 5" xfId="12258" xr:uid="{FDA04988-580F-4F11-95A0-6469AFD02DFE}"/>
    <cellStyle name="Currency 5 2 4 5 3" xfId="5889" xr:uid="{00000000-0005-0000-0000-0000470C0000}"/>
    <cellStyle name="Currency 5 2 4 5 3 2" xfId="22772" xr:uid="{ECAC3A17-0DA4-4F13-87C4-0096B3B44E88}"/>
    <cellStyle name="Currency 5 2 4 5 3 3" xfId="31218" xr:uid="{5B551856-37B1-419C-8D3A-2F6171E71365}"/>
    <cellStyle name="Currency 5 2 4 5 3 4" xfId="14331" xr:uid="{AF05B66B-5158-4AB0-BA1A-AC240D54B64F}"/>
    <cellStyle name="Currency 5 2 4 5 4" xfId="18554" xr:uid="{37BBE02B-8932-464A-99C8-6541F4906116}"/>
    <cellStyle name="Currency 5 2 4 5 5" xfId="26999" xr:uid="{D6B535AA-C0FA-444B-9E47-85175E2FC3D2}"/>
    <cellStyle name="Currency 5 2 4 5 6" xfId="10113" xr:uid="{FB254C3A-0B8C-4959-9FB5-43D64C5375F2}"/>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25330" xr:uid="{2A8655CA-2984-4E94-9FFA-E91406DF7283}"/>
    <cellStyle name="Currency 5 2 4 6 2 2 3" xfId="33776" xr:uid="{D6378DC5-1AA8-49E6-A67C-E1F9B982D314}"/>
    <cellStyle name="Currency 5 2 4 6 2 2 4" xfId="16889" xr:uid="{F0CF5754-C598-4C9E-B4B4-901B7ABCE4C4}"/>
    <cellStyle name="Currency 5 2 4 6 2 3" xfId="21112" xr:uid="{AD5D4D38-9FD5-4168-94E9-5FEA94E07ECD}"/>
    <cellStyle name="Currency 5 2 4 6 2 4" xfId="29559" xr:uid="{09B25079-C314-411D-B4CD-2E92737DFA22}"/>
    <cellStyle name="Currency 5 2 4 6 2 5" xfId="12671" xr:uid="{16825B26-D9D6-48B8-BA51-E12463DBA67E}"/>
    <cellStyle name="Currency 5 2 4 6 3" xfId="6302" xr:uid="{00000000-0005-0000-0000-00004B0C0000}"/>
    <cellStyle name="Currency 5 2 4 6 3 2" xfId="23185" xr:uid="{885B49EF-8E53-46C5-9DF3-85CBFDCAE4D5}"/>
    <cellStyle name="Currency 5 2 4 6 3 3" xfId="31631" xr:uid="{13C2D2D4-97A0-4602-97D4-28C9A639C00A}"/>
    <cellStyle name="Currency 5 2 4 6 3 4" xfId="14744" xr:uid="{86F7FA0F-1CF0-4810-BA44-F9B277ACA40D}"/>
    <cellStyle name="Currency 5 2 4 6 4" xfId="18967" xr:uid="{A5781970-A42D-4D90-B9AE-CD76BA51EA31}"/>
    <cellStyle name="Currency 5 2 4 6 5" xfId="27412" xr:uid="{58BA6A87-9044-4B94-89F5-B0F95962F7D1}"/>
    <cellStyle name="Currency 5 2 4 6 6" xfId="10526" xr:uid="{76366491-CA97-4B80-BF0C-B02CC498223A}"/>
    <cellStyle name="Currency 5 2 4 7" xfId="2430" xr:uid="{00000000-0005-0000-0000-00004C0C0000}"/>
    <cellStyle name="Currency 5 2 4 7 2" xfId="6715" xr:uid="{00000000-0005-0000-0000-00004D0C0000}"/>
    <cellStyle name="Currency 5 2 4 7 2 2" xfId="23598" xr:uid="{B869AF5F-7E54-4D4A-8D71-60C7EB947F46}"/>
    <cellStyle name="Currency 5 2 4 7 2 3" xfId="32044" xr:uid="{9213B2FC-245B-4AD3-862B-A21D8BE8B033}"/>
    <cellStyle name="Currency 5 2 4 7 2 4" xfId="15157" xr:uid="{F0D824E6-33F7-4C3A-90D0-33371218EAFA}"/>
    <cellStyle name="Currency 5 2 4 7 3" xfId="19380" xr:uid="{275BA321-10E6-47A5-BAC4-A10A6B56B451}"/>
    <cellStyle name="Currency 5 2 4 7 4" xfId="27825" xr:uid="{EF74718A-1C36-46BB-AA86-5C5A84A3E5A6}"/>
    <cellStyle name="Currency 5 2 4 7 5" xfId="10939" xr:uid="{F2082A45-01F9-4D7F-BDAE-B131D370B6F2}"/>
    <cellStyle name="Currency 5 2 4 8" xfId="2727" xr:uid="{00000000-0005-0000-0000-00004E0C0000}"/>
    <cellStyle name="Currency 5 2 4 9" xfId="2808" xr:uid="{00000000-0005-0000-0000-00004F0C0000}"/>
    <cellStyle name="Currency 5 2 4 9 2" xfId="7032" xr:uid="{00000000-0005-0000-0000-0000500C0000}"/>
    <cellStyle name="Currency 5 2 4 9 2 2" xfId="23915" xr:uid="{B9F8C569-54AC-46AE-B590-FC3B618526A0}"/>
    <cellStyle name="Currency 5 2 4 9 2 3" xfId="32361" xr:uid="{5074702C-F956-4B1A-A4AF-E8C076B9B2E3}"/>
    <cellStyle name="Currency 5 2 4 9 2 4" xfId="15474" xr:uid="{A1C943CE-4CB2-4794-8DF1-218D74B0EC8C}"/>
    <cellStyle name="Currency 5 2 4 9 3" xfId="19697" xr:uid="{47D2898A-9F6A-4DF1-871D-5EB030BE0702}"/>
    <cellStyle name="Currency 5 2 4 9 4" xfId="28144" xr:uid="{8C5D3AB0-510B-41EE-A268-B65818DA5060}"/>
    <cellStyle name="Currency 5 2 4 9 5" xfId="11256" xr:uid="{6CDF1A5D-490F-4577-9641-4B7CDC68021C}"/>
    <cellStyle name="Currency 5 2 5" xfId="207" xr:uid="{00000000-0005-0000-0000-0000510C0000}"/>
    <cellStyle name="Currency 5 2 5 10" xfId="17316" xr:uid="{F2F073FD-1ACF-4817-968B-56DC1331609E}"/>
    <cellStyle name="Currency 5 2 5 11" xfId="25759" xr:uid="{592E1F46-8F7C-42CC-827C-BA8DCCAC6C1B}"/>
    <cellStyle name="Currency 5 2 5 12" xfId="8875" xr:uid="{D3136B78-1060-4223-8324-7B6505BADA80}"/>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24093" xr:uid="{8A53F202-AFEF-42E2-8EE0-D75474149691}"/>
    <cellStyle name="Currency 5 2 5 2 2 2 3" xfId="32539" xr:uid="{155E32C4-341F-4A79-A693-4E66188C1E67}"/>
    <cellStyle name="Currency 5 2 5 2 2 2 4" xfId="15652" xr:uid="{289EBD61-1B75-4385-B550-674A2E21FC4F}"/>
    <cellStyle name="Currency 5 2 5 2 2 3" xfId="19875" xr:uid="{A2D60A99-EC9F-4821-B8F8-C12A4C90DA3A}"/>
    <cellStyle name="Currency 5 2 5 2 2 4" xfId="28322" xr:uid="{D4CA11E2-9829-4661-9700-75A829E87539}"/>
    <cellStyle name="Currency 5 2 5 2 2 5" xfId="11434" xr:uid="{9EC2BED0-0B09-438F-99B4-D2805A2CF3D3}"/>
    <cellStyle name="Currency 5 2 5 2 3" xfId="5065" xr:uid="{00000000-0005-0000-0000-0000550C0000}"/>
    <cellStyle name="Currency 5 2 5 2 3 2" xfId="21948" xr:uid="{27CB4685-07A1-40AB-A967-9CAE9C88AF8E}"/>
    <cellStyle name="Currency 5 2 5 2 3 3" xfId="30394" xr:uid="{03A82B8A-A9EB-4874-82CC-DD025AE5F202}"/>
    <cellStyle name="Currency 5 2 5 2 3 4" xfId="13507" xr:uid="{414BA224-F28B-45BC-BAF1-656DDAED4A0C}"/>
    <cellStyle name="Currency 5 2 5 2 4" xfId="17730" xr:uid="{6906A8E8-B89D-4A7C-AA8F-A2EE028DA4E2}"/>
    <cellStyle name="Currency 5 2 5 2 5" xfId="26175" xr:uid="{5E1324B6-9262-4503-8FBF-3EEB777C6E1A}"/>
    <cellStyle name="Currency 5 2 5 2 6" xfId="9289" xr:uid="{BF06FFB7-B3BC-4E69-9209-2E621640EC8E}"/>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24506" xr:uid="{4C9F8114-FB90-42D4-A603-F4AD8C501ED2}"/>
    <cellStyle name="Currency 5 2 5 3 2 2 3" xfId="32952" xr:uid="{1A4A957B-1866-47C4-BF3A-41CB24094C4F}"/>
    <cellStyle name="Currency 5 2 5 3 2 2 4" xfId="16065" xr:uid="{007E9A74-79C7-41C5-8C04-79385DA60E18}"/>
    <cellStyle name="Currency 5 2 5 3 2 3" xfId="20288" xr:uid="{FD0ADC16-8478-4408-AE34-E3CC4D005196}"/>
    <cellStyle name="Currency 5 2 5 3 2 4" xfId="28735" xr:uid="{EC2A2504-0030-45B3-93BE-B8318A0A1F1D}"/>
    <cellStyle name="Currency 5 2 5 3 2 5" xfId="11847" xr:uid="{7BC54358-E8E6-4B31-813D-98ABDD226189}"/>
    <cellStyle name="Currency 5 2 5 3 3" xfId="5478" xr:uid="{00000000-0005-0000-0000-0000590C0000}"/>
    <cellStyle name="Currency 5 2 5 3 3 2" xfId="22361" xr:uid="{29EB757E-5D93-417C-BE91-F9E383182A2C}"/>
    <cellStyle name="Currency 5 2 5 3 3 3" xfId="30807" xr:uid="{A0551A47-2212-4915-AF54-7B6C001404DE}"/>
    <cellStyle name="Currency 5 2 5 3 3 4" xfId="13920" xr:uid="{56C85214-80E4-4933-8D1D-87D7A844D3F7}"/>
    <cellStyle name="Currency 5 2 5 3 4" xfId="18143" xr:uid="{B071FE7A-894C-49D4-BDD1-A33F4D960D00}"/>
    <cellStyle name="Currency 5 2 5 3 5" xfId="26588" xr:uid="{1F8EE55D-AAA0-4CC2-AFC9-08E238B1D078}"/>
    <cellStyle name="Currency 5 2 5 3 6" xfId="9702" xr:uid="{213A67A1-91CD-45C1-9F75-D869867AEE65}"/>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24919" xr:uid="{A324E765-FDE3-405C-ABFF-77FA904F31D1}"/>
    <cellStyle name="Currency 5 2 5 4 2 2 3" xfId="33365" xr:uid="{59FB4782-E4EB-4909-BD0D-0630F8B480AF}"/>
    <cellStyle name="Currency 5 2 5 4 2 2 4" xfId="16478" xr:uid="{0FEAC136-F91D-4F83-B896-C59DF1D2905C}"/>
    <cellStyle name="Currency 5 2 5 4 2 3" xfId="20701" xr:uid="{0C37BED6-905D-4C4A-9F34-2C7F446DB56F}"/>
    <cellStyle name="Currency 5 2 5 4 2 4" xfId="29148" xr:uid="{9C825D81-3967-479B-80AB-D2CB5407C5DB}"/>
    <cellStyle name="Currency 5 2 5 4 2 5" xfId="12260" xr:uid="{172695EA-632C-4E1A-8906-D9088E1CF965}"/>
    <cellStyle name="Currency 5 2 5 4 3" xfId="5891" xr:uid="{00000000-0005-0000-0000-00005D0C0000}"/>
    <cellStyle name="Currency 5 2 5 4 3 2" xfId="22774" xr:uid="{EEB7CD9D-C6E8-4D5B-9149-FE292B4EA945}"/>
    <cellStyle name="Currency 5 2 5 4 3 3" xfId="31220" xr:uid="{C1150F07-99C7-4A3C-87C0-A6778B94531A}"/>
    <cellStyle name="Currency 5 2 5 4 3 4" xfId="14333" xr:uid="{EB0A8005-079C-444C-8253-574DCBA17050}"/>
    <cellStyle name="Currency 5 2 5 4 4" xfId="18556" xr:uid="{A805CCC6-FB4D-4606-9BCA-ACFFEC1215F2}"/>
    <cellStyle name="Currency 5 2 5 4 5" xfId="27001" xr:uid="{8522638A-A720-4D53-910E-E2D94E491F24}"/>
    <cellStyle name="Currency 5 2 5 4 6" xfId="10115" xr:uid="{E60A50C1-2D39-47D7-A618-9FA08259DED2}"/>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25332" xr:uid="{4FFF00C5-9982-425F-A35F-8042F0AA6189}"/>
    <cellStyle name="Currency 5 2 5 5 2 2 3" xfId="33778" xr:uid="{1E91DF51-CE49-4470-939A-E489068718B3}"/>
    <cellStyle name="Currency 5 2 5 5 2 2 4" xfId="16891" xr:uid="{30CFFFA0-3E1A-4D6F-8195-D111ECED32C3}"/>
    <cellStyle name="Currency 5 2 5 5 2 3" xfId="21114" xr:uid="{345978BA-DC5C-43C0-96FD-0555D8BAE594}"/>
    <cellStyle name="Currency 5 2 5 5 2 4" xfId="29561" xr:uid="{35D5C21B-867C-4D9D-9728-8D140F407FED}"/>
    <cellStyle name="Currency 5 2 5 5 2 5" xfId="12673" xr:uid="{A387BF0A-1AED-42AD-A245-81B9BDE1C5BC}"/>
    <cellStyle name="Currency 5 2 5 5 3" xfId="6304" xr:uid="{00000000-0005-0000-0000-0000610C0000}"/>
    <cellStyle name="Currency 5 2 5 5 3 2" xfId="23187" xr:uid="{F066094B-3DC8-4384-A75E-2739F91FB9FE}"/>
    <cellStyle name="Currency 5 2 5 5 3 3" xfId="31633" xr:uid="{912FEDCB-AEC7-43FD-AAC1-8864ED360B6E}"/>
    <cellStyle name="Currency 5 2 5 5 3 4" xfId="14746" xr:uid="{86220CEB-F6DD-495A-9B1D-8B1A76B934E7}"/>
    <cellStyle name="Currency 5 2 5 5 4" xfId="18969" xr:uid="{C4655450-9D6E-4C44-BBAB-A9429B640D23}"/>
    <cellStyle name="Currency 5 2 5 5 5" xfId="27414" xr:uid="{102F5FE9-D034-4941-BA95-572B1C95FAFE}"/>
    <cellStyle name="Currency 5 2 5 5 6" xfId="10528" xr:uid="{6D2DB5BC-4D9C-4DBE-8A01-34B3F509C234}"/>
    <cellStyle name="Currency 5 2 5 6" xfId="2432" xr:uid="{00000000-0005-0000-0000-0000620C0000}"/>
    <cellStyle name="Currency 5 2 5 6 2" xfId="6717" xr:uid="{00000000-0005-0000-0000-0000630C0000}"/>
    <cellStyle name="Currency 5 2 5 6 2 2" xfId="23600" xr:uid="{6F6DCB3B-9E72-4AEF-8F8E-9AC5F3DF4B9B}"/>
    <cellStyle name="Currency 5 2 5 6 2 3" xfId="32046" xr:uid="{CEBA8A11-31DE-419F-A4C1-45F3A98967C8}"/>
    <cellStyle name="Currency 5 2 5 6 2 4" xfId="15159" xr:uid="{737EC729-FC25-483F-B812-6542668C460F}"/>
    <cellStyle name="Currency 5 2 5 6 3" xfId="19382" xr:uid="{326CE942-B8C8-4311-BB82-38A92C6C2EF3}"/>
    <cellStyle name="Currency 5 2 5 6 4" xfId="27827" xr:uid="{7CE68127-7071-4DD6-A7D2-9CD87AE6118A}"/>
    <cellStyle name="Currency 5 2 5 6 5" xfId="10941" xr:uid="{64FDA412-E6DD-4FB4-AD61-73D195776422}"/>
    <cellStyle name="Currency 5 2 5 7" xfId="2729" xr:uid="{00000000-0005-0000-0000-0000640C0000}"/>
    <cellStyle name="Currency 5 2 5 8" xfId="2810" xr:uid="{00000000-0005-0000-0000-0000650C0000}"/>
    <cellStyle name="Currency 5 2 5 8 2" xfId="7034" xr:uid="{00000000-0005-0000-0000-0000660C0000}"/>
    <cellStyle name="Currency 5 2 5 8 2 2" xfId="23917" xr:uid="{21ACFA1E-2612-4BEB-9765-3D9796F1E5DE}"/>
    <cellStyle name="Currency 5 2 5 8 2 3" xfId="32363" xr:uid="{7F872665-A799-48B6-BF2E-8200CFFA4563}"/>
    <cellStyle name="Currency 5 2 5 8 2 4" xfId="15476" xr:uid="{5BB57288-3010-4D95-BF09-BD9B93A375F2}"/>
    <cellStyle name="Currency 5 2 5 8 3" xfId="19699" xr:uid="{757D08B3-5DDC-44B4-9B03-A1BC4C77BE8E}"/>
    <cellStyle name="Currency 5 2 5 8 4" xfId="28146" xr:uid="{3A0FA40C-1B0A-4E12-B24E-A2419450BD53}"/>
    <cellStyle name="Currency 5 2 5 8 5" xfId="11258" xr:uid="{6B73B577-F0AD-44DD-8970-32341F5FCFEF}"/>
    <cellStyle name="Currency 5 2 5 9" xfId="4651" xr:uid="{00000000-0005-0000-0000-0000670C0000}"/>
    <cellStyle name="Currency 5 2 5 9 2" xfId="21534" xr:uid="{FF1F2CF1-5D8B-4E50-B6FB-B1647327593C}"/>
    <cellStyle name="Currency 5 2 5 9 3" xfId="29980" xr:uid="{B0E17E81-72CE-4500-BBEE-88F1714EE7CE}"/>
    <cellStyle name="Currency 5 2 5 9 4" xfId="13093" xr:uid="{D8B7E412-3E06-4356-A579-9AA8F1E8B665}"/>
    <cellStyle name="Currency 5 2 6" xfId="208" xr:uid="{00000000-0005-0000-0000-0000680C0000}"/>
    <cellStyle name="Currency 5 2 6 10" xfId="17317" xr:uid="{83D43805-F3B8-4539-97D3-98CBB705EDBE}"/>
    <cellStyle name="Currency 5 2 6 11" xfId="25760" xr:uid="{D569460D-1E79-426B-8F6C-3CD44ED65550}"/>
    <cellStyle name="Currency 5 2 6 12" xfId="8876" xr:uid="{36A33268-1F4A-4694-935F-FEE65A101BFA}"/>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24094" xr:uid="{34FAD589-580D-4835-A5DE-B5D9489808D2}"/>
    <cellStyle name="Currency 5 2 6 2 2 2 3" xfId="32540" xr:uid="{F51F75E7-64E9-41D0-98DE-2A562181D610}"/>
    <cellStyle name="Currency 5 2 6 2 2 2 4" xfId="15653" xr:uid="{08DC15D6-B9B9-4DEE-ABFD-ADC6E30C0EE5}"/>
    <cellStyle name="Currency 5 2 6 2 2 3" xfId="19876" xr:uid="{278B570D-F32C-4CB0-8472-CD932DDE217C}"/>
    <cellStyle name="Currency 5 2 6 2 2 4" xfId="28323" xr:uid="{F963BD28-1CE6-4E7D-A230-061F70897AA4}"/>
    <cellStyle name="Currency 5 2 6 2 2 5" xfId="11435" xr:uid="{735221FA-E1E5-4602-A2D1-2DDCAF12490D}"/>
    <cellStyle name="Currency 5 2 6 2 3" xfId="5066" xr:uid="{00000000-0005-0000-0000-00006C0C0000}"/>
    <cellStyle name="Currency 5 2 6 2 3 2" xfId="21949" xr:uid="{47AF950C-7B1F-4EFD-A687-99A5EFCF51B5}"/>
    <cellStyle name="Currency 5 2 6 2 3 3" xfId="30395" xr:uid="{59355344-49E4-447B-8BA5-34A129507487}"/>
    <cellStyle name="Currency 5 2 6 2 3 4" xfId="13508" xr:uid="{3A30774E-993B-4E52-A503-DE3DA0366FA0}"/>
    <cellStyle name="Currency 5 2 6 2 4" xfId="17731" xr:uid="{A0E3B47F-A517-4CB0-B703-330A9F46AA08}"/>
    <cellStyle name="Currency 5 2 6 2 5" xfId="26176" xr:uid="{D1DB75DC-5B29-448A-8922-E3E4B08C5B7E}"/>
    <cellStyle name="Currency 5 2 6 2 6" xfId="9290" xr:uid="{4818A91D-B648-4E8F-95E7-1FEF8954443B}"/>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24507" xr:uid="{B96F1FDB-9103-4A82-AAF3-935380E44B5B}"/>
    <cellStyle name="Currency 5 2 6 3 2 2 3" xfId="32953" xr:uid="{C6FF1086-7E13-40B8-9624-AA0CCDA13C3F}"/>
    <cellStyle name="Currency 5 2 6 3 2 2 4" xfId="16066" xr:uid="{4E551A90-BD79-497C-824B-4619BA12C30C}"/>
    <cellStyle name="Currency 5 2 6 3 2 3" xfId="20289" xr:uid="{AEF7214D-C8DF-4861-A12D-B3C38173A8BC}"/>
    <cellStyle name="Currency 5 2 6 3 2 4" xfId="28736" xr:uid="{B0D7B950-39F4-485F-B1E4-F248576BEAA9}"/>
    <cellStyle name="Currency 5 2 6 3 2 5" xfId="11848" xr:uid="{7396C336-5BED-4C77-9C59-AD2B6695F7C2}"/>
    <cellStyle name="Currency 5 2 6 3 3" xfId="5479" xr:uid="{00000000-0005-0000-0000-0000700C0000}"/>
    <cellStyle name="Currency 5 2 6 3 3 2" xfId="22362" xr:uid="{485A1469-A12A-40BA-972E-471F17024309}"/>
    <cellStyle name="Currency 5 2 6 3 3 3" xfId="30808" xr:uid="{CA24FA46-4C14-4626-8804-2E7B33E6CFB1}"/>
    <cellStyle name="Currency 5 2 6 3 3 4" xfId="13921" xr:uid="{042B2957-A275-4D19-87A6-FFFA6B10975F}"/>
    <cellStyle name="Currency 5 2 6 3 4" xfId="18144" xr:uid="{BC8E7D49-7102-4E66-9050-EE449A95723F}"/>
    <cellStyle name="Currency 5 2 6 3 5" xfId="26589" xr:uid="{448A0FE4-1E3E-4CEA-B5DB-81F379EE757D}"/>
    <cellStyle name="Currency 5 2 6 3 6" xfId="9703" xr:uid="{5ECBA717-4D3D-4843-B633-8A836C427C0E}"/>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24920" xr:uid="{F6B6A10A-0C9E-4818-B7AB-07CAF3ED3231}"/>
    <cellStyle name="Currency 5 2 6 4 2 2 3" xfId="33366" xr:uid="{42CCC9A0-A783-43E2-9206-22C89CAB4028}"/>
    <cellStyle name="Currency 5 2 6 4 2 2 4" xfId="16479" xr:uid="{D766CB0A-BF5F-4075-A9A7-A942D88C341E}"/>
    <cellStyle name="Currency 5 2 6 4 2 3" xfId="20702" xr:uid="{422F590F-7B06-4D6C-9E89-36B9F9227EA4}"/>
    <cellStyle name="Currency 5 2 6 4 2 4" xfId="29149" xr:uid="{E5B6F6D9-212C-4514-9BCE-4CAD38D43E62}"/>
    <cellStyle name="Currency 5 2 6 4 2 5" xfId="12261" xr:uid="{07A28F21-7BA6-4FBD-A1C3-90D61D685FDB}"/>
    <cellStyle name="Currency 5 2 6 4 3" xfId="5892" xr:uid="{00000000-0005-0000-0000-0000740C0000}"/>
    <cellStyle name="Currency 5 2 6 4 3 2" xfId="22775" xr:uid="{F4C3FE37-C9EC-4AD3-8F00-1BBD53BE9F71}"/>
    <cellStyle name="Currency 5 2 6 4 3 3" xfId="31221" xr:uid="{AEE47E5A-A5A8-498A-BDDE-77EE3D76DC6A}"/>
    <cellStyle name="Currency 5 2 6 4 3 4" xfId="14334" xr:uid="{5B52AF86-064E-434F-8602-BE624CE41375}"/>
    <cellStyle name="Currency 5 2 6 4 4" xfId="18557" xr:uid="{B0E18C5A-7C7E-478B-9E72-0B03F2351E2D}"/>
    <cellStyle name="Currency 5 2 6 4 5" xfId="27002" xr:uid="{47A99A23-C3D1-4AA1-A91E-E324C520403A}"/>
    <cellStyle name="Currency 5 2 6 4 6" xfId="10116" xr:uid="{10130FC0-63B2-4D54-A784-2C01CA88449B}"/>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25333" xr:uid="{2FCF54C5-718C-4B0F-963E-DBF079C93A61}"/>
    <cellStyle name="Currency 5 2 6 5 2 2 3" xfId="33779" xr:uid="{084391D8-51D2-45B6-81CC-409270A8DDF0}"/>
    <cellStyle name="Currency 5 2 6 5 2 2 4" xfId="16892" xr:uid="{00897D9B-5209-45B7-B305-B95788E47923}"/>
    <cellStyle name="Currency 5 2 6 5 2 3" xfId="21115" xr:uid="{FDB44903-E832-40A9-9C81-9CA8EA253746}"/>
    <cellStyle name="Currency 5 2 6 5 2 4" xfId="29562" xr:uid="{414EB9F6-EC18-4D2A-BF3E-97226477287D}"/>
    <cellStyle name="Currency 5 2 6 5 2 5" xfId="12674" xr:uid="{3357FE4C-7762-4E3D-B14D-1DAF545D0809}"/>
    <cellStyle name="Currency 5 2 6 5 3" xfId="6305" xr:uid="{00000000-0005-0000-0000-0000780C0000}"/>
    <cellStyle name="Currency 5 2 6 5 3 2" xfId="23188" xr:uid="{FCBBF1EA-3634-44CE-8167-CEEEEA137D6D}"/>
    <cellStyle name="Currency 5 2 6 5 3 3" xfId="31634" xr:uid="{F7A3FC09-5590-4F6A-880A-EE61BD324D75}"/>
    <cellStyle name="Currency 5 2 6 5 3 4" xfId="14747" xr:uid="{87A22E42-39A6-4039-9C95-255507E6C420}"/>
    <cellStyle name="Currency 5 2 6 5 4" xfId="18970" xr:uid="{63FF5301-CB11-44CE-8C24-23046BDC840D}"/>
    <cellStyle name="Currency 5 2 6 5 5" xfId="27415" xr:uid="{3CEDAA7B-ED56-48E0-86F7-F6141A52B828}"/>
    <cellStyle name="Currency 5 2 6 5 6" xfId="10529" xr:uid="{AA9F37ED-D9B1-4783-9991-9F974B298B2E}"/>
    <cellStyle name="Currency 5 2 6 6" xfId="2433" xr:uid="{00000000-0005-0000-0000-0000790C0000}"/>
    <cellStyle name="Currency 5 2 6 6 2" xfId="6718" xr:uid="{00000000-0005-0000-0000-00007A0C0000}"/>
    <cellStyle name="Currency 5 2 6 6 2 2" xfId="23601" xr:uid="{3BFCB371-2008-4552-B6D4-C66968C785B6}"/>
    <cellStyle name="Currency 5 2 6 6 2 3" xfId="32047" xr:uid="{CB8709BF-8F36-4710-B5D2-294B39D4CF46}"/>
    <cellStyle name="Currency 5 2 6 6 2 4" xfId="15160" xr:uid="{41C1B340-5E9D-4BED-82D4-22A7D76DA46C}"/>
    <cellStyle name="Currency 5 2 6 6 3" xfId="19383" xr:uid="{1AE36620-DBC5-404A-A7CF-59744E08B243}"/>
    <cellStyle name="Currency 5 2 6 6 4" xfId="27828" xr:uid="{05601B62-9996-40F4-8663-CCB781626651}"/>
    <cellStyle name="Currency 5 2 6 6 5" xfId="10942" xr:uid="{6669CF17-ADCF-408E-9194-4B698F4897F9}"/>
    <cellStyle name="Currency 5 2 6 7" xfId="2730" xr:uid="{00000000-0005-0000-0000-00007B0C0000}"/>
    <cellStyle name="Currency 5 2 6 8" xfId="2811" xr:uid="{00000000-0005-0000-0000-00007C0C0000}"/>
    <cellStyle name="Currency 5 2 6 8 2" xfId="7035" xr:uid="{00000000-0005-0000-0000-00007D0C0000}"/>
    <cellStyle name="Currency 5 2 6 8 2 2" xfId="23918" xr:uid="{03E17D68-5291-433D-94B8-98DDE865455B}"/>
    <cellStyle name="Currency 5 2 6 8 2 3" xfId="32364" xr:uid="{903D5FED-3898-4DF1-BBD1-EC5C5FF880D6}"/>
    <cellStyle name="Currency 5 2 6 8 2 4" xfId="15477" xr:uid="{8AE8B5F2-BB9C-4C98-ADC4-5730289CB476}"/>
    <cellStyle name="Currency 5 2 6 8 3" xfId="19700" xr:uid="{326890D0-1CBF-4C8C-80EC-FD52F4744A84}"/>
    <cellStyle name="Currency 5 2 6 8 4" xfId="28147" xr:uid="{4594FA10-F4EC-4867-9945-277A3FDDCCFC}"/>
    <cellStyle name="Currency 5 2 6 8 5" xfId="11259" xr:uid="{624796BC-BA01-4137-8B7D-8DDB30ECF67F}"/>
    <cellStyle name="Currency 5 2 6 9" xfId="4652" xr:uid="{00000000-0005-0000-0000-00007E0C0000}"/>
    <cellStyle name="Currency 5 2 6 9 2" xfId="21535" xr:uid="{C9C67362-F098-45D5-90ED-248DCF053D31}"/>
    <cellStyle name="Currency 5 2 6 9 3" xfId="29981" xr:uid="{0151FEFF-D109-4B5D-90C7-17E376369A49}"/>
    <cellStyle name="Currency 5 2 6 9 4" xfId="13094" xr:uid="{3C9A6756-D4A7-4DD6-8F0E-65D6B69C338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23919" xr:uid="{B197B684-8B90-4370-BA84-06377CE42BD6}"/>
    <cellStyle name="Currency 5 3 2 10 2 3" xfId="32365" xr:uid="{823438EF-0B40-4CCD-84C8-5A4DCC25B494}"/>
    <cellStyle name="Currency 5 3 2 10 2 4" xfId="15478" xr:uid="{E5014EDC-0594-4ED9-BA88-55F74FF604AB}"/>
    <cellStyle name="Currency 5 3 2 10 3" xfId="19701" xr:uid="{E69A287A-362B-4CD1-825D-3C053E627F59}"/>
    <cellStyle name="Currency 5 3 2 10 4" xfId="28148" xr:uid="{FA8CD04A-0D39-4754-8422-D3778757F540}"/>
    <cellStyle name="Currency 5 3 2 10 5" xfId="11260" xr:uid="{1CC408DD-162C-4D79-8755-A9F6C4BB86EF}"/>
    <cellStyle name="Currency 5 3 2 11" xfId="4653" xr:uid="{00000000-0005-0000-0000-0000840C0000}"/>
    <cellStyle name="Currency 5 3 2 11 2" xfId="21536" xr:uid="{FF49BC3C-06F5-4E12-9285-AF6A4A8E2364}"/>
    <cellStyle name="Currency 5 3 2 11 3" xfId="29982" xr:uid="{C5728CE0-C4D6-4378-834D-8D14344BEE38}"/>
    <cellStyle name="Currency 5 3 2 11 4" xfId="13095" xr:uid="{3118D400-6154-4FA5-B074-A018CDE5AA0D}"/>
    <cellStyle name="Currency 5 3 2 12" xfId="17318" xr:uid="{272FFB60-142B-47A9-AF15-8B0F76EB4972}"/>
    <cellStyle name="Currency 5 3 2 13" xfId="25761" xr:uid="{68D69022-043F-4459-ABF5-6931A443B450}"/>
    <cellStyle name="Currency 5 3 2 14" xfId="8877" xr:uid="{2B28A359-3BBA-493C-AD2F-1218B20D802A}"/>
    <cellStyle name="Currency 5 3 2 2" xfId="211" xr:uid="{00000000-0005-0000-0000-0000850C0000}"/>
    <cellStyle name="Currency 5 3 2 2 10" xfId="4654" xr:uid="{00000000-0005-0000-0000-0000860C0000}"/>
    <cellStyle name="Currency 5 3 2 2 10 2" xfId="21537" xr:uid="{D254901F-29E8-487F-ABE4-6405BA3C71C5}"/>
    <cellStyle name="Currency 5 3 2 2 10 3" xfId="29983" xr:uid="{AD2A5726-1D81-4257-8A40-281AB9C12C77}"/>
    <cellStyle name="Currency 5 3 2 2 10 4" xfId="13096" xr:uid="{F4942DD8-8AE7-4D7B-9FD7-1DD1F816117D}"/>
    <cellStyle name="Currency 5 3 2 2 11" xfId="17319" xr:uid="{F4BB73A2-39E0-40DA-9324-769FACF76A80}"/>
    <cellStyle name="Currency 5 3 2 2 12" xfId="25762" xr:uid="{649DE906-FE3C-4CB9-8AB7-5D7A4D3CF543}"/>
    <cellStyle name="Currency 5 3 2 2 13" xfId="8878" xr:uid="{7F8ED606-23A0-415E-916D-F246D1647873}"/>
    <cellStyle name="Currency 5 3 2 2 2" xfId="212" xr:uid="{00000000-0005-0000-0000-0000870C0000}"/>
    <cellStyle name="Currency 5 3 2 2 2 10" xfId="17320" xr:uid="{F0CAC74A-B0E4-4B2B-AA39-D14DF04A3B0B}"/>
    <cellStyle name="Currency 5 3 2 2 2 11" xfId="25763" xr:uid="{EF65A31B-1CA3-466C-9499-67B960586799}"/>
    <cellStyle name="Currency 5 3 2 2 2 12" xfId="8879" xr:uid="{BE25CC4A-0752-4A53-A1F6-EFCF8BD954A6}"/>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24097" xr:uid="{1FF92813-2438-40F0-854C-E1E06457DB1C}"/>
    <cellStyle name="Currency 5 3 2 2 2 2 2 2 3" xfId="32543" xr:uid="{C81FE010-A8E3-45C8-9665-95BCC2D4D077}"/>
    <cellStyle name="Currency 5 3 2 2 2 2 2 2 4" xfId="15656" xr:uid="{357CE158-F40C-424E-AA86-F9BC5C4E10F2}"/>
    <cellStyle name="Currency 5 3 2 2 2 2 2 3" xfId="19879" xr:uid="{49DB34E1-452A-4E29-B24C-1DFCAA6D7364}"/>
    <cellStyle name="Currency 5 3 2 2 2 2 2 4" xfId="28326" xr:uid="{80FD39AF-991C-499A-88A1-CC49E47F7281}"/>
    <cellStyle name="Currency 5 3 2 2 2 2 2 5" xfId="11438" xr:uid="{38E8AC3C-778A-47F8-887E-A44D9346570B}"/>
    <cellStyle name="Currency 5 3 2 2 2 2 3" xfId="5069" xr:uid="{00000000-0005-0000-0000-00008B0C0000}"/>
    <cellStyle name="Currency 5 3 2 2 2 2 3 2" xfId="21952" xr:uid="{3CDE0E99-B647-48ED-AD2B-E94EEA86E4A7}"/>
    <cellStyle name="Currency 5 3 2 2 2 2 3 3" xfId="30398" xr:uid="{7739930A-2112-4C3F-A0D8-D92CFDB7A72A}"/>
    <cellStyle name="Currency 5 3 2 2 2 2 3 4" xfId="13511" xr:uid="{84E15BF2-B9B6-4C60-98A4-D6C513E6F9F6}"/>
    <cellStyle name="Currency 5 3 2 2 2 2 4" xfId="17734" xr:uid="{D5CAFE52-960B-4E16-91E9-CA1C30365278}"/>
    <cellStyle name="Currency 5 3 2 2 2 2 5" xfId="26179" xr:uid="{F8CBDCC4-6E28-45A1-99B5-1E23911F3A12}"/>
    <cellStyle name="Currency 5 3 2 2 2 2 6" xfId="9293" xr:uid="{64340DAA-DB1C-43F8-9374-C53E9925DF78}"/>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24510" xr:uid="{3B0E4AFF-3051-46CE-AC34-E9D94A21FE91}"/>
    <cellStyle name="Currency 5 3 2 2 2 3 2 2 3" xfId="32956" xr:uid="{165BD667-909B-4E73-9130-D319978EC812}"/>
    <cellStyle name="Currency 5 3 2 2 2 3 2 2 4" xfId="16069" xr:uid="{8B757791-DDC3-4A2D-9B95-9E0BA03F235A}"/>
    <cellStyle name="Currency 5 3 2 2 2 3 2 3" xfId="20292" xr:uid="{F7A2E697-F006-4E7B-8E76-87D0F652C56D}"/>
    <cellStyle name="Currency 5 3 2 2 2 3 2 4" xfId="28739" xr:uid="{4743CD78-E025-4A05-964F-0117CC0FE88F}"/>
    <cellStyle name="Currency 5 3 2 2 2 3 2 5" xfId="11851" xr:uid="{1980E81A-0ACD-47EE-AC04-9D310B6B8166}"/>
    <cellStyle name="Currency 5 3 2 2 2 3 3" xfId="5482" xr:uid="{00000000-0005-0000-0000-00008F0C0000}"/>
    <cellStyle name="Currency 5 3 2 2 2 3 3 2" xfId="22365" xr:uid="{FA2C0B99-9CDC-4548-A28D-2C3BB8CD8B0C}"/>
    <cellStyle name="Currency 5 3 2 2 2 3 3 3" xfId="30811" xr:uid="{9B7B0D58-0270-4AE4-84C6-D4EB635F9B46}"/>
    <cellStyle name="Currency 5 3 2 2 2 3 3 4" xfId="13924" xr:uid="{5CC34945-4C21-470A-8F53-D334FB1C0D62}"/>
    <cellStyle name="Currency 5 3 2 2 2 3 4" xfId="18147" xr:uid="{EB1B0F93-381C-4993-A4DC-BA50C9D986BE}"/>
    <cellStyle name="Currency 5 3 2 2 2 3 5" xfId="26592" xr:uid="{4860D38B-4043-4DD7-858E-2D44FF8D7150}"/>
    <cellStyle name="Currency 5 3 2 2 2 3 6" xfId="9706" xr:uid="{BE83B56A-1CC5-41F7-94F0-22BFE88C7286}"/>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24923" xr:uid="{3157D27E-913D-40A2-9FC1-94AD98E805E6}"/>
    <cellStyle name="Currency 5 3 2 2 2 4 2 2 3" xfId="33369" xr:uid="{33B0A791-B98C-401C-B6C3-BA0AC1A65C67}"/>
    <cellStyle name="Currency 5 3 2 2 2 4 2 2 4" xfId="16482" xr:uid="{7D0E4D29-BC14-4816-8FC8-209013D23141}"/>
    <cellStyle name="Currency 5 3 2 2 2 4 2 3" xfId="20705" xr:uid="{C21220C8-A95D-4C9C-B656-8685A8685D03}"/>
    <cellStyle name="Currency 5 3 2 2 2 4 2 4" xfId="29152" xr:uid="{F78AFCB0-8A87-4CFE-A6CA-30774B65217C}"/>
    <cellStyle name="Currency 5 3 2 2 2 4 2 5" xfId="12264" xr:uid="{2BB7E4E0-2BD3-47A6-B8CF-F06DFF01C936}"/>
    <cellStyle name="Currency 5 3 2 2 2 4 3" xfId="5895" xr:uid="{00000000-0005-0000-0000-0000930C0000}"/>
    <cellStyle name="Currency 5 3 2 2 2 4 3 2" xfId="22778" xr:uid="{81F36C7F-3FBF-495F-B6A5-1F28807C3717}"/>
    <cellStyle name="Currency 5 3 2 2 2 4 3 3" xfId="31224" xr:uid="{C1BA4CB0-96B3-4395-B1F9-2A91D41D0091}"/>
    <cellStyle name="Currency 5 3 2 2 2 4 3 4" xfId="14337" xr:uid="{5E22C399-59A0-4DA7-B607-B62E3CAB532D}"/>
    <cellStyle name="Currency 5 3 2 2 2 4 4" xfId="18560" xr:uid="{3E9EF32E-71FB-4066-8B28-67EC17547ACC}"/>
    <cellStyle name="Currency 5 3 2 2 2 4 5" xfId="27005" xr:uid="{493A3496-F3DD-43BB-AAE3-D21BFC875994}"/>
    <cellStyle name="Currency 5 3 2 2 2 4 6" xfId="10119" xr:uid="{247F5110-8EF0-4E75-81B1-5193AD98C644}"/>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25336" xr:uid="{E4CF51F5-FFB7-471D-B9AF-1D918CAF245B}"/>
    <cellStyle name="Currency 5 3 2 2 2 5 2 2 3" xfId="33782" xr:uid="{ED7A381C-F1D3-46B7-9BF4-F2818433484B}"/>
    <cellStyle name="Currency 5 3 2 2 2 5 2 2 4" xfId="16895" xr:uid="{DD7037E7-7415-4A2B-829B-1F2BFA526776}"/>
    <cellStyle name="Currency 5 3 2 2 2 5 2 3" xfId="21118" xr:uid="{F3AEC4AC-D1AA-4977-B1AB-AEAB9DF7E51D}"/>
    <cellStyle name="Currency 5 3 2 2 2 5 2 4" xfId="29565" xr:uid="{E605B412-6016-4A06-B3FC-CD1479626A7C}"/>
    <cellStyle name="Currency 5 3 2 2 2 5 2 5" xfId="12677" xr:uid="{B903262D-E0A0-4641-8899-94EEF1DE8A8C}"/>
    <cellStyle name="Currency 5 3 2 2 2 5 3" xfId="6308" xr:uid="{00000000-0005-0000-0000-0000970C0000}"/>
    <cellStyle name="Currency 5 3 2 2 2 5 3 2" xfId="23191" xr:uid="{014CE16D-FDC8-49B4-A8FE-E578F313432E}"/>
    <cellStyle name="Currency 5 3 2 2 2 5 3 3" xfId="31637" xr:uid="{63B57D6F-826D-4FE2-B1EE-AA2ACC1A97DB}"/>
    <cellStyle name="Currency 5 3 2 2 2 5 3 4" xfId="14750" xr:uid="{B0E469DA-EDDB-4DA3-9A94-A987C14DB575}"/>
    <cellStyle name="Currency 5 3 2 2 2 5 4" xfId="18973" xr:uid="{3090B21E-C961-4A07-A6E6-A012EFA4AE33}"/>
    <cellStyle name="Currency 5 3 2 2 2 5 5" xfId="27418" xr:uid="{E4EAD43D-0A3E-45CA-A4E9-A48D24FBCDE5}"/>
    <cellStyle name="Currency 5 3 2 2 2 5 6" xfId="10532" xr:uid="{82D7EAB5-2C6B-49AD-854D-19ABC53B4F9C}"/>
    <cellStyle name="Currency 5 3 2 2 2 6" xfId="2436" xr:uid="{00000000-0005-0000-0000-0000980C0000}"/>
    <cellStyle name="Currency 5 3 2 2 2 6 2" xfId="6721" xr:uid="{00000000-0005-0000-0000-0000990C0000}"/>
    <cellStyle name="Currency 5 3 2 2 2 6 2 2" xfId="23604" xr:uid="{A018F640-96B8-4539-A7A1-4161086F1286}"/>
    <cellStyle name="Currency 5 3 2 2 2 6 2 3" xfId="32050" xr:uid="{FC5E2FD0-9FC3-4316-AC31-76D8C61FED84}"/>
    <cellStyle name="Currency 5 3 2 2 2 6 2 4" xfId="15163" xr:uid="{DCB2120C-36DA-4005-A8EA-7C4E0D5AD558}"/>
    <cellStyle name="Currency 5 3 2 2 2 6 3" xfId="19386" xr:uid="{5BA55579-8002-42EA-968F-EB495F5D15C5}"/>
    <cellStyle name="Currency 5 3 2 2 2 6 4" xfId="27831" xr:uid="{F3FCFD7F-86A7-478A-AA1A-206131C21D32}"/>
    <cellStyle name="Currency 5 3 2 2 2 6 5" xfId="10945" xr:uid="{03472308-7862-45F4-9D1E-F9ADF163E00A}"/>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23921" xr:uid="{58D7E805-D9BB-468F-902B-08AA9350213F}"/>
    <cellStyle name="Currency 5 3 2 2 2 8 2 3" xfId="32367" xr:uid="{6E5EE29D-7B42-4CDE-B875-7FE3F0CE6E5F}"/>
    <cellStyle name="Currency 5 3 2 2 2 8 2 4" xfId="15480" xr:uid="{32F0E912-CBC8-4D1D-8779-40D6C597213A}"/>
    <cellStyle name="Currency 5 3 2 2 2 8 3" xfId="19703" xr:uid="{32EC574D-F0BE-4FA3-A328-40C089737C7E}"/>
    <cellStyle name="Currency 5 3 2 2 2 8 4" xfId="28150" xr:uid="{1A706F6C-2C9C-437A-B392-1B62DD02B2D0}"/>
    <cellStyle name="Currency 5 3 2 2 2 8 5" xfId="11262" xr:uid="{6266B8B2-4C9D-47B0-B329-0CD535CCF924}"/>
    <cellStyle name="Currency 5 3 2 2 2 9" xfId="4655" xr:uid="{00000000-0005-0000-0000-00009D0C0000}"/>
    <cellStyle name="Currency 5 3 2 2 2 9 2" xfId="21538" xr:uid="{2CB3E79F-B243-4210-8B03-D211134B8541}"/>
    <cellStyle name="Currency 5 3 2 2 2 9 3" xfId="29984" xr:uid="{FB869CFB-95C4-47A0-8E75-15EE69F25C00}"/>
    <cellStyle name="Currency 5 3 2 2 2 9 4" xfId="13097" xr:uid="{F3636D20-67CA-4EAD-B08B-AEB4A88FDE04}"/>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24096" xr:uid="{97714A89-ECC8-4B7C-B584-BE044C659E2E}"/>
    <cellStyle name="Currency 5 3 2 2 3 2 2 3" xfId="32542" xr:uid="{73B019EF-3F77-493C-9395-3E95FFE8D5A5}"/>
    <cellStyle name="Currency 5 3 2 2 3 2 2 4" xfId="15655" xr:uid="{2FF1D5F1-AFB6-45E0-A78A-0A036ACCA0A1}"/>
    <cellStyle name="Currency 5 3 2 2 3 2 3" xfId="19878" xr:uid="{E5D1F090-1453-4C03-937E-518E2C6DB00F}"/>
    <cellStyle name="Currency 5 3 2 2 3 2 4" xfId="28325" xr:uid="{74512EA6-3AD3-41B1-92F9-FEAC6E2D5D06}"/>
    <cellStyle name="Currency 5 3 2 2 3 2 5" xfId="11437" xr:uid="{A63BCF84-28CE-42CA-AA90-BB41A9FE82F0}"/>
    <cellStyle name="Currency 5 3 2 2 3 3" xfId="5068" xr:uid="{00000000-0005-0000-0000-0000A10C0000}"/>
    <cellStyle name="Currency 5 3 2 2 3 3 2" xfId="21951" xr:uid="{4900A022-9ACC-4ECF-99A3-2B33698DADED}"/>
    <cellStyle name="Currency 5 3 2 2 3 3 3" xfId="30397" xr:uid="{888138BD-2EE7-4B18-8C95-ED77AD541F1F}"/>
    <cellStyle name="Currency 5 3 2 2 3 3 4" xfId="13510" xr:uid="{0C85E4DE-A49E-4C5D-86BB-EA486795564B}"/>
    <cellStyle name="Currency 5 3 2 2 3 4" xfId="17733" xr:uid="{6E0546F9-B43C-46BA-A2EB-D4C6E41C0B55}"/>
    <cellStyle name="Currency 5 3 2 2 3 5" xfId="26178" xr:uid="{E382F103-3941-4B07-834D-9966553F03CE}"/>
    <cellStyle name="Currency 5 3 2 2 3 6" xfId="9292" xr:uid="{895C795C-B4E9-4FA6-9DF2-8B175F42F55A}"/>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24509" xr:uid="{3739F655-FD7D-4744-81A2-31EF7990054D}"/>
    <cellStyle name="Currency 5 3 2 2 4 2 2 3" xfId="32955" xr:uid="{C357DA49-38CA-4FC2-A5D3-8A637BAD2AAA}"/>
    <cellStyle name="Currency 5 3 2 2 4 2 2 4" xfId="16068" xr:uid="{6A32438D-9228-489B-BEC5-06544BE45C95}"/>
    <cellStyle name="Currency 5 3 2 2 4 2 3" xfId="20291" xr:uid="{1FE73B5E-CFC7-4183-AF76-0940455EE216}"/>
    <cellStyle name="Currency 5 3 2 2 4 2 4" xfId="28738" xr:uid="{A1165607-F5D2-4992-90B0-E89B3ACC5E82}"/>
    <cellStyle name="Currency 5 3 2 2 4 2 5" xfId="11850" xr:uid="{AEEDD94C-0D48-4EE8-9B19-6AEE6090FDAF}"/>
    <cellStyle name="Currency 5 3 2 2 4 3" xfId="5481" xr:uid="{00000000-0005-0000-0000-0000A50C0000}"/>
    <cellStyle name="Currency 5 3 2 2 4 3 2" xfId="22364" xr:uid="{B7D6A8C1-AABB-477A-A537-3520B44AEB4C}"/>
    <cellStyle name="Currency 5 3 2 2 4 3 3" xfId="30810" xr:uid="{A8312CE5-5FA7-4DE8-9A13-9439A92FEE5B}"/>
    <cellStyle name="Currency 5 3 2 2 4 3 4" xfId="13923" xr:uid="{3ABC65E9-CF15-4AE7-A40B-BD3F898432D9}"/>
    <cellStyle name="Currency 5 3 2 2 4 4" xfId="18146" xr:uid="{E1C4DAC1-79AA-4F2D-A6D4-CD2DF44467A8}"/>
    <cellStyle name="Currency 5 3 2 2 4 5" xfId="26591" xr:uid="{E70EB392-923A-4900-BED9-DDA68E337ECE}"/>
    <cellStyle name="Currency 5 3 2 2 4 6" xfId="9705" xr:uid="{06636BE9-78E2-454A-90E7-DCA2912A4A61}"/>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24922" xr:uid="{77FB27DE-7D51-4577-8C54-67C749C8B177}"/>
    <cellStyle name="Currency 5 3 2 2 5 2 2 3" xfId="33368" xr:uid="{ECBA3469-D866-4B7A-88AE-6FEA5E0CB3AE}"/>
    <cellStyle name="Currency 5 3 2 2 5 2 2 4" xfId="16481" xr:uid="{6D9E09AD-5F46-4E74-80A8-2E782EA09448}"/>
    <cellStyle name="Currency 5 3 2 2 5 2 3" xfId="20704" xr:uid="{E36021F9-D4FD-4A40-8AB9-A27D4E01B2EB}"/>
    <cellStyle name="Currency 5 3 2 2 5 2 4" xfId="29151" xr:uid="{08E26BD2-5608-4819-B247-B2AD083B7FC9}"/>
    <cellStyle name="Currency 5 3 2 2 5 2 5" xfId="12263" xr:uid="{D568AAA0-ABBA-40C5-A81F-5145CB42F248}"/>
    <cellStyle name="Currency 5 3 2 2 5 3" xfId="5894" xr:uid="{00000000-0005-0000-0000-0000A90C0000}"/>
    <cellStyle name="Currency 5 3 2 2 5 3 2" xfId="22777" xr:uid="{0549A3D3-9D4F-4FEA-BFF0-A1DB69C7AAD6}"/>
    <cellStyle name="Currency 5 3 2 2 5 3 3" xfId="31223" xr:uid="{67FEBC39-C3AC-4310-9E04-6AE774F593F9}"/>
    <cellStyle name="Currency 5 3 2 2 5 3 4" xfId="14336" xr:uid="{D01802CB-6024-45FA-B96E-A0940699D6DE}"/>
    <cellStyle name="Currency 5 3 2 2 5 4" xfId="18559" xr:uid="{AA88E368-F6DE-4D91-BB7A-37B5DACCE2F4}"/>
    <cellStyle name="Currency 5 3 2 2 5 5" xfId="27004" xr:uid="{F30122F8-7A9E-45B6-83CB-43674687CF8B}"/>
    <cellStyle name="Currency 5 3 2 2 5 6" xfId="10118" xr:uid="{5ED976F4-11BE-42A3-A609-EB65003F3EC2}"/>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25335" xr:uid="{D3BA312E-092E-434D-801A-92D1668AA897}"/>
    <cellStyle name="Currency 5 3 2 2 6 2 2 3" xfId="33781" xr:uid="{AF1E0937-7F2B-4D2E-84A7-8E42D4150736}"/>
    <cellStyle name="Currency 5 3 2 2 6 2 2 4" xfId="16894" xr:uid="{6B8B9243-7FCE-4F8A-B598-1F13186E6BE7}"/>
    <cellStyle name="Currency 5 3 2 2 6 2 3" xfId="21117" xr:uid="{EDD44262-FF1D-4AD0-996D-7CFC43B20A95}"/>
    <cellStyle name="Currency 5 3 2 2 6 2 4" xfId="29564" xr:uid="{2057AAD8-911C-4447-83A7-0EC35B4A5FE7}"/>
    <cellStyle name="Currency 5 3 2 2 6 2 5" xfId="12676" xr:uid="{84C17A75-8959-4023-B02B-DD7F4BD0B7E8}"/>
    <cellStyle name="Currency 5 3 2 2 6 3" xfId="6307" xr:uid="{00000000-0005-0000-0000-0000AD0C0000}"/>
    <cellStyle name="Currency 5 3 2 2 6 3 2" xfId="23190" xr:uid="{B521BB29-F449-42DC-BA6E-C5A69E032FC1}"/>
    <cellStyle name="Currency 5 3 2 2 6 3 3" xfId="31636" xr:uid="{A0EBEC51-B897-43E1-9385-702421CC5060}"/>
    <cellStyle name="Currency 5 3 2 2 6 3 4" xfId="14749" xr:uid="{3BF6059F-E120-4C4A-95B8-295845CD0F0F}"/>
    <cellStyle name="Currency 5 3 2 2 6 4" xfId="18972" xr:uid="{D6B5F107-3B2A-4109-A761-C2E8F645E468}"/>
    <cellStyle name="Currency 5 3 2 2 6 5" xfId="27417" xr:uid="{1739C64B-4E8A-4C37-B7B7-33F1D948A9B1}"/>
    <cellStyle name="Currency 5 3 2 2 6 6" xfId="10531" xr:uid="{47BDC0B0-02D0-4B86-A5BF-9BA8A6F25C7A}"/>
    <cellStyle name="Currency 5 3 2 2 7" xfId="2435" xr:uid="{00000000-0005-0000-0000-0000AE0C0000}"/>
    <cellStyle name="Currency 5 3 2 2 7 2" xfId="6720" xr:uid="{00000000-0005-0000-0000-0000AF0C0000}"/>
    <cellStyle name="Currency 5 3 2 2 7 2 2" xfId="23603" xr:uid="{B003D4BE-B207-4D6E-9E80-9D10C6F76815}"/>
    <cellStyle name="Currency 5 3 2 2 7 2 3" xfId="32049" xr:uid="{143E45F8-95C5-4F21-9072-B0DFE7D94BF5}"/>
    <cellStyle name="Currency 5 3 2 2 7 2 4" xfId="15162" xr:uid="{CA2A05FE-0E35-4072-A3DF-6EE1B922C438}"/>
    <cellStyle name="Currency 5 3 2 2 7 3" xfId="19385" xr:uid="{CCBD899E-369D-46A4-96B1-454E1429839E}"/>
    <cellStyle name="Currency 5 3 2 2 7 4" xfId="27830" xr:uid="{A8A661F2-6182-4C6E-A0C4-15384436D422}"/>
    <cellStyle name="Currency 5 3 2 2 7 5" xfId="10944" xr:uid="{6F4355DB-4B5D-4F77-A683-FABFC4A025A2}"/>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23920" xr:uid="{3E20F6E1-3A09-40AD-9E18-CD2B07EE6671}"/>
    <cellStyle name="Currency 5 3 2 2 9 2 3" xfId="32366" xr:uid="{0EE80E2E-3938-46A4-9CCB-F937476F0547}"/>
    <cellStyle name="Currency 5 3 2 2 9 2 4" xfId="15479" xr:uid="{1D66984A-34F8-48E3-9DAB-63E68BF17FC2}"/>
    <cellStyle name="Currency 5 3 2 2 9 3" xfId="19702" xr:uid="{44E1B631-A7F0-4CF2-951E-867BEE17AFAD}"/>
    <cellStyle name="Currency 5 3 2 2 9 4" xfId="28149" xr:uid="{806B6C8C-2C35-48B6-A2A9-9D20B1C4FA81}"/>
    <cellStyle name="Currency 5 3 2 2 9 5" xfId="11261" xr:uid="{23200689-534A-4BCC-894E-0B3BA2A3A344}"/>
    <cellStyle name="Currency 5 3 2 3" xfId="213" xr:uid="{00000000-0005-0000-0000-0000B30C0000}"/>
    <cellStyle name="Currency 5 3 2 3 10" xfId="17321" xr:uid="{0DE169D9-A467-40BD-8B38-BB3C8A8F9DF9}"/>
    <cellStyle name="Currency 5 3 2 3 11" xfId="25764" xr:uid="{5A114866-4A6A-4917-AE25-3DEA3447DDA5}"/>
    <cellStyle name="Currency 5 3 2 3 12" xfId="8880" xr:uid="{086AD925-4A56-4AB0-A18C-06FF5F8E678A}"/>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24098" xr:uid="{DBDA9A9C-F05E-46F3-982F-169343558152}"/>
    <cellStyle name="Currency 5 3 2 3 2 2 2 3" xfId="32544" xr:uid="{EF00E27D-4AB0-4E0F-917D-1C8696F72F7D}"/>
    <cellStyle name="Currency 5 3 2 3 2 2 2 4" xfId="15657" xr:uid="{E5BBCE43-A331-4A2E-BA6F-B0BE9F4D87AF}"/>
    <cellStyle name="Currency 5 3 2 3 2 2 3" xfId="19880" xr:uid="{E16DAC8C-1AAE-4F1F-B8C0-45291E502F53}"/>
    <cellStyle name="Currency 5 3 2 3 2 2 4" xfId="28327" xr:uid="{4715FDB2-0FFF-4433-94EF-5F521EE793AE}"/>
    <cellStyle name="Currency 5 3 2 3 2 2 5" xfId="11439" xr:uid="{69D7A2D6-C3C8-4D02-8EDA-54DB08C6CEF2}"/>
    <cellStyle name="Currency 5 3 2 3 2 3" xfId="5070" xr:uid="{00000000-0005-0000-0000-0000B70C0000}"/>
    <cellStyle name="Currency 5 3 2 3 2 3 2" xfId="21953" xr:uid="{E19F1B32-9A3D-4B56-BCE7-93F97ED31323}"/>
    <cellStyle name="Currency 5 3 2 3 2 3 3" xfId="30399" xr:uid="{6D81CA5B-A2DD-49E9-B56D-5A411D107591}"/>
    <cellStyle name="Currency 5 3 2 3 2 3 4" xfId="13512" xr:uid="{7A9919BB-A628-410F-B774-CCC74964388C}"/>
    <cellStyle name="Currency 5 3 2 3 2 4" xfId="17735" xr:uid="{37488C80-90BA-4939-AE67-087B830D9737}"/>
    <cellStyle name="Currency 5 3 2 3 2 5" xfId="26180" xr:uid="{EE3654A7-F763-4211-A573-81FF9787042C}"/>
    <cellStyle name="Currency 5 3 2 3 2 6" xfId="9294" xr:uid="{12313A6A-9B1D-415F-88EA-E02B1A58BA22}"/>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24511" xr:uid="{D0B0AC7D-1771-4655-92E3-A22CAF4D875C}"/>
    <cellStyle name="Currency 5 3 2 3 3 2 2 3" xfId="32957" xr:uid="{728D6432-E15D-4DC2-B38C-0B250B9FD2B3}"/>
    <cellStyle name="Currency 5 3 2 3 3 2 2 4" xfId="16070" xr:uid="{DBCD0A2E-3CB1-49DE-A3CC-0410F35C951E}"/>
    <cellStyle name="Currency 5 3 2 3 3 2 3" xfId="20293" xr:uid="{49EACEB6-C31E-44B6-978E-5A7E624E8767}"/>
    <cellStyle name="Currency 5 3 2 3 3 2 4" xfId="28740" xr:uid="{01C09C01-4ABF-4242-82B6-1FB7CD2B114D}"/>
    <cellStyle name="Currency 5 3 2 3 3 2 5" xfId="11852" xr:uid="{94F8571F-1915-4F8A-A2CA-0397E13FFE56}"/>
    <cellStyle name="Currency 5 3 2 3 3 3" xfId="5483" xr:uid="{00000000-0005-0000-0000-0000BB0C0000}"/>
    <cellStyle name="Currency 5 3 2 3 3 3 2" xfId="22366" xr:uid="{0E8C2DDB-674C-4A79-A2CB-A5DA9F6F3F1C}"/>
    <cellStyle name="Currency 5 3 2 3 3 3 3" xfId="30812" xr:uid="{0CDFD884-A258-4CAB-A727-F514F75A485F}"/>
    <cellStyle name="Currency 5 3 2 3 3 3 4" xfId="13925" xr:uid="{430383AE-8C9C-4482-B682-5B3CA45A7670}"/>
    <cellStyle name="Currency 5 3 2 3 3 4" xfId="18148" xr:uid="{E2C74C0F-99AB-4157-9438-45DC9A6E61AE}"/>
    <cellStyle name="Currency 5 3 2 3 3 5" xfId="26593" xr:uid="{333F5662-3B6F-4E53-83F1-938AFEB442B0}"/>
    <cellStyle name="Currency 5 3 2 3 3 6" xfId="9707" xr:uid="{C98907CC-EFAC-4425-9692-803252CA62D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24924" xr:uid="{4F3D4C68-36EF-4117-A006-0E41687E6D3B}"/>
    <cellStyle name="Currency 5 3 2 3 4 2 2 3" xfId="33370" xr:uid="{63684278-8A9A-43A8-B4AB-4A1EF863454D}"/>
    <cellStyle name="Currency 5 3 2 3 4 2 2 4" xfId="16483" xr:uid="{5E2E79A4-9E80-4250-A576-9340F8EFE398}"/>
    <cellStyle name="Currency 5 3 2 3 4 2 3" xfId="20706" xr:uid="{6EB9C5E3-6121-4CAD-ACB8-701E39B3F4E3}"/>
    <cellStyle name="Currency 5 3 2 3 4 2 4" xfId="29153" xr:uid="{9ECE80C8-4348-4DD5-8F39-5BB3C0EF09F4}"/>
    <cellStyle name="Currency 5 3 2 3 4 2 5" xfId="12265" xr:uid="{EDD907B3-F447-4384-843A-FEF940CB4C81}"/>
    <cellStyle name="Currency 5 3 2 3 4 3" xfId="5896" xr:uid="{00000000-0005-0000-0000-0000BF0C0000}"/>
    <cellStyle name="Currency 5 3 2 3 4 3 2" xfId="22779" xr:uid="{FBBF697A-7B49-41DB-84FD-2BE483A100EF}"/>
    <cellStyle name="Currency 5 3 2 3 4 3 3" xfId="31225" xr:uid="{E32A804B-4DD5-4987-B3E5-F78CB9750224}"/>
    <cellStyle name="Currency 5 3 2 3 4 3 4" xfId="14338" xr:uid="{047CA28B-D943-496E-A1F6-2AFF0AB58145}"/>
    <cellStyle name="Currency 5 3 2 3 4 4" xfId="18561" xr:uid="{34ED4651-1CDD-418A-977B-6A32000A5282}"/>
    <cellStyle name="Currency 5 3 2 3 4 5" xfId="27006" xr:uid="{D4E62563-3B49-450A-A453-FFD586A7DCFE}"/>
    <cellStyle name="Currency 5 3 2 3 4 6" xfId="10120" xr:uid="{D45D9B75-A91D-4CDB-B0F6-6CFA244E5536}"/>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25337" xr:uid="{8B47C326-180B-4CD9-A93F-30DCB16351CC}"/>
    <cellStyle name="Currency 5 3 2 3 5 2 2 3" xfId="33783" xr:uid="{647663FC-414E-47A7-835F-FE04C0B15180}"/>
    <cellStyle name="Currency 5 3 2 3 5 2 2 4" xfId="16896" xr:uid="{793CEF66-8C2D-41E2-AC3B-E4AA58B9FCB3}"/>
    <cellStyle name="Currency 5 3 2 3 5 2 3" xfId="21119" xr:uid="{6493FD3E-1C18-4294-B06F-5EC5BFD7C80E}"/>
    <cellStyle name="Currency 5 3 2 3 5 2 4" xfId="29566" xr:uid="{C1C27C28-3C54-40D4-8F8E-B54AC7418577}"/>
    <cellStyle name="Currency 5 3 2 3 5 2 5" xfId="12678" xr:uid="{034C89BC-12D8-4817-9FF1-F4DD6296AEA4}"/>
    <cellStyle name="Currency 5 3 2 3 5 3" xfId="6309" xr:uid="{00000000-0005-0000-0000-0000C30C0000}"/>
    <cellStyle name="Currency 5 3 2 3 5 3 2" xfId="23192" xr:uid="{2A5F093B-772A-4526-AC59-057AB0B0BE81}"/>
    <cellStyle name="Currency 5 3 2 3 5 3 3" xfId="31638" xr:uid="{3F7E1690-CC30-477E-95F6-E9190F8ACE64}"/>
    <cellStyle name="Currency 5 3 2 3 5 3 4" xfId="14751" xr:uid="{1A0C8AC1-8902-46E0-BAD1-F7B22DD727C0}"/>
    <cellStyle name="Currency 5 3 2 3 5 4" xfId="18974" xr:uid="{7B19E3AB-819F-4A31-869B-BA96E2F53A84}"/>
    <cellStyle name="Currency 5 3 2 3 5 5" xfId="27419" xr:uid="{CD29E9F7-1696-4F10-81FE-BE63F6CCB716}"/>
    <cellStyle name="Currency 5 3 2 3 5 6" xfId="10533" xr:uid="{A640D1A4-F72E-4F1F-AD32-FEFA4DE7EE8F}"/>
    <cellStyle name="Currency 5 3 2 3 6" xfId="2437" xr:uid="{00000000-0005-0000-0000-0000C40C0000}"/>
    <cellStyle name="Currency 5 3 2 3 6 2" xfId="6722" xr:uid="{00000000-0005-0000-0000-0000C50C0000}"/>
    <cellStyle name="Currency 5 3 2 3 6 2 2" xfId="23605" xr:uid="{0CC78F8B-75CB-4486-9566-153A6C30AC6B}"/>
    <cellStyle name="Currency 5 3 2 3 6 2 3" xfId="32051" xr:uid="{6FDFC228-41E1-4904-BB28-1B8E03F03B57}"/>
    <cellStyle name="Currency 5 3 2 3 6 2 4" xfId="15164" xr:uid="{27D44F70-1964-4755-A460-8F2B5B99AF81}"/>
    <cellStyle name="Currency 5 3 2 3 6 3" xfId="19387" xr:uid="{379F342C-3F61-4274-82B4-5D2077AF4E5C}"/>
    <cellStyle name="Currency 5 3 2 3 6 4" xfId="27832" xr:uid="{6CDE0C41-30D0-4817-8CE7-E4298FCE0F80}"/>
    <cellStyle name="Currency 5 3 2 3 6 5" xfId="10946" xr:uid="{3D27DF72-26FB-403D-B8EB-E07AF6B8BA23}"/>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23922" xr:uid="{1C29EB4C-2E27-435D-B602-2E6151A31858}"/>
    <cellStyle name="Currency 5 3 2 3 8 2 3" xfId="32368" xr:uid="{0F160C0E-311B-4BB0-B446-5BD0638706B1}"/>
    <cellStyle name="Currency 5 3 2 3 8 2 4" xfId="15481" xr:uid="{057A2552-6D4B-4943-A38B-834311F3ECEE}"/>
    <cellStyle name="Currency 5 3 2 3 8 3" xfId="19704" xr:uid="{C8068390-655B-4A7E-AE8A-75924B7DC110}"/>
    <cellStyle name="Currency 5 3 2 3 8 4" xfId="28151" xr:uid="{EBB0CBD5-D679-48C5-9F7D-115CDF795829}"/>
    <cellStyle name="Currency 5 3 2 3 8 5" xfId="11263" xr:uid="{64B6B9EC-16A6-40C7-B2DF-165AF654D1D3}"/>
    <cellStyle name="Currency 5 3 2 3 9" xfId="4656" xr:uid="{00000000-0005-0000-0000-0000C90C0000}"/>
    <cellStyle name="Currency 5 3 2 3 9 2" xfId="21539" xr:uid="{38F95F79-AC71-4E13-B76A-B5E687B2ED70}"/>
    <cellStyle name="Currency 5 3 2 3 9 3" xfId="29985" xr:uid="{0CC64D72-184F-46FF-AFBA-1AAE2D455730}"/>
    <cellStyle name="Currency 5 3 2 3 9 4" xfId="13098" xr:uid="{69975C8F-087E-465B-8500-9948452B8A27}"/>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24095" xr:uid="{FC3A8ECB-05E5-40CE-A936-D2EDCCF343DB}"/>
    <cellStyle name="Currency 5 3 2 4 2 2 3" xfId="32541" xr:uid="{C9893BA3-7D8E-4242-ADD9-D5EFC12B7D49}"/>
    <cellStyle name="Currency 5 3 2 4 2 2 4" xfId="15654" xr:uid="{30396B5B-5CF0-4F8D-9802-62230A0A4318}"/>
    <cellStyle name="Currency 5 3 2 4 2 3" xfId="19877" xr:uid="{5AFAB0FB-FB8B-4F30-A3DE-719771CBEFEA}"/>
    <cellStyle name="Currency 5 3 2 4 2 4" xfId="28324" xr:uid="{E9C4B238-DA6B-4503-9436-13212884200F}"/>
    <cellStyle name="Currency 5 3 2 4 2 5" xfId="11436" xr:uid="{2D5518D4-D282-4630-9646-2DD17B8B3AA1}"/>
    <cellStyle name="Currency 5 3 2 4 3" xfId="5067" xr:uid="{00000000-0005-0000-0000-0000CD0C0000}"/>
    <cellStyle name="Currency 5 3 2 4 3 2" xfId="21950" xr:uid="{3C2A8A8F-9243-4262-B989-C9A75D662A3C}"/>
    <cellStyle name="Currency 5 3 2 4 3 3" xfId="30396" xr:uid="{D26EE1F1-8DFC-4229-BD59-88D2182CCB3B}"/>
    <cellStyle name="Currency 5 3 2 4 3 4" xfId="13509" xr:uid="{B885FF82-9168-42D6-A6E5-163964EDC22D}"/>
    <cellStyle name="Currency 5 3 2 4 4" xfId="17732" xr:uid="{1A401E4C-9AE3-45EC-A234-D517B54AE7F3}"/>
    <cellStyle name="Currency 5 3 2 4 5" xfId="26177" xr:uid="{F2ACF435-31D9-4470-B1DD-C480EB10F3B4}"/>
    <cellStyle name="Currency 5 3 2 4 6" xfId="9291" xr:uid="{68551299-074B-44CD-BBD4-C9470FC92814}"/>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24508" xr:uid="{A727A69D-CB36-4B0F-9EA3-9C358658FCFB}"/>
    <cellStyle name="Currency 5 3 2 5 2 2 3" xfId="32954" xr:uid="{465F43B2-0F50-4B8D-8458-455636EC51E8}"/>
    <cellStyle name="Currency 5 3 2 5 2 2 4" xfId="16067" xr:uid="{07E2F1B8-DAA3-456B-9BE3-AF7BDC9EE55E}"/>
    <cellStyle name="Currency 5 3 2 5 2 3" xfId="20290" xr:uid="{F4B04CDB-520C-4A03-8148-E8AC1C3608BB}"/>
    <cellStyle name="Currency 5 3 2 5 2 4" xfId="28737" xr:uid="{C3EF3C54-1F51-4BB0-A624-35080FB18AD8}"/>
    <cellStyle name="Currency 5 3 2 5 2 5" xfId="11849" xr:uid="{08D075F9-ED08-4A72-9670-8E68D0BB8280}"/>
    <cellStyle name="Currency 5 3 2 5 3" xfId="5480" xr:uid="{00000000-0005-0000-0000-0000D10C0000}"/>
    <cellStyle name="Currency 5 3 2 5 3 2" xfId="22363" xr:uid="{AC056241-B38E-4604-B2D4-3C9E09E494CA}"/>
    <cellStyle name="Currency 5 3 2 5 3 3" xfId="30809" xr:uid="{49044339-5A3A-4C2C-80E8-2D467091B70F}"/>
    <cellStyle name="Currency 5 3 2 5 3 4" xfId="13922" xr:uid="{DB9906F1-C3A5-4D74-9FE9-5A989C3CF94E}"/>
    <cellStyle name="Currency 5 3 2 5 4" xfId="18145" xr:uid="{2F01490B-4B81-4E5C-93A1-248C830E4310}"/>
    <cellStyle name="Currency 5 3 2 5 5" xfId="26590" xr:uid="{28308C8F-438F-470E-8B96-40C3880BF74B}"/>
    <cellStyle name="Currency 5 3 2 5 6" xfId="9704" xr:uid="{6B91EDE2-021A-4DD2-A541-7C44522AC970}"/>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24921" xr:uid="{0C4B21FB-DC72-4EB1-B737-2E3DD7C641F0}"/>
    <cellStyle name="Currency 5 3 2 6 2 2 3" xfId="33367" xr:uid="{219C029E-AF71-4AF2-ADFE-15D46BDBE66D}"/>
    <cellStyle name="Currency 5 3 2 6 2 2 4" xfId="16480" xr:uid="{86DD3B3C-C688-4715-8CEB-171F27E63A36}"/>
    <cellStyle name="Currency 5 3 2 6 2 3" xfId="20703" xr:uid="{EA57381A-05CE-4090-9478-279AC08D23CA}"/>
    <cellStyle name="Currency 5 3 2 6 2 4" xfId="29150" xr:uid="{9C643615-0B08-4EE1-A105-5ACE2BBE59BD}"/>
    <cellStyle name="Currency 5 3 2 6 2 5" xfId="12262" xr:uid="{10CAB417-8F65-4C80-AD72-5BEA248701E7}"/>
    <cellStyle name="Currency 5 3 2 6 3" xfId="5893" xr:uid="{00000000-0005-0000-0000-0000D50C0000}"/>
    <cellStyle name="Currency 5 3 2 6 3 2" xfId="22776" xr:uid="{16D65FC0-CBB9-4A21-A8EC-45AB77F0DA3F}"/>
    <cellStyle name="Currency 5 3 2 6 3 3" xfId="31222" xr:uid="{677C7E7E-5706-4311-8B87-9C832CF73384}"/>
    <cellStyle name="Currency 5 3 2 6 3 4" xfId="14335" xr:uid="{A3E8B907-BC44-4B61-BAE5-F0E87554DA04}"/>
    <cellStyle name="Currency 5 3 2 6 4" xfId="18558" xr:uid="{07CC0C65-4B70-4CE7-9B23-D458370601A9}"/>
    <cellStyle name="Currency 5 3 2 6 5" xfId="27003" xr:uid="{9758AD75-D7A6-45E0-AC93-738D47A8D56E}"/>
    <cellStyle name="Currency 5 3 2 6 6" xfId="10117" xr:uid="{DE81A70F-74A4-44A6-B9E4-57E676DB1060}"/>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25334" xr:uid="{C8CF982C-4C63-4E4E-B81C-BBF998C84B5F}"/>
    <cellStyle name="Currency 5 3 2 7 2 2 3" xfId="33780" xr:uid="{465684E5-349B-4A6F-BF7D-2182AEC725E5}"/>
    <cellStyle name="Currency 5 3 2 7 2 2 4" xfId="16893" xr:uid="{1DB0C2B7-94B0-4DBC-BFFB-0140BC85171C}"/>
    <cellStyle name="Currency 5 3 2 7 2 3" xfId="21116" xr:uid="{1AC604EB-A37F-4513-81AD-8B2E04FF0E41}"/>
    <cellStyle name="Currency 5 3 2 7 2 4" xfId="29563" xr:uid="{7349C0D7-25E8-4EB9-9A00-DD1D68D767EF}"/>
    <cellStyle name="Currency 5 3 2 7 2 5" xfId="12675" xr:uid="{CC3A1F55-9674-4ED2-8E15-79A4E5EF7405}"/>
    <cellStyle name="Currency 5 3 2 7 3" xfId="6306" xr:uid="{00000000-0005-0000-0000-0000D90C0000}"/>
    <cellStyle name="Currency 5 3 2 7 3 2" xfId="23189" xr:uid="{EB256F98-7FBB-49FB-A114-538856561DFA}"/>
    <cellStyle name="Currency 5 3 2 7 3 3" xfId="31635" xr:uid="{1ABEDA1D-82BB-439D-ADC0-9C59F1365570}"/>
    <cellStyle name="Currency 5 3 2 7 3 4" xfId="14748" xr:uid="{A536BF27-0274-4FDD-A6EE-0E6099EE1AD6}"/>
    <cellStyle name="Currency 5 3 2 7 4" xfId="18971" xr:uid="{7F235FDE-BA5F-41A1-8ADE-85E115B2A93C}"/>
    <cellStyle name="Currency 5 3 2 7 5" xfId="27416" xr:uid="{2B62B76A-51AA-47A4-9AA4-27B09B051975}"/>
    <cellStyle name="Currency 5 3 2 7 6" xfId="10530" xr:uid="{9D56C299-16F1-4A4A-AAA0-EE8796109A31}"/>
    <cellStyle name="Currency 5 3 2 8" xfId="2434" xr:uid="{00000000-0005-0000-0000-0000DA0C0000}"/>
    <cellStyle name="Currency 5 3 2 8 2" xfId="6719" xr:uid="{00000000-0005-0000-0000-0000DB0C0000}"/>
    <cellStyle name="Currency 5 3 2 8 2 2" xfId="23602" xr:uid="{98378E7C-3218-4B4F-BFF3-561CAA27F025}"/>
    <cellStyle name="Currency 5 3 2 8 2 3" xfId="32048" xr:uid="{129CDB06-8B31-44F0-919E-8A4B0ADABB35}"/>
    <cellStyle name="Currency 5 3 2 8 2 4" xfId="15161" xr:uid="{4223FD7A-885D-4619-839D-8D7C1DE8FADF}"/>
    <cellStyle name="Currency 5 3 2 8 3" xfId="19384" xr:uid="{3327ECB2-81FC-4EF4-8C02-38276E3A81C8}"/>
    <cellStyle name="Currency 5 3 2 8 4" xfId="27829" xr:uid="{1F5F5B6C-824B-4E66-AD74-0974C6922913}"/>
    <cellStyle name="Currency 5 3 2 8 5" xfId="10943" xr:uid="{B900AF27-A436-4E5C-B99E-3F0398579B23}"/>
    <cellStyle name="Currency 5 3 2 9" xfId="2731" xr:uid="{00000000-0005-0000-0000-0000DC0C0000}"/>
    <cellStyle name="Currency 5 3 3" xfId="214" xr:uid="{00000000-0005-0000-0000-0000DD0C0000}"/>
    <cellStyle name="Currency 5 3 3 10" xfId="4657" xr:uid="{00000000-0005-0000-0000-0000DE0C0000}"/>
    <cellStyle name="Currency 5 3 3 10 2" xfId="21540" xr:uid="{812EA53A-BC3F-4B53-A202-1F1891A506D7}"/>
    <cellStyle name="Currency 5 3 3 10 3" xfId="29986" xr:uid="{804C7E01-CA51-4DA7-87C0-99C15F4FAD85}"/>
    <cellStyle name="Currency 5 3 3 10 4" xfId="13099" xr:uid="{25C08287-2D74-4507-A906-7B4622623CBB}"/>
    <cellStyle name="Currency 5 3 3 11" xfId="17322" xr:uid="{21EFE7F5-20C4-43BF-B191-9EF49A47870F}"/>
    <cellStyle name="Currency 5 3 3 12" xfId="25765" xr:uid="{3C0AAEE7-8BDD-4C6B-ABB1-51D59E1BB564}"/>
    <cellStyle name="Currency 5 3 3 13" xfId="8881" xr:uid="{A134F366-C7EA-4302-B2B5-73FA95176EB4}"/>
    <cellStyle name="Currency 5 3 3 2" xfId="215" xr:uid="{00000000-0005-0000-0000-0000DF0C0000}"/>
    <cellStyle name="Currency 5 3 3 2 10" xfId="17323" xr:uid="{61828F26-F7E2-473F-AF3A-B567914B90A8}"/>
    <cellStyle name="Currency 5 3 3 2 11" xfId="25766" xr:uid="{E1763CCA-3ACF-4B89-AF6D-5AFF98FC92E1}"/>
    <cellStyle name="Currency 5 3 3 2 12" xfId="8882" xr:uid="{C47C826E-EED6-4C56-8A0A-8C1FBC7584BF}"/>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24100" xr:uid="{3631A9A3-EACF-402E-9E19-7BAEFD2B726C}"/>
    <cellStyle name="Currency 5 3 3 2 2 2 2 3" xfId="32546" xr:uid="{88D06B17-1175-4F2B-BEBB-E4B8FB1AAAF4}"/>
    <cellStyle name="Currency 5 3 3 2 2 2 2 4" xfId="15659" xr:uid="{31A80867-5F6D-4779-B755-5B874F482ED2}"/>
    <cellStyle name="Currency 5 3 3 2 2 2 3" xfId="19882" xr:uid="{4E13787B-4390-403B-A927-8A7C140C3ECD}"/>
    <cellStyle name="Currency 5 3 3 2 2 2 4" xfId="28329" xr:uid="{0F6CA4EB-7333-4E64-B34D-0673267660F2}"/>
    <cellStyle name="Currency 5 3 3 2 2 2 5" xfId="11441" xr:uid="{F6AEB6A8-90E1-4D67-A7F7-19134BDB9129}"/>
    <cellStyle name="Currency 5 3 3 2 2 3" xfId="5072" xr:uid="{00000000-0005-0000-0000-0000E30C0000}"/>
    <cellStyle name="Currency 5 3 3 2 2 3 2" xfId="21955" xr:uid="{B36033F6-8316-4C2D-9DA0-192588BF13B1}"/>
    <cellStyle name="Currency 5 3 3 2 2 3 3" xfId="30401" xr:uid="{0326AAA0-9BE5-4DA5-B72D-684FFF6A311D}"/>
    <cellStyle name="Currency 5 3 3 2 2 3 4" xfId="13514" xr:uid="{9F98CA21-A343-494C-BFB6-A76659983A95}"/>
    <cellStyle name="Currency 5 3 3 2 2 4" xfId="17737" xr:uid="{B901F5EE-420F-42E5-8E2D-97E874850062}"/>
    <cellStyle name="Currency 5 3 3 2 2 5" xfId="26182" xr:uid="{16EF457C-8A3C-451B-BF9A-97308E291F99}"/>
    <cellStyle name="Currency 5 3 3 2 2 6" xfId="9296" xr:uid="{D63C62EA-03F8-4FBC-8ED8-C6CAC6EB4FDC}"/>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24513" xr:uid="{E1EC06B8-E10F-4456-94CD-62072BF4E90D}"/>
    <cellStyle name="Currency 5 3 3 2 3 2 2 3" xfId="32959" xr:uid="{F09BEEE9-38E2-47B0-8EAD-5E987CFCEE8E}"/>
    <cellStyle name="Currency 5 3 3 2 3 2 2 4" xfId="16072" xr:uid="{BB9D3CDC-E2D6-4C7E-86F7-F4D1872F8882}"/>
    <cellStyle name="Currency 5 3 3 2 3 2 3" xfId="20295" xr:uid="{4C047E51-3EF0-43B9-882C-2B7272F403F3}"/>
    <cellStyle name="Currency 5 3 3 2 3 2 4" xfId="28742" xr:uid="{04992510-2727-4ABB-B6BC-E1B05BA97D60}"/>
    <cellStyle name="Currency 5 3 3 2 3 2 5" xfId="11854" xr:uid="{EFDF56D8-7FD9-42B7-821D-25A76062B836}"/>
    <cellStyle name="Currency 5 3 3 2 3 3" xfId="5485" xr:uid="{00000000-0005-0000-0000-0000E70C0000}"/>
    <cellStyle name="Currency 5 3 3 2 3 3 2" xfId="22368" xr:uid="{02E3EB95-A8B8-4D13-9FB1-FA3B4EE38D21}"/>
    <cellStyle name="Currency 5 3 3 2 3 3 3" xfId="30814" xr:uid="{7955BB07-EEBF-4BE6-94E0-2CCF9C2CFFB8}"/>
    <cellStyle name="Currency 5 3 3 2 3 3 4" xfId="13927" xr:uid="{6162EE27-5C91-4BB3-8798-CF04BDEEB7C6}"/>
    <cellStyle name="Currency 5 3 3 2 3 4" xfId="18150" xr:uid="{0DAE5C12-8588-45AB-B8C7-1CB6D8003BFE}"/>
    <cellStyle name="Currency 5 3 3 2 3 5" xfId="26595" xr:uid="{9A2AD08C-2050-4B51-9A0E-EDA356CAE2F0}"/>
    <cellStyle name="Currency 5 3 3 2 3 6" xfId="9709" xr:uid="{6705D934-CE35-4C0A-8A4A-15DFCF360F9D}"/>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24926" xr:uid="{3FCAFD8B-44BE-4EF6-A10D-38B22859DADD}"/>
    <cellStyle name="Currency 5 3 3 2 4 2 2 3" xfId="33372" xr:uid="{8B5322BA-C551-4D2D-9F49-57F96A81D10B}"/>
    <cellStyle name="Currency 5 3 3 2 4 2 2 4" xfId="16485" xr:uid="{7E9BC2F8-0D6A-4F90-903C-03F57606A9C0}"/>
    <cellStyle name="Currency 5 3 3 2 4 2 3" xfId="20708" xr:uid="{2BEBC34E-15AD-4625-A553-9A424310239C}"/>
    <cellStyle name="Currency 5 3 3 2 4 2 4" xfId="29155" xr:uid="{35D0DF3A-5747-4823-8BF3-E7527AC2C9AA}"/>
    <cellStyle name="Currency 5 3 3 2 4 2 5" xfId="12267" xr:uid="{4384A291-4711-4E2C-9040-2EEAC96D2B6C}"/>
    <cellStyle name="Currency 5 3 3 2 4 3" xfId="5898" xr:uid="{00000000-0005-0000-0000-0000EB0C0000}"/>
    <cellStyle name="Currency 5 3 3 2 4 3 2" xfId="22781" xr:uid="{27A0B8F4-A61B-406A-B43C-063A03A39B7A}"/>
    <cellStyle name="Currency 5 3 3 2 4 3 3" xfId="31227" xr:uid="{F9F5493D-C23C-4BC9-BEE9-5B8237DA470C}"/>
    <cellStyle name="Currency 5 3 3 2 4 3 4" xfId="14340" xr:uid="{7652DBA8-5AA8-4B56-930D-F26ACC82CAFC}"/>
    <cellStyle name="Currency 5 3 3 2 4 4" xfId="18563" xr:uid="{9240AC8A-459F-4EBB-A396-C7065A15B17F}"/>
    <cellStyle name="Currency 5 3 3 2 4 5" xfId="27008" xr:uid="{45B2F6E0-044F-458E-BE18-7323754EA59C}"/>
    <cellStyle name="Currency 5 3 3 2 4 6" xfId="10122" xr:uid="{80A5FEF0-5F50-4D97-93A6-BBDBC231DFFA}"/>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25339" xr:uid="{B2E7A6E8-7BBE-4FD7-85EC-1E3B9504FE91}"/>
    <cellStyle name="Currency 5 3 3 2 5 2 2 3" xfId="33785" xr:uid="{DD29CCEE-66A7-4ED3-8B6B-C3CF7C0B6562}"/>
    <cellStyle name="Currency 5 3 3 2 5 2 2 4" xfId="16898" xr:uid="{B9AFE6DC-4E07-43F8-A99E-E61B54562986}"/>
    <cellStyle name="Currency 5 3 3 2 5 2 3" xfId="21121" xr:uid="{87E56864-B409-4EAA-880C-F20E8D1E336C}"/>
    <cellStyle name="Currency 5 3 3 2 5 2 4" xfId="29568" xr:uid="{9B9DAEED-301A-4FC4-8E3E-7522CCFCD93D}"/>
    <cellStyle name="Currency 5 3 3 2 5 2 5" xfId="12680" xr:uid="{F5C5A415-133C-4636-B6DB-BD0D12DAFA8D}"/>
    <cellStyle name="Currency 5 3 3 2 5 3" xfId="6311" xr:uid="{00000000-0005-0000-0000-0000EF0C0000}"/>
    <cellStyle name="Currency 5 3 3 2 5 3 2" xfId="23194" xr:uid="{9E7B7CAA-E91B-4F69-BC62-02A1C38CFF9D}"/>
    <cellStyle name="Currency 5 3 3 2 5 3 3" xfId="31640" xr:uid="{525B9FF0-DB24-4E0A-ADA9-20A823C42B5E}"/>
    <cellStyle name="Currency 5 3 3 2 5 3 4" xfId="14753" xr:uid="{799E92A4-6B29-4746-AA3B-634A38321A33}"/>
    <cellStyle name="Currency 5 3 3 2 5 4" xfId="18976" xr:uid="{39190BBA-F454-427C-AFCB-6172ED7AE37B}"/>
    <cellStyle name="Currency 5 3 3 2 5 5" xfId="27421" xr:uid="{38F00C9F-5DA5-4C6C-A79D-5E3E9D18170D}"/>
    <cellStyle name="Currency 5 3 3 2 5 6" xfId="10535" xr:uid="{5FF8F6B9-6609-4004-B3C5-B16381FBFB7F}"/>
    <cellStyle name="Currency 5 3 3 2 6" xfId="2439" xr:uid="{00000000-0005-0000-0000-0000F00C0000}"/>
    <cellStyle name="Currency 5 3 3 2 6 2" xfId="6724" xr:uid="{00000000-0005-0000-0000-0000F10C0000}"/>
    <cellStyle name="Currency 5 3 3 2 6 2 2" xfId="23607" xr:uid="{17754F6C-50F0-4E8F-9CFA-0A75D72202E8}"/>
    <cellStyle name="Currency 5 3 3 2 6 2 3" xfId="32053" xr:uid="{53237052-C4E8-4783-A3A3-471B153EB6FE}"/>
    <cellStyle name="Currency 5 3 3 2 6 2 4" xfId="15166" xr:uid="{A1BF6D86-FA7E-4B40-B818-61231097203E}"/>
    <cellStyle name="Currency 5 3 3 2 6 3" xfId="19389" xr:uid="{0EB2A003-69B8-4246-B37D-31793B65DE68}"/>
    <cellStyle name="Currency 5 3 3 2 6 4" xfId="27834" xr:uid="{30692F30-1EF2-4937-A191-E13915357B50}"/>
    <cellStyle name="Currency 5 3 3 2 6 5" xfId="10948" xr:uid="{36462651-7B4F-4BC3-8142-67E53FB9B69A}"/>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23924" xr:uid="{DBD757C5-8D8C-4ACA-BBEF-D5F0C5944533}"/>
    <cellStyle name="Currency 5 3 3 2 8 2 3" xfId="32370" xr:uid="{48864F11-036A-47C3-ABA4-1DAED77AC417}"/>
    <cellStyle name="Currency 5 3 3 2 8 2 4" xfId="15483" xr:uid="{F59F19A0-D564-43F6-BE01-A097A40D3EF5}"/>
    <cellStyle name="Currency 5 3 3 2 8 3" xfId="19706" xr:uid="{5F785360-7257-46E9-B268-DC06DE34131B}"/>
    <cellStyle name="Currency 5 3 3 2 8 4" xfId="28153" xr:uid="{826D53CB-888E-4F30-B763-4580646F6DAB}"/>
    <cellStyle name="Currency 5 3 3 2 8 5" xfId="11265" xr:uid="{F4728D8C-7845-4CAE-A45A-6C2A40110B3F}"/>
    <cellStyle name="Currency 5 3 3 2 9" xfId="4658" xr:uid="{00000000-0005-0000-0000-0000F50C0000}"/>
    <cellStyle name="Currency 5 3 3 2 9 2" xfId="21541" xr:uid="{16055F43-2AAA-4EA7-849D-EAA1713462C7}"/>
    <cellStyle name="Currency 5 3 3 2 9 3" xfId="29987" xr:uid="{1A54FF4F-F11E-46D7-8BC0-CF608AB43118}"/>
    <cellStyle name="Currency 5 3 3 2 9 4" xfId="13100" xr:uid="{EE404C8B-EC4F-430D-B61D-B8BB6BAB8BCC}"/>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24099" xr:uid="{E643626E-F4D0-4F8B-8CBB-1FE04CFE3CCF}"/>
    <cellStyle name="Currency 5 3 3 3 2 2 3" xfId="32545" xr:uid="{FDBD09BF-4412-45FB-BD28-E1EDDDED33C9}"/>
    <cellStyle name="Currency 5 3 3 3 2 2 4" xfId="15658" xr:uid="{FF48076F-E3BE-4374-9908-F039B8E0D142}"/>
    <cellStyle name="Currency 5 3 3 3 2 3" xfId="19881" xr:uid="{5F64A712-0A83-467C-961E-5B95E40F4FE4}"/>
    <cellStyle name="Currency 5 3 3 3 2 4" xfId="28328" xr:uid="{4028B3A2-39BD-404C-AACE-CF1DCBBFE0FA}"/>
    <cellStyle name="Currency 5 3 3 3 2 5" xfId="11440" xr:uid="{F76C43AA-9C6D-4BBD-9629-3A8928B6B6ED}"/>
    <cellStyle name="Currency 5 3 3 3 3" xfId="5071" xr:uid="{00000000-0005-0000-0000-0000F90C0000}"/>
    <cellStyle name="Currency 5 3 3 3 3 2" xfId="21954" xr:uid="{3B037122-6413-4D0F-AB4C-E4D829D264BC}"/>
    <cellStyle name="Currency 5 3 3 3 3 3" xfId="30400" xr:uid="{46914B58-FE94-4FB2-8A58-27705D2EA480}"/>
    <cellStyle name="Currency 5 3 3 3 3 4" xfId="13513" xr:uid="{432AA150-8ADE-4247-9CB9-E479EB8100DA}"/>
    <cellStyle name="Currency 5 3 3 3 4" xfId="17736" xr:uid="{19488023-F28C-4BBB-A56E-170F6F8E7C5B}"/>
    <cellStyle name="Currency 5 3 3 3 5" xfId="26181" xr:uid="{1E3C920C-0043-4826-954E-EC4D442F109A}"/>
    <cellStyle name="Currency 5 3 3 3 6" xfId="9295" xr:uid="{89CAADCA-C08B-429E-98C9-5C43A76FE5DC}"/>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24512" xr:uid="{1584EAC0-6C2D-4B1A-8CB5-917E82577E68}"/>
    <cellStyle name="Currency 5 3 3 4 2 2 3" xfId="32958" xr:uid="{2364B86B-78E2-452D-9240-9341C1B8240C}"/>
    <cellStyle name="Currency 5 3 3 4 2 2 4" xfId="16071" xr:uid="{D0F7BF1D-70C5-4437-A599-993BCF66E68A}"/>
    <cellStyle name="Currency 5 3 3 4 2 3" xfId="20294" xr:uid="{F307364C-1156-456C-92E4-3E57E9F3BDED}"/>
    <cellStyle name="Currency 5 3 3 4 2 4" xfId="28741" xr:uid="{3E2411AE-24EB-4B18-B137-5A5D5850EF5F}"/>
    <cellStyle name="Currency 5 3 3 4 2 5" xfId="11853" xr:uid="{3D6BB3A7-74B6-4B92-9261-9B77ABED8479}"/>
    <cellStyle name="Currency 5 3 3 4 3" xfId="5484" xr:uid="{00000000-0005-0000-0000-0000FD0C0000}"/>
    <cellStyle name="Currency 5 3 3 4 3 2" xfId="22367" xr:uid="{5F847E20-C849-4E82-8E64-783E7C612101}"/>
    <cellStyle name="Currency 5 3 3 4 3 3" xfId="30813" xr:uid="{D3EA2837-2670-47C2-BDC1-4FAF4A35A305}"/>
    <cellStyle name="Currency 5 3 3 4 3 4" xfId="13926" xr:uid="{044E4204-38BD-430E-9675-2EEA93E7D609}"/>
    <cellStyle name="Currency 5 3 3 4 4" xfId="18149" xr:uid="{CB95F355-2347-4AA6-8396-EFF43746ADBC}"/>
    <cellStyle name="Currency 5 3 3 4 5" xfId="26594" xr:uid="{E8DC6768-1010-414A-8DC0-376F66B99367}"/>
    <cellStyle name="Currency 5 3 3 4 6" xfId="9708" xr:uid="{49F41A3E-442B-4BA1-8F36-ED1F2EA33944}"/>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24925" xr:uid="{4A7617CE-37B5-4A0D-8EB2-9F00258BCB2C}"/>
    <cellStyle name="Currency 5 3 3 5 2 2 3" xfId="33371" xr:uid="{5BDF154B-010D-426E-AE05-41F57A8DAD93}"/>
    <cellStyle name="Currency 5 3 3 5 2 2 4" xfId="16484" xr:uid="{3CBD860B-173D-485A-8663-65280E04EB72}"/>
    <cellStyle name="Currency 5 3 3 5 2 3" xfId="20707" xr:uid="{9B539CD9-28FE-4398-AFAF-7F8F9DE7712B}"/>
    <cellStyle name="Currency 5 3 3 5 2 4" xfId="29154" xr:uid="{3D3A5391-C7B7-4ED9-9082-36AD37FDAEBB}"/>
    <cellStyle name="Currency 5 3 3 5 2 5" xfId="12266" xr:uid="{F15C3A99-E371-47BF-ACC8-73B51DD7486B}"/>
    <cellStyle name="Currency 5 3 3 5 3" xfId="5897" xr:uid="{00000000-0005-0000-0000-0000010D0000}"/>
    <cellStyle name="Currency 5 3 3 5 3 2" xfId="22780" xr:uid="{49799FBE-D237-4E54-8854-6B5674C27E7C}"/>
    <cellStyle name="Currency 5 3 3 5 3 3" xfId="31226" xr:uid="{487A344D-4D45-4F33-B8A4-712609816D4E}"/>
    <cellStyle name="Currency 5 3 3 5 3 4" xfId="14339" xr:uid="{C6FFFA4C-EAE9-4EA0-AFEA-A798480099D1}"/>
    <cellStyle name="Currency 5 3 3 5 4" xfId="18562" xr:uid="{130F346A-C664-4DE2-9C2D-43BE66F9AD1F}"/>
    <cellStyle name="Currency 5 3 3 5 5" xfId="27007" xr:uid="{6AAB0AE8-BECF-4114-8A8E-40250224430E}"/>
    <cellStyle name="Currency 5 3 3 5 6" xfId="10121" xr:uid="{68EE2F35-3781-400B-91F2-6979226F5A54}"/>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25338" xr:uid="{C0BE5BC3-D747-4BE9-9B26-12EAEFE5FAB3}"/>
    <cellStyle name="Currency 5 3 3 6 2 2 3" xfId="33784" xr:uid="{2E2632E6-BB03-4209-B4C6-EFD5301981EC}"/>
    <cellStyle name="Currency 5 3 3 6 2 2 4" xfId="16897" xr:uid="{D7E49D34-5482-4E4A-B64B-F26F13015260}"/>
    <cellStyle name="Currency 5 3 3 6 2 3" xfId="21120" xr:uid="{4C54081F-ED53-40E6-BD81-89631DD76796}"/>
    <cellStyle name="Currency 5 3 3 6 2 4" xfId="29567" xr:uid="{019C05F9-CDAC-4E39-B974-D7267D98FBB6}"/>
    <cellStyle name="Currency 5 3 3 6 2 5" xfId="12679" xr:uid="{3A328B0D-8792-4F1D-B6D9-9C2D241C5117}"/>
    <cellStyle name="Currency 5 3 3 6 3" xfId="6310" xr:uid="{00000000-0005-0000-0000-0000050D0000}"/>
    <cellStyle name="Currency 5 3 3 6 3 2" xfId="23193" xr:uid="{6399E549-21E0-4F32-AF50-24F62A5913D1}"/>
    <cellStyle name="Currency 5 3 3 6 3 3" xfId="31639" xr:uid="{30A020EC-DD00-44BD-B11A-1DD35C9C6EBB}"/>
    <cellStyle name="Currency 5 3 3 6 3 4" xfId="14752" xr:uid="{4BA4A379-EFB0-427D-B9B5-4AAC86037E6E}"/>
    <cellStyle name="Currency 5 3 3 6 4" xfId="18975" xr:uid="{2456F866-96B3-4ECE-8815-3ADBE79E19BF}"/>
    <cellStyle name="Currency 5 3 3 6 5" xfId="27420" xr:uid="{A1C38D97-A72C-4680-8E5E-9A5B20894152}"/>
    <cellStyle name="Currency 5 3 3 6 6" xfId="10534" xr:uid="{40EEE008-431C-48CF-B0BB-E5BD93AE9BCD}"/>
    <cellStyle name="Currency 5 3 3 7" xfId="2438" xr:uid="{00000000-0005-0000-0000-0000060D0000}"/>
    <cellStyle name="Currency 5 3 3 7 2" xfId="6723" xr:uid="{00000000-0005-0000-0000-0000070D0000}"/>
    <cellStyle name="Currency 5 3 3 7 2 2" xfId="23606" xr:uid="{8D839ED6-B471-474C-B914-045862F81292}"/>
    <cellStyle name="Currency 5 3 3 7 2 3" xfId="32052" xr:uid="{09205609-0F77-461E-9988-8A50E14D10CB}"/>
    <cellStyle name="Currency 5 3 3 7 2 4" xfId="15165" xr:uid="{23859B73-E558-47B4-8401-BDB5561D9637}"/>
    <cellStyle name="Currency 5 3 3 7 3" xfId="19388" xr:uid="{B2DA025B-1874-40E4-B453-448FDCC79B06}"/>
    <cellStyle name="Currency 5 3 3 7 4" xfId="27833" xr:uid="{448713F8-8325-4CFE-B7C5-3453A3D1AB37}"/>
    <cellStyle name="Currency 5 3 3 7 5" xfId="10947" xr:uid="{A8F84E2D-BD32-471D-90A7-7C4371EB65D2}"/>
    <cellStyle name="Currency 5 3 3 8" xfId="2735" xr:uid="{00000000-0005-0000-0000-0000080D0000}"/>
    <cellStyle name="Currency 5 3 3 9" xfId="2816" xr:uid="{00000000-0005-0000-0000-0000090D0000}"/>
    <cellStyle name="Currency 5 3 3 9 2" xfId="7040" xr:uid="{00000000-0005-0000-0000-00000A0D0000}"/>
    <cellStyle name="Currency 5 3 3 9 2 2" xfId="23923" xr:uid="{8845A926-1348-4AEA-AF9E-70F88D14F044}"/>
    <cellStyle name="Currency 5 3 3 9 2 3" xfId="32369" xr:uid="{A14FC57C-A139-4B2A-839B-ECECEFA3E68D}"/>
    <cellStyle name="Currency 5 3 3 9 2 4" xfId="15482" xr:uid="{8D3B606F-29C4-45F6-8327-F43DEE94F5A9}"/>
    <cellStyle name="Currency 5 3 3 9 3" xfId="19705" xr:uid="{15395DAA-9D24-4E1D-A641-87E495462168}"/>
    <cellStyle name="Currency 5 3 3 9 4" xfId="28152" xr:uid="{D4CF5606-70FB-47E6-9525-457E24192EC5}"/>
    <cellStyle name="Currency 5 3 3 9 5" xfId="11264" xr:uid="{04AB925E-7B98-4BC4-AE46-FCE18361B059}"/>
    <cellStyle name="Currency 5 3 4" xfId="216" xr:uid="{00000000-0005-0000-0000-00000B0D0000}"/>
    <cellStyle name="Currency 5 3 4 10" xfId="17324" xr:uid="{787D532B-1B35-4521-83B5-4D4B0CF47BC3}"/>
    <cellStyle name="Currency 5 3 4 11" xfId="25767" xr:uid="{2961E250-BDE3-4493-B9FA-E2514085C049}"/>
    <cellStyle name="Currency 5 3 4 12" xfId="8883" xr:uid="{CE4D472B-60DC-4875-800A-7018782EF543}"/>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24101" xr:uid="{2F0A8D10-B053-411C-BEB0-3EA22DD9F7BE}"/>
    <cellStyle name="Currency 5 3 4 2 2 2 3" xfId="32547" xr:uid="{971AB65B-DAB1-42C2-B91B-BA43BF5AB123}"/>
    <cellStyle name="Currency 5 3 4 2 2 2 4" xfId="15660" xr:uid="{A7084D59-18BD-426A-A0DC-42403CB4ADCB}"/>
    <cellStyle name="Currency 5 3 4 2 2 3" xfId="19883" xr:uid="{0BFAF136-C7FC-4850-8C3B-E6F81A93ECDE}"/>
    <cellStyle name="Currency 5 3 4 2 2 4" xfId="28330" xr:uid="{760FA5DB-B61F-4D9A-819C-005445844907}"/>
    <cellStyle name="Currency 5 3 4 2 2 5" xfId="11442" xr:uid="{7F3E52B8-6262-428C-9C29-8FDD21C3DE06}"/>
    <cellStyle name="Currency 5 3 4 2 3" xfId="5073" xr:uid="{00000000-0005-0000-0000-00000F0D0000}"/>
    <cellStyle name="Currency 5 3 4 2 3 2" xfId="21956" xr:uid="{2387C860-EB7D-467A-B526-1E7B733EDB4E}"/>
    <cellStyle name="Currency 5 3 4 2 3 3" xfId="30402" xr:uid="{19596594-5FC8-446C-9A83-FC4810A1B751}"/>
    <cellStyle name="Currency 5 3 4 2 3 4" xfId="13515" xr:uid="{3898D326-8F7A-4DCB-A192-83BE24371D2C}"/>
    <cellStyle name="Currency 5 3 4 2 4" xfId="17738" xr:uid="{C54EA153-CED6-49D6-98C3-39B5956E7F9B}"/>
    <cellStyle name="Currency 5 3 4 2 5" xfId="26183" xr:uid="{2AD16A10-27F8-4A55-8559-18FC82781705}"/>
    <cellStyle name="Currency 5 3 4 2 6" xfId="9297" xr:uid="{AACCAA11-10CF-4BCA-98CA-EF99F2E8754C}"/>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24514" xr:uid="{3CAD24F9-DD95-45C9-9538-1238B80B24FE}"/>
    <cellStyle name="Currency 5 3 4 3 2 2 3" xfId="32960" xr:uid="{263178E8-C786-4307-BE8E-BB453736BC85}"/>
    <cellStyle name="Currency 5 3 4 3 2 2 4" xfId="16073" xr:uid="{EAC37C7D-F103-4145-85F6-EC733408C733}"/>
    <cellStyle name="Currency 5 3 4 3 2 3" xfId="20296" xr:uid="{D612F733-0C78-4003-B122-C019C7751F70}"/>
    <cellStyle name="Currency 5 3 4 3 2 4" xfId="28743" xr:uid="{19BD7B37-2266-43A9-A906-9DCB3A1DF57E}"/>
    <cellStyle name="Currency 5 3 4 3 2 5" xfId="11855" xr:uid="{CD32FF62-35AE-42E7-9384-05980ADDA767}"/>
    <cellStyle name="Currency 5 3 4 3 3" xfId="5486" xr:uid="{00000000-0005-0000-0000-0000130D0000}"/>
    <cellStyle name="Currency 5 3 4 3 3 2" xfId="22369" xr:uid="{85F1ECF0-7081-4EB2-8958-6193AA4C7480}"/>
    <cellStyle name="Currency 5 3 4 3 3 3" xfId="30815" xr:uid="{E38F6FE3-05C9-48FA-A4DB-1D2AA96E53E2}"/>
    <cellStyle name="Currency 5 3 4 3 3 4" xfId="13928" xr:uid="{13679704-746E-4B52-A980-404BA69E758F}"/>
    <cellStyle name="Currency 5 3 4 3 4" xfId="18151" xr:uid="{1A7F08FA-37B9-469E-8D81-1318D1E08596}"/>
    <cellStyle name="Currency 5 3 4 3 5" xfId="26596" xr:uid="{800D19B4-933C-490F-95F9-C52B7BC6B191}"/>
    <cellStyle name="Currency 5 3 4 3 6" xfId="9710" xr:uid="{78480C02-8E5C-44AC-9BEB-18971D7A0CED}"/>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24927" xr:uid="{00811922-AF7C-43D3-AEA0-6A204F3F2366}"/>
    <cellStyle name="Currency 5 3 4 4 2 2 3" xfId="33373" xr:uid="{A24C1592-9981-4AF3-A7DF-5F39F03A56F5}"/>
    <cellStyle name="Currency 5 3 4 4 2 2 4" xfId="16486" xr:uid="{DE75C717-92FB-4110-B430-E8D14E758BAC}"/>
    <cellStyle name="Currency 5 3 4 4 2 3" xfId="20709" xr:uid="{F762D20E-2938-4FD9-B006-06BB3404D71D}"/>
    <cellStyle name="Currency 5 3 4 4 2 4" xfId="29156" xr:uid="{E059DF48-37F5-40C0-AAB2-E8209F9E7783}"/>
    <cellStyle name="Currency 5 3 4 4 2 5" xfId="12268" xr:uid="{677B3E0F-D81B-4124-896A-8DE66638A74C}"/>
    <cellStyle name="Currency 5 3 4 4 3" xfId="5899" xr:uid="{00000000-0005-0000-0000-0000170D0000}"/>
    <cellStyle name="Currency 5 3 4 4 3 2" xfId="22782" xr:uid="{F225C1E7-01AB-439D-8C93-8B415F65064B}"/>
    <cellStyle name="Currency 5 3 4 4 3 3" xfId="31228" xr:uid="{BFEDFAEC-53E3-42D9-9119-CF1235C532B8}"/>
    <cellStyle name="Currency 5 3 4 4 3 4" xfId="14341" xr:uid="{52345D70-732A-4816-B80E-36B7538F75CE}"/>
    <cellStyle name="Currency 5 3 4 4 4" xfId="18564" xr:uid="{7F614EFF-3598-4D1B-8B7C-5789FB6CD22E}"/>
    <cellStyle name="Currency 5 3 4 4 5" xfId="27009" xr:uid="{DD99E741-B296-4C24-BC8A-5D6BBF54C1F2}"/>
    <cellStyle name="Currency 5 3 4 4 6" xfId="10123" xr:uid="{3FF22C96-10A2-476A-8115-AA8B805D1A01}"/>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25340" xr:uid="{0E9BE750-A42E-41C2-BC8C-92066534F3C1}"/>
    <cellStyle name="Currency 5 3 4 5 2 2 3" xfId="33786" xr:uid="{8B3D08F7-5E77-45AC-97C7-BE4018ADF3D3}"/>
    <cellStyle name="Currency 5 3 4 5 2 2 4" xfId="16899" xr:uid="{29DD49CB-F0F9-4CB8-B7F4-AD745BA8D724}"/>
    <cellStyle name="Currency 5 3 4 5 2 3" xfId="21122" xr:uid="{431EBA8C-6C24-4089-A82F-97360A57F8E7}"/>
    <cellStyle name="Currency 5 3 4 5 2 4" xfId="29569" xr:uid="{9AC2FBE9-FE1A-419C-A36C-B3CF3266335B}"/>
    <cellStyle name="Currency 5 3 4 5 2 5" xfId="12681" xr:uid="{556A13EB-1732-457E-876E-465E9BB0A0A6}"/>
    <cellStyle name="Currency 5 3 4 5 3" xfId="6312" xr:uid="{00000000-0005-0000-0000-00001B0D0000}"/>
    <cellStyle name="Currency 5 3 4 5 3 2" xfId="23195" xr:uid="{A8B30941-F37D-4E83-AAE7-73DEEC710CB5}"/>
    <cellStyle name="Currency 5 3 4 5 3 3" xfId="31641" xr:uid="{1CB06824-C082-4751-8717-775F190A1BB3}"/>
    <cellStyle name="Currency 5 3 4 5 3 4" xfId="14754" xr:uid="{66C10D17-895D-46F9-85A4-E2012B8BE5DD}"/>
    <cellStyle name="Currency 5 3 4 5 4" xfId="18977" xr:uid="{485FC3A8-07F6-4D1F-8144-AAF4B3999305}"/>
    <cellStyle name="Currency 5 3 4 5 5" xfId="27422" xr:uid="{FF3873C3-41BB-4A79-983F-6BB7C62AC732}"/>
    <cellStyle name="Currency 5 3 4 5 6" xfId="10536" xr:uid="{CEABCDCF-C1AB-41E0-94F1-69645ED9938D}"/>
    <cellStyle name="Currency 5 3 4 6" xfId="2440" xr:uid="{00000000-0005-0000-0000-00001C0D0000}"/>
    <cellStyle name="Currency 5 3 4 6 2" xfId="6725" xr:uid="{00000000-0005-0000-0000-00001D0D0000}"/>
    <cellStyle name="Currency 5 3 4 6 2 2" xfId="23608" xr:uid="{D27DDFD9-D70F-4990-BB6F-7F8C0820E16D}"/>
    <cellStyle name="Currency 5 3 4 6 2 3" xfId="32054" xr:uid="{5E4AF171-01D3-49AD-ACA8-6713F6209F9A}"/>
    <cellStyle name="Currency 5 3 4 6 2 4" xfId="15167" xr:uid="{3346A9CD-8582-4C3C-A325-2E61EF94F925}"/>
    <cellStyle name="Currency 5 3 4 6 3" xfId="19390" xr:uid="{4AF58847-C980-4B1E-AAAF-51C9C03C3753}"/>
    <cellStyle name="Currency 5 3 4 6 4" xfId="27835" xr:uid="{6BDB8F68-91DB-4C6E-9B39-7536630565F2}"/>
    <cellStyle name="Currency 5 3 4 6 5" xfId="10949" xr:uid="{8A696673-A203-43C7-9A49-5BE1A8F15204}"/>
    <cellStyle name="Currency 5 3 4 7" xfId="2737" xr:uid="{00000000-0005-0000-0000-00001E0D0000}"/>
    <cellStyle name="Currency 5 3 4 8" xfId="2818" xr:uid="{00000000-0005-0000-0000-00001F0D0000}"/>
    <cellStyle name="Currency 5 3 4 8 2" xfId="7042" xr:uid="{00000000-0005-0000-0000-0000200D0000}"/>
    <cellStyle name="Currency 5 3 4 8 2 2" xfId="23925" xr:uid="{CB0518F4-9179-4A33-9EAE-BA1F9F20D22C}"/>
    <cellStyle name="Currency 5 3 4 8 2 3" xfId="32371" xr:uid="{17B8855D-B2A7-41C9-AA0E-1BDEB7C9CB64}"/>
    <cellStyle name="Currency 5 3 4 8 2 4" xfId="15484" xr:uid="{D700469B-CE12-4D11-8FBD-AEE3E1AEDE40}"/>
    <cellStyle name="Currency 5 3 4 8 3" xfId="19707" xr:uid="{A29468BB-E207-4740-B346-C3072B4B186E}"/>
    <cellStyle name="Currency 5 3 4 8 4" xfId="28154" xr:uid="{D93EBFE7-EDA8-41DD-AE50-4D7C5E012DA2}"/>
    <cellStyle name="Currency 5 3 4 8 5" xfId="11266" xr:uid="{5264F65A-7555-474B-A220-732D67D23265}"/>
    <cellStyle name="Currency 5 3 4 9" xfId="4659" xr:uid="{00000000-0005-0000-0000-0000210D0000}"/>
    <cellStyle name="Currency 5 3 4 9 2" xfId="21542" xr:uid="{ACE0CAC5-B7F8-41F3-96DB-7B36BB7BC0A2}"/>
    <cellStyle name="Currency 5 3 4 9 3" xfId="29988" xr:uid="{394316ED-7EC8-44F3-8E81-AA9E6D392148}"/>
    <cellStyle name="Currency 5 3 4 9 4" xfId="13101" xr:uid="{053863D4-481D-4478-8B4A-F9FA6A6BB794}"/>
    <cellStyle name="Currency 5 3 5" xfId="217" xr:uid="{00000000-0005-0000-0000-0000220D0000}"/>
    <cellStyle name="Currency 5 3 5 10" xfId="17325" xr:uid="{12AB5835-CD6E-48A3-A1E8-4C13F34E4A08}"/>
    <cellStyle name="Currency 5 3 5 11" xfId="25768" xr:uid="{39D4AC0F-9267-4489-9D7F-132A1311B1C3}"/>
    <cellStyle name="Currency 5 3 5 12" xfId="8884" xr:uid="{754C2E6A-B42B-4526-81D0-53630E8316C6}"/>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24102" xr:uid="{CBEFA81D-29DC-4CBC-B8AE-135ED816EBEE}"/>
    <cellStyle name="Currency 5 3 5 2 2 2 3" xfId="32548" xr:uid="{3E257524-19E2-4E26-B7EC-E709CE2B1CEA}"/>
    <cellStyle name="Currency 5 3 5 2 2 2 4" xfId="15661" xr:uid="{4AC5D7E3-5755-4043-A043-EEA5C2A35A29}"/>
    <cellStyle name="Currency 5 3 5 2 2 3" xfId="19884" xr:uid="{BE186215-054D-4B53-8A71-7A210C75390F}"/>
    <cellStyle name="Currency 5 3 5 2 2 4" xfId="28331" xr:uid="{346655B8-044C-4AD2-A91F-CD780611675D}"/>
    <cellStyle name="Currency 5 3 5 2 2 5" xfId="11443" xr:uid="{91A64B34-5047-4B2B-9C1F-75F76D8203A1}"/>
    <cellStyle name="Currency 5 3 5 2 3" xfId="5074" xr:uid="{00000000-0005-0000-0000-0000260D0000}"/>
    <cellStyle name="Currency 5 3 5 2 3 2" xfId="21957" xr:uid="{9B8C96EF-8329-4A1E-9A98-B998CB7A07E6}"/>
    <cellStyle name="Currency 5 3 5 2 3 3" xfId="30403" xr:uid="{A433F5CC-6769-424C-BC65-7421FDEC5C04}"/>
    <cellStyle name="Currency 5 3 5 2 3 4" xfId="13516" xr:uid="{73A51DD2-D8EA-44CD-91B6-FB53300E97CE}"/>
    <cellStyle name="Currency 5 3 5 2 4" xfId="17739" xr:uid="{EE71864D-F9D5-43DB-A111-4F2C3542BD67}"/>
    <cellStyle name="Currency 5 3 5 2 5" xfId="26184" xr:uid="{7D9286CA-1F2A-4A9F-8632-B9014EEA2BC4}"/>
    <cellStyle name="Currency 5 3 5 2 6" xfId="9298" xr:uid="{1ED16164-B435-464A-97F1-F9EB1760CA8E}"/>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24515" xr:uid="{A37A3AA7-A4E3-4544-8CDC-923D2A5097BC}"/>
    <cellStyle name="Currency 5 3 5 3 2 2 3" xfId="32961" xr:uid="{998F8435-CFF5-422F-BD1F-170946B72622}"/>
    <cellStyle name="Currency 5 3 5 3 2 2 4" xfId="16074" xr:uid="{116B3C59-2776-4AA9-BA89-91C7E8622D0F}"/>
    <cellStyle name="Currency 5 3 5 3 2 3" xfId="20297" xr:uid="{782F419E-AF95-4489-BC61-94E2CC2D86BE}"/>
    <cellStyle name="Currency 5 3 5 3 2 4" xfId="28744" xr:uid="{728A6E68-55D8-4254-BE87-64FAE668A87F}"/>
    <cellStyle name="Currency 5 3 5 3 2 5" xfId="11856" xr:uid="{FC7D98C1-BA4C-4D64-92B8-099DF5117920}"/>
    <cellStyle name="Currency 5 3 5 3 3" xfId="5487" xr:uid="{00000000-0005-0000-0000-00002A0D0000}"/>
    <cellStyle name="Currency 5 3 5 3 3 2" xfId="22370" xr:uid="{0EA8D93C-2FE3-47CE-B86F-026921CEBA61}"/>
    <cellStyle name="Currency 5 3 5 3 3 3" xfId="30816" xr:uid="{C8F2EF44-1D36-46CC-9642-51793D0BC254}"/>
    <cellStyle name="Currency 5 3 5 3 3 4" xfId="13929" xr:uid="{31F3733F-D51D-404C-9F41-75520E9FBD40}"/>
    <cellStyle name="Currency 5 3 5 3 4" xfId="18152" xr:uid="{CEE9AE23-A686-49BA-8664-F8D4C57E6B8C}"/>
    <cellStyle name="Currency 5 3 5 3 5" xfId="26597" xr:uid="{A7DB8A0F-41F4-4231-BA80-DDDAB11F65C7}"/>
    <cellStyle name="Currency 5 3 5 3 6" xfId="9711" xr:uid="{AF286ECD-CAD5-4E53-A08F-58A2DC509E16}"/>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24928" xr:uid="{E4697FD9-04EE-4D31-A5F8-6091D66DD2DA}"/>
    <cellStyle name="Currency 5 3 5 4 2 2 3" xfId="33374" xr:uid="{A0060AB1-7E32-4190-A71A-2B2896BBC12A}"/>
    <cellStyle name="Currency 5 3 5 4 2 2 4" xfId="16487" xr:uid="{C8C5BE37-6DEE-4585-91D5-5E6D751EBE35}"/>
    <cellStyle name="Currency 5 3 5 4 2 3" xfId="20710" xr:uid="{81B32E8C-6B32-42C2-9C56-7C390EEA28EC}"/>
    <cellStyle name="Currency 5 3 5 4 2 4" xfId="29157" xr:uid="{D72AF471-02AB-4E99-BC7F-1F13B6AF84BA}"/>
    <cellStyle name="Currency 5 3 5 4 2 5" xfId="12269" xr:uid="{4A5C63F6-C20B-4969-9CE4-4E11F8FCB9D1}"/>
    <cellStyle name="Currency 5 3 5 4 3" xfId="5900" xr:uid="{00000000-0005-0000-0000-00002E0D0000}"/>
    <cellStyle name="Currency 5 3 5 4 3 2" xfId="22783" xr:uid="{D978AB3F-9F9E-4A10-B91C-37FA8C697573}"/>
    <cellStyle name="Currency 5 3 5 4 3 3" xfId="31229" xr:uid="{D307E5F4-F7E8-4AC9-926C-9E7E906EF89B}"/>
    <cellStyle name="Currency 5 3 5 4 3 4" xfId="14342" xr:uid="{7A9E2483-B3C7-45DC-A95B-AE2570377F80}"/>
    <cellStyle name="Currency 5 3 5 4 4" xfId="18565" xr:uid="{91E940B7-1CD9-4FBD-8E37-E974164E31C2}"/>
    <cellStyle name="Currency 5 3 5 4 5" xfId="27010" xr:uid="{74794552-AF60-447F-9A8E-FDA98A74E44C}"/>
    <cellStyle name="Currency 5 3 5 4 6" xfId="10124" xr:uid="{6C1DBFD4-969B-4BA0-8F91-FDD9E95B9F90}"/>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25341" xr:uid="{239CEC7C-9BDA-4E7C-9AF8-39C5C80F8D3E}"/>
    <cellStyle name="Currency 5 3 5 5 2 2 3" xfId="33787" xr:uid="{B5C8A377-2287-4B7D-AEC4-B8E79EEF2EC3}"/>
    <cellStyle name="Currency 5 3 5 5 2 2 4" xfId="16900" xr:uid="{C8F6841E-581D-4862-B1F4-14886E4490F5}"/>
    <cellStyle name="Currency 5 3 5 5 2 3" xfId="21123" xr:uid="{52D17FA3-0589-4553-B55C-5894680B51CC}"/>
    <cellStyle name="Currency 5 3 5 5 2 4" xfId="29570" xr:uid="{DF4365AB-2378-4694-B8C1-C9284295B247}"/>
    <cellStyle name="Currency 5 3 5 5 2 5" xfId="12682" xr:uid="{28B5D848-FDDF-4320-8338-DAD87EA6CDF8}"/>
    <cellStyle name="Currency 5 3 5 5 3" xfId="6313" xr:uid="{00000000-0005-0000-0000-0000320D0000}"/>
    <cellStyle name="Currency 5 3 5 5 3 2" xfId="23196" xr:uid="{0506167E-B45D-43D0-8631-8B6A27717448}"/>
    <cellStyle name="Currency 5 3 5 5 3 3" xfId="31642" xr:uid="{561D7F02-0C1C-4C68-BF97-ED8943EF9C84}"/>
    <cellStyle name="Currency 5 3 5 5 3 4" xfId="14755" xr:uid="{F9A437D5-93F9-428B-B013-5FC8DB6C527A}"/>
    <cellStyle name="Currency 5 3 5 5 4" xfId="18978" xr:uid="{72D959F1-FC66-4FC4-9501-0673471FBA23}"/>
    <cellStyle name="Currency 5 3 5 5 5" xfId="27423" xr:uid="{74B5D73D-FBFB-4C6C-879C-9A031C0D90BB}"/>
    <cellStyle name="Currency 5 3 5 5 6" xfId="10537" xr:uid="{0D5FE268-C7D7-4672-8B1D-D0B58826E2D2}"/>
    <cellStyle name="Currency 5 3 5 6" xfId="2441" xr:uid="{00000000-0005-0000-0000-0000330D0000}"/>
    <cellStyle name="Currency 5 3 5 6 2" xfId="6726" xr:uid="{00000000-0005-0000-0000-0000340D0000}"/>
    <cellStyle name="Currency 5 3 5 6 2 2" xfId="23609" xr:uid="{04199E82-5FB2-4041-9DF4-80AEC89B9CF7}"/>
    <cellStyle name="Currency 5 3 5 6 2 3" xfId="32055" xr:uid="{003DD3FB-DF2D-48D4-80D2-F2D3B326BF66}"/>
    <cellStyle name="Currency 5 3 5 6 2 4" xfId="15168" xr:uid="{4334CBCA-2A02-4163-A987-C4E1CB93354C}"/>
    <cellStyle name="Currency 5 3 5 6 3" xfId="19391" xr:uid="{948F5F0D-53EB-4925-BD5B-069D7ED63257}"/>
    <cellStyle name="Currency 5 3 5 6 4" xfId="27836" xr:uid="{D72F7678-20B4-41B7-AF18-9DADCC60A731}"/>
    <cellStyle name="Currency 5 3 5 6 5" xfId="10950" xr:uid="{3217998B-0888-4E6C-81EE-31A9042E570D}"/>
    <cellStyle name="Currency 5 3 5 7" xfId="2738" xr:uid="{00000000-0005-0000-0000-0000350D0000}"/>
    <cellStyle name="Currency 5 3 5 8" xfId="2819" xr:uid="{00000000-0005-0000-0000-0000360D0000}"/>
    <cellStyle name="Currency 5 3 5 8 2" xfId="7043" xr:uid="{00000000-0005-0000-0000-0000370D0000}"/>
    <cellStyle name="Currency 5 3 5 8 2 2" xfId="23926" xr:uid="{C28C6F28-40F2-4AED-AE4D-E33FCD320238}"/>
    <cellStyle name="Currency 5 3 5 8 2 3" xfId="32372" xr:uid="{AB736E17-6DEA-4F4F-99D5-C903C4BE18D4}"/>
    <cellStyle name="Currency 5 3 5 8 2 4" xfId="15485" xr:uid="{D5CDB358-0EC7-43A8-8A6C-71E138F766CF}"/>
    <cellStyle name="Currency 5 3 5 8 3" xfId="19708" xr:uid="{1B7D6805-C75A-4A3A-87D4-E27E138CD21B}"/>
    <cellStyle name="Currency 5 3 5 8 4" xfId="28155" xr:uid="{F4A29BC7-E222-4841-9EE1-1AF1BFA9054E}"/>
    <cellStyle name="Currency 5 3 5 8 5" xfId="11267" xr:uid="{D6C86277-620A-4568-9A9A-2625BAE30128}"/>
    <cellStyle name="Currency 5 3 5 9" xfId="4660" xr:uid="{00000000-0005-0000-0000-0000380D0000}"/>
    <cellStyle name="Currency 5 3 5 9 2" xfId="21543" xr:uid="{EFED0BC6-5FCA-4A6F-BBFA-8712A2C5FCAB}"/>
    <cellStyle name="Currency 5 3 5 9 3" xfId="29989" xr:uid="{2C28D933-3739-4CBA-8BA4-B91B6AB19104}"/>
    <cellStyle name="Currency 5 3 5 9 4" xfId="13102" xr:uid="{3FB41C35-D059-4CA4-8505-5D8758E4F2DA}"/>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21544" xr:uid="{C4E48F88-31A5-408B-AA7B-EB3673B249CB}"/>
    <cellStyle name="Currency 5 5 10 3" xfId="29990" xr:uid="{86C6BF81-B0F0-4553-9C97-912A5342663B}"/>
    <cellStyle name="Currency 5 5 10 4" xfId="13103" xr:uid="{BAB1E1CD-D6D5-4B40-97BA-DE6A1FD228D8}"/>
    <cellStyle name="Currency 5 5 11" xfId="17326" xr:uid="{37833A1D-1CA0-4712-8702-84228BF6B8D2}"/>
    <cellStyle name="Currency 5 5 12" xfId="25769" xr:uid="{50999ED5-7A46-434D-A116-B381C03DF081}"/>
    <cellStyle name="Currency 5 5 13" xfId="8885" xr:uid="{89FBD6C0-2107-416D-8E80-70549A03EF88}"/>
    <cellStyle name="Currency 5 5 2" xfId="220" xr:uid="{00000000-0005-0000-0000-00003D0D0000}"/>
    <cellStyle name="Currency 5 5 2 10" xfId="17327" xr:uid="{38E51E6E-B52F-4016-9F88-7017D2A997C9}"/>
    <cellStyle name="Currency 5 5 2 11" xfId="25770" xr:uid="{53FC3B29-7C70-4F5E-97F2-E726DABA700C}"/>
    <cellStyle name="Currency 5 5 2 12" xfId="8886" xr:uid="{CB1B615E-00D2-4F79-89AF-B5D5941F3078}"/>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24104" xr:uid="{BDEA7BDB-9EBE-451D-B28D-2EB04E79C3F1}"/>
    <cellStyle name="Currency 5 5 2 2 2 2 3" xfId="32550" xr:uid="{BA2D85ED-C909-4BDA-A110-3A62AA2E2C42}"/>
    <cellStyle name="Currency 5 5 2 2 2 2 4" xfId="15663" xr:uid="{3621F87A-7382-4D61-8FC2-7883A88F60BB}"/>
    <cellStyle name="Currency 5 5 2 2 2 3" xfId="19886" xr:uid="{4438F9B7-FC73-4102-B057-25061B9B02AF}"/>
    <cellStyle name="Currency 5 5 2 2 2 4" xfId="28333" xr:uid="{EE60A26E-E0D7-4CD5-811D-2CC106573F68}"/>
    <cellStyle name="Currency 5 5 2 2 2 5" xfId="11445" xr:uid="{C2EA2BBA-4933-4527-B4AC-52251D9171E3}"/>
    <cellStyle name="Currency 5 5 2 2 3" xfId="5076" xr:uid="{00000000-0005-0000-0000-0000410D0000}"/>
    <cellStyle name="Currency 5 5 2 2 3 2" xfId="21959" xr:uid="{FD0158F6-2EB9-4F20-B4B5-19C7CD026CD4}"/>
    <cellStyle name="Currency 5 5 2 2 3 3" xfId="30405" xr:uid="{AAE96F97-E594-4877-99E7-56726F443AD3}"/>
    <cellStyle name="Currency 5 5 2 2 3 4" xfId="13518" xr:uid="{90EA4531-B578-47C5-A45A-632A57E9713D}"/>
    <cellStyle name="Currency 5 5 2 2 4" xfId="17741" xr:uid="{C0A313E1-63DA-4B63-A511-05DD1DC93518}"/>
    <cellStyle name="Currency 5 5 2 2 5" xfId="26186" xr:uid="{2EB375BE-5C11-4995-BB2D-6F5A2989F816}"/>
    <cellStyle name="Currency 5 5 2 2 6" xfId="9300" xr:uid="{28649105-E624-448E-9A22-B394D3625B16}"/>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24517" xr:uid="{65127D8A-3A5A-4C73-A813-05E9724498F1}"/>
    <cellStyle name="Currency 5 5 2 3 2 2 3" xfId="32963" xr:uid="{8BAEA7EA-099C-411F-8A16-6DB96E96ABF0}"/>
    <cellStyle name="Currency 5 5 2 3 2 2 4" xfId="16076" xr:uid="{53ABDA22-2765-4C45-BF34-ACFC3347D65C}"/>
    <cellStyle name="Currency 5 5 2 3 2 3" xfId="20299" xr:uid="{BB33F6D3-2793-4A23-B65C-30E8F0BEBDDE}"/>
    <cellStyle name="Currency 5 5 2 3 2 4" xfId="28746" xr:uid="{924F4F8E-69B2-4D46-986B-30B129C97830}"/>
    <cellStyle name="Currency 5 5 2 3 2 5" xfId="11858" xr:uid="{33B4A563-62B9-4825-8242-B1398B89088B}"/>
    <cellStyle name="Currency 5 5 2 3 3" xfId="5489" xr:uid="{00000000-0005-0000-0000-0000450D0000}"/>
    <cellStyle name="Currency 5 5 2 3 3 2" xfId="22372" xr:uid="{3FBB7A5D-37D3-4371-B31F-0BD4E0ADA288}"/>
    <cellStyle name="Currency 5 5 2 3 3 3" xfId="30818" xr:uid="{0D80D7E6-E389-414E-92F4-C2B3C1089CFB}"/>
    <cellStyle name="Currency 5 5 2 3 3 4" xfId="13931" xr:uid="{79F79C05-2ECA-4EB4-8F9D-897B9C84423B}"/>
    <cellStyle name="Currency 5 5 2 3 4" xfId="18154" xr:uid="{328DCB3A-29EB-4A3A-9A64-27B004C6249B}"/>
    <cellStyle name="Currency 5 5 2 3 5" xfId="26599" xr:uid="{96FACC86-4A0D-4B60-BCA3-0847979995F5}"/>
    <cellStyle name="Currency 5 5 2 3 6" xfId="9713" xr:uid="{9088859C-7231-4F21-9D81-071CC69CE1FF}"/>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24930" xr:uid="{2446ADFB-F200-490C-85CB-E272112D3C3A}"/>
    <cellStyle name="Currency 5 5 2 4 2 2 3" xfId="33376" xr:uid="{EE646ABD-6FF7-49DF-90DC-85D90EF0676D}"/>
    <cellStyle name="Currency 5 5 2 4 2 2 4" xfId="16489" xr:uid="{463DFDA3-D013-4323-BDBF-0CCC496A3F86}"/>
    <cellStyle name="Currency 5 5 2 4 2 3" xfId="20712" xr:uid="{966660C1-E2CE-4AF2-8FCE-6A7BD62C2030}"/>
    <cellStyle name="Currency 5 5 2 4 2 4" xfId="29159" xr:uid="{028EBD48-95C1-4A64-A6AA-CC27BD5A3F0C}"/>
    <cellStyle name="Currency 5 5 2 4 2 5" xfId="12271" xr:uid="{677F74A4-4714-4C7E-A2B8-346D91B4BB64}"/>
    <cellStyle name="Currency 5 5 2 4 3" xfId="5902" xr:uid="{00000000-0005-0000-0000-0000490D0000}"/>
    <cellStyle name="Currency 5 5 2 4 3 2" xfId="22785" xr:uid="{F43B7BB5-DFA4-4663-878A-BF31F04852D9}"/>
    <cellStyle name="Currency 5 5 2 4 3 3" xfId="31231" xr:uid="{2D1FEFB6-D543-44ED-BC74-409F22C612B7}"/>
    <cellStyle name="Currency 5 5 2 4 3 4" xfId="14344" xr:uid="{1D90EC4C-CD5C-47CF-A5AB-10AEFDAC3BC7}"/>
    <cellStyle name="Currency 5 5 2 4 4" xfId="18567" xr:uid="{C328EE57-5075-406D-BF33-E9D7895536C2}"/>
    <cellStyle name="Currency 5 5 2 4 5" xfId="27012" xr:uid="{A6F6CFCA-8B73-48B5-ABCF-38208FEED397}"/>
    <cellStyle name="Currency 5 5 2 4 6" xfId="10126" xr:uid="{952D8BA8-935A-4449-945A-4BD379DFCAFF}"/>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25343" xr:uid="{C9A9D86E-CBB2-4A96-BA6C-CC8235C40198}"/>
    <cellStyle name="Currency 5 5 2 5 2 2 3" xfId="33789" xr:uid="{B955CDDA-2104-4FFE-A811-DC00DA4912AF}"/>
    <cellStyle name="Currency 5 5 2 5 2 2 4" xfId="16902" xr:uid="{053AF97C-F40F-4001-84E9-A6F98D10B12C}"/>
    <cellStyle name="Currency 5 5 2 5 2 3" xfId="21125" xr:uid="{2363AE3A-CFC5-4FBD-B3EC-E5F6DCDB4F27}"/>
    <cellStyle name="Currency 5 5 2 5 2 4" xfId="29572" xr:uid="{986F2CCC-0E0F-4D23-A868-D1E03CC9AF56}"/>
    <cellStyle name="Currency 5 5 2 5 2 5" xfId="12684" xr:uid="{382D2A8D-84FF-4771-96A5-C18DA6FAE0AD}"/>
    <cellStyle name="Currency 5 5 2 5 3" xfId="6315" xr:uid="{00000000-0005-0000-0000-00004D0D0000}"/>
    <cellStyle name="Currency 5 5 2 5 3 2" xfId="23198" xr:uid="{D68FA705-5F7B-4E20-AF03-5D37344284F1}"/>
    <cellStyle name="Currency 5 5 2 5 3 3" xfId="31644" xr:uid="{A35A8413-3A93-4DDA-9C0C-B5D60C6F814F}"/>
    <cellStyle name="Currency 5 5 2 5 3 4" xfId="14757" xr:uid="{A49CB0C7-A72B-4871-96D8-77F441D34AF2}"/>
    <cellStyle name="Currency 5 5 2 5 4" xfId="18980" xr:uid="{485E218B-7351-452E-9632-B7988EACB8A5}"/>
    <cellStyle name="Currency 5 5 2 5 5" xfId="27425" xr:uid="{FB186364-DF4E-46AA-A7CC-A157F2002A6A}"/>
    <cellStyle name="Currency 5 5 2 5 6" xfId="10539" xr:uid="{2260C6EB-15B4-41D7-B233-2DF755FADC37}"/>
    <cellStyle name="Currency 5 5 2 6" xfId="2443" xr:uid="{00000000-0005-0000-0000-00004E0D0000}"/>
    <cellStyle name="Currency 5 5 2 6 2" xfId="6728" xr:uid="{00000000-0005-0000-0000-00004F0D0000}"/>
    <cellStyle name="Currency 5 5 2 6 2 2" xfId="23611" xr:uid="{63D4FED3-B2F1-4829-ADD3-7703866A39A5}"/>
    <cellStyle name="Currency 5 5 2 6 2 3" xfId="32057" xr:uid="{DEED5588-6CD8-4704-BD4A-7D0B3022AB14}"/>
    <cellStyle name="Currency 5 5 2 6 2 4" xfId="15170" xr:uid="{87564A0B-D4BC-4C94-AD1D-ED55BABAB5EE}"/>
    <cellStyle name="Currency 5 5 2 6 3" xfId="19393" xr:uid="{587650C3-8210-4F15-A9A8-E92B183F17A2}"/>
    <cellStyle name="Currency 5 5 2 6 4" xfId="27838" xr:uid="{A271E7F1-F197-47DD-B7E4-33C856FBE252}"/>
    <cellStyle name="Currency 5 5 2 6 5" xfId="10952" xr:uid="{64284A6A-39C4-4211-8D78-F2B01A46912B}"/>
    <cellStyle name="Currency 5 5 2 7" xfId="2740" xr:uid="{00000000-0005-0000-0000-0000500D0000}"/>
    <cellStyle name="Currency 5 5 2 8" xfId="2821" xr:uid="{00000000-0005-0000-0000-0000510D0000}"/>
    <cellStyle name="Currency 5 5 2 8 2" xfId="7045" xr:uid="{00000000-0005-0000-0000-0000520D0000}"/>
    <cellStyle name="Currency 5 5 2 8 2 2" xfId="23928" xr:uid="{E8270188-258C-4B24-8E63-8EAFA7799B41}"/>
    <cellStyle name="Currency 5 5 2 8 2 3" xfId="32374" xr:uid="{2A78DAC8-B275-4B19-93CC-5DEBE1AECF6D}"/>
    <cellStyle name="Currency 5 5 2 8 2 4" xfId="15487" xr:uid="{0FD2E285-B992-40C2-9952-D4461B8FA73F}"/>
    <cellStyle name="Currency 5 5 2 8 3" xfId="19710" xr:uid="{7608ADB5-35C0-4CD9-8850-2B0746A5E1AE}"/>
    <cellStyle name="Currency 5 5 2 8 4" xfId="28157" xr:uid="{AD513CEA-114F-463C-BC93-C376140C428F}"/>
    <cellStyle name="Currency 5 5 2 8 5" xfId="11269" xr:uid="{9C84752E-F780-4EF3-816A-8BDBD5F3BF51}"/>
    <cellStyle name="Currency 5 5 2 9" xfId="4662" xr:uid="{00000000-0005-0000-0000-0000530D0000}"/>
    <cellStyle name="Currency 5 5 2 9 2" xfId="21545" xr:uid="{D18C0EF3-BA8B-42FE-A572-0C19465D55EE}"/>
    <cellStyle name="Currency 5 5 2 9 3" xfId="29991" xr:uid="{76A3A021-D235-4EF4-8537-C19960BBA41D}"/>
    <cellStyle name="Currency 5 5 2 9 4" xfId="13104" xr:uid="{AA60D8E2-AC4A-4078-9E79-B8FFF5B57801}"/>
    <cellStyle name="Currency 5 5 3" xfId="745" xr:uid="{00000000-0005-0000-0000-0000540D0000}"/>
    <cellStyle name="Currency 5 5 3 2" xfId="2997" xr:uid="{00000000-0005-0000-0000-0000550D0000}"/>
    <cellStyle name="Currency 5 5 3 2 2" xfId="7220" xr:uid="{00000000-0005-0000-0000-0000560D0000}"/>
    <cellStyle name="Currency 5 5 3 2 2 2" xfId="24103" xr:uid="{DDA1FB70-C0F6-4FD9-968A-FB9B6F506491}"/>
    <cellStyle name="Currency 5 5 3 2 2 3" xfId="32549" xr:uid="{1152E994-7E5B-468E-AEFD-857E24B41B15}"/>
    <cellStyle name="Currency 5 5 3 2 2 4" xfId="15662" xr:uid="{44F36AFF-29CB-427C-92CC-EA70DF6209BE}"/>
    <cellStyle name="Currency 5 5 3 2 3" xfId="19885" xr:uid="{92D7FF60-7CD3-4A26-BEC7-3D6CD6F96BA3}"/>
    <cellStyle name="Currency 5 5 3 2 4" xfId="28332" xr:uid="{9643E993-1DA2-41E6-B696-D025EFE61E0A}"/>
    <cellStyle name="Currency 5 5 3 2 5" xfId="11444" xr:uid="{07A7E551-FACF-4920-B8C8-77AE7226CA11}"/>
    <cellStyle name="Currency 5 5 3 3" xfId="5075" xr:uid="{00000000-0005-0000-0000-0000570D0000}"/>
    <cellStyle name="Currency 5 5 3 3 2" xfId="21958" xr:uid="{83F08362-A03A-4847-8106-C2B0D03DC522}"/>
    <cellStyle name="Currency 5 5 3 3 3" xfId="30404" xr:uid="{E7C835D5-69F5-4699-81AA-78B416C8016D}"/>
    <cellStyle name="Currency 5 5 3 3 4" xfId="13517" xr:uid="{C762C185-4B08-42CB-A52C-C4E03BEF383C}"/>
    <cellStyle name="Currency 5 5 3 4" xfId="17740" xr:uid="{83AA87E2-34FB-43BD-89A7-8597D2ACA547}"/>
    <cellStyle name="Currency 5 5 3 5" xfId="26185" xr:uid="{296BEB1F-69AC-429B-81AE-68B0A86E145F}"/>
    <cellStyle name="Currency 5 5 3 6" xfId="9299" xr:uid="{FC394C70-B384-4B87-B7BE-B358723320DA}"/>
    <cellStyle name="Currency 5 5 4" xfId="1179" xr:uid="{00000000-0005-0000-0000-0000580D0000}"/>
    <cellStyle name="Currency 5 5 4 2" xfId="3410" xr:uid="{00000000-0005-0000-0000-0000590D0000}"/>
    <cellStyle name="Currency 5 5 4 2 2" xfId="7633" xr:uid="{00000000-0005-0000-0000-00005A0D0000}"/>
    <cellStyle name="Currency 5 5 4 2 2 2" xfId="24516" xr:uid="{BC2C74D0-DEB4-4246-84CC-58BFD486D376}"/>
    <cellStyle name="Currency 5 5 4 2 2 3" xfId="32962" xr:uid="{85F11720-2378-4E9F-9426-695391E39D1D}"/>
    <cellStyle name="Currency 5 5 4 2 2 4" xfId="16075" xr:uid="{36765AE7-4A4F-40AF-8124-EB6F7C7E97AB}"/>
    <cellStyle name="Currency 5 5 4 2 3" xfId="20298" xr:uid="{991A662A-9D6A-46C1-B72B-0ED5C712899A}"/>
    <cellStyle name="Currency 5 5 4 2 4" xfId="28745" xr:uid="{20946B36-A004-4266-81E7-CE0715F237C9}"/>
    <cellStyle name="Currency 5 5 4 2 5" xfId="11857" xr:uid="{D21C46E7-F724-4DE5-BE6E-EB5407F13BF1}"/>
    <cellStyle name="Currency 5 5 4 3" xfId="5488" xr:uid="{00000000-0005-0000-0000-00005B0D0000}"/>
    <cellStyle name="Currency 5 5 4 3 2" xfId="22371" xr:uid="{040C49E1-C426-44FA-A7A3-5579986366BE}"/>
    <cellStyle name="Currency 5 5 4 3 3" xfId="30817" xr:uid="{CDA747AE-C2DC-47D2-B24F-81B845B0E633}"/>
    <cellStyle name="Currency 5 5 4 3 4" xfId="13930" xr:uid="{F59A3D02-4365-4017-976B-355C59A77C28}"/>
    <cellStyle name="Currency 5 5 4 4" xfId="18153" xr:uid="{5340F342-379F-4221-AFB2-E87990C76178}"/>
    <cellStyle name="Currency 5 5 4 5" xfId="26598" xr:uid="{FD70AFCA-A47A-4923-86C7-CDC2AA33FEFB}"/>
    <cellStyle name="Currency 5 5 4 6" xfId="9712" xr:uid="{264D4C46-283E-4719-B442-B8AC1A498CD8}"/>
    <cellStyle name="Currency 5 5 5" xfId="1593" xr:uid="{00000000-0005-0000-0000-00005C0D0000}"/>
    <cellStyle name="Currency 5 5 5 2" xfId="3823" xr:uid="{00000000-0005-0000-0000-00005D0D0000}"/>
    <cellStyle name="Currency 5 5 5 2 2" xfId="8046" xr:uid="{00000000-0005-0000-0000-00005E0D0000}"/>
    <cellStyle name="Currency 5 5 5 2 2 2" xfId="24929" xr:uid="{AEE0AF6E-D63E-459E-899D-4951A66FE7AF}"/>
    <cellStyle name="Currency 5 5 5 2 2 3" xfId="33375" xr:uid="{1A03474A-CF03-4DC1-8CFC-BF3A16FDA157}"/>
    <cellStyle name="Currency 5 5 5 2 2 4" xfId="16488" xr:uid="{6EC3E2C9-DDF1-4540-9B4A-705C97BC4C1C}"/>
    <cellStyle name="Currency 5 5 5 2 3" xfId="20711" xr:uid="{7168C94A-2EB0-4319-ADC7-950444986D8A}"/>
    <cellStyle name="Currency 5 5 5 2 4" xfId="29158" xr:uid="{F2CA74F0-0EBB-4B26-AF81-9CF67B60A1B0}"/>
    <cellStyle name="Currency 5 5 5 2 5" xfId="12270" xr:uid="{4F80829A-167A-4074-97C8-88C18345695F}"/>
    <cellStyle name="Currency 5 5 5 3" xfId="5901" xr:uid="{00000000-0005-0000-0000-00005F0D0000}"/>
    <cellStyle name="Currency 5 5 5 3 2" xfId="22784" xr:uid="{F647F1C2-FBBD-4C06-A164-F21663D9FF47}"/>
    <cellStyle name="Currency 5 5 5 3 3" xfId="31230" xr:uid="{30652894-6C73-4B89-8271-93A25B01C282}"/>
    <cellStyle name="Currency 5 5 5 3 4" xfId="14343" xr:uid="{DAE69A3F-53BE-4EDF-A190-28D38EFCF719}"/>
    <cellStyle name="Currency 5 5 5 4" xfId="18566" xr:uid="{A85158E7-6523-4BB0-B286-036AF81F7461}"/>
    <cellStyle name="Currency 5 5 5 5" xfId="27011" xr:uid="{23169154-FDDD-4C6C-9CDA-ACEA69E74E56}"/>
    <cellStyle name="Currency 5 5 5 6" xfId="10125" xr:uid="{75A952A8-9567-49D1-80B2-C1C9667AA6A8}"/>
    <cellStyle name="Currency 5 5 6" xfId="2007" xr:uid="{00000000-0005-0000-0000-0000600D0000}"/>
    <cellStyle name="Currency 5 5 6 2" xfId="4236" xr:uid="{00000000-0005-0000-0000-0000610D0000}"/>
    <cellStyle name="Currency 5 5 6 2 2" xfId="8459" xr:uid="{00000000-0005-0000-0000-0000620D0000}"/>
    <cellStyle name="Currency 5 5 6 2 2 2" xfId="25342" xr:uid="{44B6E3EF-16CE-475B-BCB0-80051C189329}"/>
    <cellStyle name="Currency 5 5 6 2 2 3" xfId="33788" xr:uid="{EA98536E-9D0A-4BB2-A6BB-8A97335B67BA}"/>
    <cellStyle name="Currency 5 5 6 2 2 4" xfId="16901" xr:uid="{4ACE4DBE-9710-4A36-8F86-37D12BB7C7A7}"/>
    <cellStyle name="Currency 5 5 6 2 3" xfId="21124" xr:uid="{BB267908-4080-4779-9AF8-89271041AB6D}"/>
    <cellStyle name="Currency 5 5 6 2 4" xfId="29571" xr:uid="{8F656108-8AA3-4D16-AB18-1A944691C324}"/>
    <cellStyle name="Currency 5 5 6 2 5" xfId="12683" xr:uid="{E1B120EA-AC76-4738-909B-1FCEE46616EF}"/>
    <cellStyle name="Currency 5 5 6 3" xfId="6314" xr:uid="{00000000-0005-0000-0000-0000630D0000}"/>
    <cellStyle name="Currency 5 5 6 3 2" xfId="23197" xr:uid="{91F38FEB-01EB-4523-94C5-9B1E7089FA71}"/>
    <cellStyle name="Currency 5 5 6 3 3" xfId="31643" xr:uid="{2B37CA7B-0CC9-4149-9770-DC0D1676E23B}"/>
    <cellStyle name="Currency 5 5 6 3 4" xfId="14756" xr:uid="{9821D4D7-723C-4ABD-8682-2401A77B1A62}"/>
    <cellStyle name="Currency 5 5 6 4" xfId="18979" xr:uid="{F76309A1-2777-4A97-93F1-81655DD5FCA7}"/>
    <cellStyle name="Currency 5 5 6 5" xfId="27424" xr:uid="{ADDC76CD-B886-487C-BEED-439DAAD647F7}"/>
    <cellStyle name="Currency 5 5 6 6" xfId="10538" xr:uid="{28A2864B-DA07-482F-BD02-AB9CE0A4696D}"/>
    <cellStyle name="Currency 5 5 7" xfId="2442" xr:uid="{00000000-0005-0000-0000-0000640D0000}"/>
    <cellStyle name="Currency 5 5 7 2" xfId="6727" xr:uid="{00000000-0005-0000-0000-0000650D0000}"/>
    <cellStyle name="Currency 5 5 7 2 2" xfId="23610" xr:uid="{74B5CFBE-192F-428A-879B-EB056654093E}"/>
    <cellStyle name="Currency 5 5 7 2 3" xfId="32056" xr:uid="{1CCCF4E8-677F-4B97-AAFB-3C0C7EA16039}"/>
    <cellStyle name="Currency 5 5 7 2 4" xfId="15169" xr:uid="{ABE5805D-38A7-4911-AE2F-9228B50ADAAE}"/>
    <cellStyle name="Currency 5 5 7 3" xfId="19392" xr:uid="{AFF44CA9-51E1-4EDA-9C2A-378A303A4640}"/>
    <cellStyle name="Currency 5 5 7 4" xfId="27837" xr:uid="{8912765D-DDAB-4C1F-BD6B-7DD4E889AA60}"/>
    <cellStyle name="Currency 5 5 7 5" xfId="10951" xr:uid="{183A402F-DAE3-45C4-A38F-E38728E36EE1}"/>
    <cellStyle name="Currency 5 5 8" xfId="2739" xr:uid="{00000000-0005-0000-0000-0000660D0000}"/>
    <cellStyle name="Currency 5 5 9" xfId="2820" xr:uid="{00000000-0005-0000-0000-0000670D0000}"/>
    <cellStyle name="Currency 5 5 9 2" xfId="7044" xr:uid="{00000000-0005-0000-0000-0000680D0000}"/>
    <cellStyle name="Currency 5 5 9 2 2" xfId="23927" xr:uid="{BCA88E28-DB6C-4113-B07D-379FC81EA025}"/>
    <cellStyle name="Currency 5 5 9 2 3" xfId="32373" xr:uid="{2E5AF57B-6D75-40E0-B5E4-D1F0405360AE}"/>
    <cellStyle name="Currency 5 5 9 2 4" xfId="15486" xr:uid="{9D876475-78F8-41AE-9A72-84A0E0E87CF1}"/>
    <cellStyle name="Currency 5 5 9 3" xfId="19709" xr:uid="{0BD30B2B-001E-41CE-B563-56710A5E74C6}"/>
    <cellStyle name="Currency 5 5 9 4" xfId="28156" xr:uid="{8BC4A3F5-0B84-4238-81A3-5F0D41306EC3}"/>
    <cellStyle name="Currency 5 5 9 5" xfId="11268" xr:uid="{74C2476C-83F7-4E30-B39E-AA9D8668335A}"/>
    <cellStyle name="Currency 5 6" xfId="221" xr:uid="{00000000-0005-0000-0000-0000690D0000}"/>
    <cellStyle name="Currency 5 6 10" xfId="17328" xr:uid="{C00DE50A-F4F7-4288-8056-BFF5C8DC5545}"/>
    <cellStyle name="Currency 5 6 11" xfId="25771" xr:uid="{105859B7-49C6-4672-BDB3-1BE41225142C}"/>
    <cellStyle name="Currency 5 6 12" xfId="8887" xr:uid="{B4CC15C1-06EE-4CAC-851C-B443E80CD06F}"/>
    <cellStyle name="Currency 5 6 2" xfId="747" xr:uid="{00000000-0005-0000-0000-00006A0D0000}"/>
    <cellStyle name="Currency 5 6 2 2" xfId="2999" xr:uid="{00000000-0005-0000-0000-00006B0D0000}"/>
    <cellStyle name="Currency 5 6 2 2 2" xfId="7222" xr:uid="{00000000-0005-0000-0000-00006C0D0000}"/>
    <cellStyle name="Currency 5 6 2 2 2 2" xfId="24105" xr:uid="{12611FE5-C859-4849-92B4-F255928661C4}"/>
    <cellStyle name="Currency 5 6 2 2 2 3" xfId="32551" xr:uid="{67171341-4B57-4588-92EC-8781F3676A35}"/>
    <cellStyle name="Currency 5 6 2 2 2 4" xfId="15664" xr:uid="{1756D5F6-6043-480E-A14B-FE3899768FEA}"/>
    <cellStyle name="Currency 5 6 2 2 3" xfId="19887" xr:uid="{F37A2776-0AAB-4238-9C94-C97EDC3B4FAB}"/>
    <cellStyle name="Currency 5 6 2 2 4" xfId="28334" xr:uid="{CDB4F168-FE74-422D-A6AC-FABEC1115CCC}"/>
    <cellStyle name="Currency 5 6 2 2 5" xfId="11446" xr:uid="{07AB56E0-319A-4CCD-82D9-24C3EC92ACDC}"/>
    <cellStyle name="Currency 5 6 2 3" xfId="5077" xr:uid="{00000000-0005-0000-0000-00006D0D0000}"/>
    <cellStyle name="Currency 5 6 2 3 2" xfId="21960" xr:uid="{A1F55FF8-4F0C-4663-9E46-77FA4E7BE2D7}"/>
    <cellStyle name="Currency 5 6 2 3 3" xfId="30406" xr:uid="{F1302A5C-2FB7-41AC-8801-E0193EFA22B4}"/>
    <cellStyle name="Currency 5 6 2 3 4" xfId="13519" xr:uid="{9F944D1C-A416-4AAA-A514-BABC94FC748A}"/>
    <cellStyle name="Currency 5 6 2 4" xfId="17742" xr:uid="{70FB1F75-813A-4A15-97B7-635058923512}"/>
    <cellStyle name="Currency 5 6 2 5" xfId="26187" xr:uid="{378BD07D-A299-4B81-AA68-5E168BE461A8}"/>
    <cellStyle name="Currency 5 6 2 6" xfId="9301" xr:uid="{4FF8AEB3-88CD-4250-96B5-0A6384FC56A4}"/>
    <cellStyle name="Currency 5 6 3" xfId="1181" xr:uid="{00000000-0005-0000-0000-00006E0D0000}"/>
    <cellStyle name="Currency 5 6 3 2" xfId="3412" xr:uid="{00000000-0005-0000-0000-00006F0D0000}"/>
    <cellStyle name="Currency 5 6 3 2 2" xfId="7635" xr:uid="{00000000-0005-0000-0000-0000700D0000}"/>
    <cellStyle name="Currency 5 6 3 2 2 2" xfId="24518" xr:uid="{1BA0366F-6CA2-4895-BCFC-59A9B8555EB8}"/>
    <cellStyle name="Currency 5 6 3 2 2 3" xfId="32964" xr:uid="{19BCB1B4-0230-4F83-8E8C-C1F7BB840A5D}"/>
    <cellStyle name="Currency 5 6 3 2 2 4" xfId="16077" xr:uid="{ED29FDFA-1695-4C00-A6AD-462DD690C6FC}"/>
    <cellStyle name="Currency 5 6 3 2 3" xfId="20300" xr:uid="{75CC66E4-BDED-40FE-9E74-AFA3C95D9890}"/>
    <cellStyle name="Currency 5 6 3 2 4" xfId="28747" xr:uid="{EA046E72-A8BD-4055-A046-704A0C285296}"/>
    <cellStyle name="Currency 5 6 3 2 5" xfId="11859" xr:uid="{1964E2CD-FF3D-45B7-9C39-7ECF96831EFA}"/>
    <cellStyle name="Currency 5 6 3 3" xfId="5490" xr:uid="{00000000-0005-0000-0000-0000710D0000}"/>
    <cellStyle name="Currency 5 6 3 3 2" xfId="22373" xr:uid="{FE1ACD14-88A3-4DE4-86DB-951B7A6F3B28}"/>
    <cellStyle name="Currency 5 6 3 3 3" xfId="30819" xr:uid="{8E6F6958-7C2C-4CBE-8068-65FE26233970}"/>
    <cellStyle name="Currency 5 6 3 3 4" xfId="13932" xr:uid="{926A53BB-E0C0-4E60-A913-74456C13E07B}"/>
    <cellStyle name="Currency 5 6 3 4" xfId="18155" xr:uid="{FA600505-2201-4C92-A8A4-C2B2E56EBF9B}"/>
    <cellStyle name="Currency 5 6 3 5" xfId="26600" xr:uid="{58525D1D-4812-4FD6-B8E9-A0CE87E19289}"/>
    <cellStyle name="Currency 5 6 3 6" xfId="9714" xr:uid="{6CCEF443-39DC-4AF8-BF17-FE584EB530A4}"/>
    <cellStyle name="Currency 5 6 4" xfId="1595" xr:uid="{00000000-0005-0000-0000-0000720D0000}"/>
    <cellStyle name="Currency 5 6 4 2" xfId="3825" xr:uid="{00000000-0005-0000-0000-0000730D0000}"/>
    <cellStyle name="Currency 5 6 4 2 2" xfId="8048" xr:uid="{00000000-0005-0000-0000-0000740D0000}"/>
    <cellStyle name="Currency 5 6 4 2 2 2" xfId="24931" xr:uid="{C28745A9-868E-4E59-960A-BE4175B52552}"/>
    <cellStyle name="Currency 5 6 4 2 2 3" xfId="33377" xr:uid="{AB51110D-4B23-40EE-BC3F-A11F6B7E4E79}"/>
    <cellStyle name="Currency 5 6 4 2 2 4" xfId="16490" xr:uid="{E5496FE8-0E1A-446D-BC7F-ACEBF0F8AFA3}"/>
    <cellStyle name="Currency 5 6 4 2 3" xfId="20713" xr:uid="{EE56C4D0-5654-4242-8CC0-244AEB65CC72}"/>
    <cellStyle name="Currency 5 6 4 2 4" xfId="29160" xr:uid="{0B2E3BB2-09F6-43D2-8891-AD6DD9CCDF4F}"/>
    <cellStyle name="Currency 5 6 4 2 5" xfId="12272" xr:uid="{24A0025F-5E1A-4FCE-A589-B1AD729437D6}"/>
    <cellStyle name="Currency 5 6 4 3" xfId="5903" xr:uid="{00000000-0005-0000-0000-0000750D0000}"/>
    <cellStyle name="Currency 5 6 4 3 2" xfId="22786" xr:uid="{1E898D03-0B13-4F7F-A662-286B186098DB}"/>
    <cellStyle name="Currency 5 6 4 3 3" xfId="31232" xr:uid="{942AF6E8-1115-4552-BED7-9DE9806A4FC1}"/>
    <cellStyle name="Currency 5 6 4 3 4" xfId="14345" xr:uid="{47CB3785-F3A0-4686-8034-DC94B545E37F}"/>
    <cellStyle name="Currency 5 6 4 4" xfId="18568" xr:uid="{C67A36B8-ACFC-465D-A4CD-96B8273848A0}"/>
    <cellStyle name="Currency 5 6 4 5" xfId="27013" xr:uid="{3AD430A4-474D-4487-B496-EF6BEE514D21}"/>
    <cellStyle name="Currency 5 6 4 6" xfId="10127" xr:uid="{D81CE24D-B03E-4EEF-BA47-0D5405ED36B7}"/>
    <cellStyle name="Currency 5 6 5" xfId="2009" xr:uid="{00000000-0005-0000-0000-0000760D0000}"/>
    <cellStyle name="Currency 5 6 5 2" xfId="4238" xr:uid="{00000000-0005-0000-0000-0000770D0000}"/>
    <cellStyle name="Currency 5 6 5 2 2" xfId="8461" xr:uid="{00000000-0005-0000-0000-0000780D0000}"/>
    <cellStyle name="Currency 5 6 5 2 2 2" xfId="25344" xr:uid="{618874FD-AA5B-44E9-9545-2E66353039F8}"/>
    <cellStyle name="Currency 5 6 5 2 2 3" xfId="33790" xr:uid="{2E787247-47DF-4272-8FDC-AA579D6A7F2F}"/>
    <cellStyle name="Currency 5 6 5 2 2 4" xfId="16903" xr:uid="{40196A0C-72C5-44F9-BF8B-66F0043AE968}"/>
    <cellStyle name="Currency 5 6 5 2 3" xfId="21126" xr:uid="{578DF01E-9972-4487-B5F8-31DF587803C6}"/>
    <cellStyle name="Currency 5 6 5 2 4" xfId="29573" xr:uid="{7E540582-8D67-4DC3-812F-49FDD7EDEE29}"/>
    <cellStyle name="Currency 5 6 5 2 5" xfId="12685" xr:uid="{18A2764B-2A3B-4C80-A08D-D1BD92345B82}"/>
    <cellStyle name="Currency 5 6 5 3" xfId="6316" xr:uid="{00000000-0005-0000-0000-0000790D0000}"/>
    <cellStyle name="Currency 5 6 5 3 2" xfId="23199" xr:uid="{EBB64466-C0E4-4233-9FA7-8B2D10C9C1DD}"/>
    <cellStyle name="Currency 5 6 5 3 3" xfId="31645" xr:uid="{2ABE4366-4402-4D07-9337-9D24AA37F772}"/>
    <cellStyle name="Currency 5 6 5 3 4" xfId="14758" xr:uid="{9286A643-2F40-47D1-94A8-34C70AEB3DBB}"/>
    <cellStyle name="Currency 5 6 5 4" xfId="18981" xr:uid="{A4DA1FE1-D3B6-4080-AF0F-1484D76040B2}"/>
    <cellStyle name="Currency 5 6 5 5" xfId="27426" xr:uid="{602374E0-7F98-49A9-B9B7-5B857C8D1E9F}"/>
    <cellStyle name="Currency 5 6 5 6" xfId="10540" xr:uid="{1F6FF4AF-8E69-4578-9819-965C9F9AE4E8}"/>
    <cellStyle name="Currency 5 6 6" xfId="2444" xr:uid="{00000000-0005-0000-0000-00007A0D0000}"/>
    <cellStyle name="Currency 5 6 6 2" xfId="6729" xr:uid="{00000000-0005-0000-0000-00007B0D0000}"/>
    <cellStyle name="Currency 5 6 6 2 2" xfId="23612" xr:uid="{A7460638-41AD-424A-999C-60FC9E2CAC90}"/>
    <cellStyle name="Currency 5 6 6 2 3" xfId="32058" xr:uid="{1AD48404-DCA4-4EE5-AEF6-1BEF410925A6}"/>
    <cellStyle name="Currency 5 6 6 2 4" xfId="15171" xr:uid="{CD4294EF-C2C0-4B89-884E-D6D1F63A36D2}"/>
    <cellStyle name="Currency 5 6 6 3" xfId="19394" xr:uid="{B0AA7F48-5095-4194-B6BA-4F785A6A2E18}"/>
    <cellStyle name="Currency 5 6 6 4" xfId="27839" xr:uid="{D311D827-7763-459A-BE7E-9150B9BB5912}"/>
    <cellStyle name="Currency 5 6 6 5" xfId="10953" xr:uid="{96C1A2CB-3E03-4AD8-B870-D09E0085155A}"/>
    <cellStyle name="Currency 5 6 7" xfId="2741" xr:uid="{00000000-0005-0000-0000-00007C0D0000}"/>
    <cellStyle name="Currency 5 6 8" xfId="2822" xr:uid="{00000000-0005-0000-0000-00007D0D0000}"/>
    <cellStyle name="Currency 5 6 8 2" xfId="7046" xr:uid="{00000000-0005-0000-0000-00007E0D0000}"/>
    <cellStyle name="Currency 5 6 8 2 2" xfId="23929" xr:uid="{7D0F6F05-73E4-4EFE-9460-93D28029B010}"/>
    <cellStyle name="Currency 5 6 8 2 3" xfId="32375" xr:uid="{04BA2C03-A9DE-446D-B6E3-A8D6560B1D45}"/>
    <cellStyle name="Currency 5 6 8 2 4" xfId="15488" xr:uid="{72D215D4-D8EC-4025-BE8E-7ADC5EA2EB24}"/>
    <cellStyle name="Currency 5 6 8 3" xfId="19711" xr:uid="{7F47E4F7-CE4A-4D91-B37A-22A3B5EAEF2B}"/>
    <cellStyle name="Currency 5 6 8 4" xfId="28158" xr:uid="{91F2C10F-0258-4900-BF75-A618B16190AA}"/>
    <cellStyle name="Currency 5 6 8 5" xfId="11270" xr:uid="{3BA89EAD-0BCB-4A56-BF9E-D65897E1088E}"/>
    <cellStyle name="Currency 5 6 9" xfId="4663" xr:uid="{00000000-0005-0000-0000-00007F0D0000}"/>
    <cellStyle name="Currency 5 6 9 2" xfId="21546" xr:uid="{042541D9-B74C-464F-AF3E-AAE114AB7CED}"/>
    <cellStyle name="Currency 5 6 9 3" xfId="29992" xr:uid="{D61AF770-BA4D-4CA7-8B48-4691E18C8675}"/>
    <cellStyle name="Currency 5 6 9 4" xfId="13105" xr:uid="{09FF419D-C719-4F7B-9715-C57A08F24A35}"/>
    <cellStyle name="Currency 5 7" xfId="222" xr:uid="{00000000-0005-0000-0000-0000800D0000}"/>
    <cellStyle name="Currency 5 7 10" xfId="17329" xr:uid="{FACE64BC-73FB-4FE7-8D89-9C25AE531F39}"/>
    <cellStyle name="Currency 5 7 11" xfId="25772" xr:uid="{53567F14-6B1A-48AB-9607-A1DC6679C861}"/>
    <cellStyle name="Currency 5 7 12" xfId="8888" xr:uid="{E3C22FA2-FD2A-41AA-A80B-509AB6E99DD4}"/>
    <cellStyle name="Currency 5 7 2" xfId="748" xr:uid="{00000000-0005-0000-0000-0000810D0000}"/>
    <cellStyle name="Currency 5 7 2 2" xfId="3000" xr:uid="{00000000-0005-0000-0000-0000820D0000}"/>
    <cellStyle name="Currency 5 7 2 2 2" xfId="7223" xr:uid="{00000000-0005-0000-0000-0000830D0000}"/>
    <cellStyle name="Currency 5 7 2 2 2 2" xfId="24106" xr:uid="{0DB9F197-7DDB-4464-AE3E-758746B1B436}"/>
    <cellStyle name="Currency 5 7 2 2 2 3" xfId="32552" xr:uid="{EB4F72DB-78E7-4079-9C2E-A5CE2CEECDFC}"/>
    <cellStyle name="Currency 5 7 2 2 2 4" xfId="15665" xr:uid="{B3CB990E-59D4-4D8C-913E-464BB18F5BEE}"/>
    <cellStyle name="Currency 5 7 2 2 3" xfId="19888" xr:uid="{82573732-1E7A-48F1-BAE1-05FF28C96CA3}"/>
    <cellStyle name="Currency 5 7 2 2 4" xfId="28335" xr:uid="{5E8A94B7-C931-4ACC-9131-835188D1075C}"/>
    <cellStyle name="Currency 5 7 2 2 5" xfId="11447" xr:uid="{81C5E346-F656-4C0A-87CC-C42FDFC309AC}"/>
    <cellStyle name="Currency 5 7 2 3" xfId="5078" xr:uid="{00000000-0005-0000-0000-0000840D0000}"/>
    <cellStyle name="Currency 5 7 2 3 2" xfId="21961" xr:uid="{9B5F3004-415D-4DCB-ABF6-6076AB3D7DB1}"/>
    <cellStyle name="Currency 5 7 2 3 3" xfId="30407" xr:uid="{22E3190B-8FB3-4016-BB7E-E5D6A6B84343}"/>
    <cellStyle name="Currency 5 7 2 3 4" xfId="13520" xr:uid="{91B25F67-DDD2-4D96-9C8E-96404EE934DD}"/>
    <cellStyle name="Currency 5 7 2 4" xfId="17743" xr:uid="{C8F1AF2B-417A-43E5-99CC-746D6D7A7E4F}"/>
    <cellStyle name="Currency 5 7 2 5" xfId="26188" xr:uid="{8C9A5ECE-51D1-48DB-8D9A-B99A573B7AD2}"/>
    <cellStyle name="Currency 5 7 2 6" xfId="9302" xr:uid="{CE646C3A-AFE3-4AED-B226-87BFE12BBB99}"/>
    <cellStyle name="Currency 5 7 3" xfId="1182" xr:uid="{00000000-0005-0000-0000-0000850D0000}"/>
    <cellStyle name="Currency 5 7 3 2" xfId="3413" xr:uid="{00000000-0005-0000-0000-0000860D0000}"/>
    <cellStyle name="Currency 5 7 3 2 2" xfId="7636" xr:uid="{00000000-0005-0000-0000-0000870D0000}"/>
    <cellStyle name="Currency 5 7 3 2 2 2" xfId="24519" xr:uid="{494ADAD3-46FD-4DCA-9F6D-3BD4AEA68030}"/>
    <cellStyle name="Currency 5 7 3 2 2 3" xfId="32965" xr:uid="{F617D4FC-680B-475F-9AB5-480A68B7A612}"/>
    <cellStyle name="Currency 5 7 3 2 2 4" xfId="16078" xr:uid="{9ED11494-7060-4780-A437-F02FDE33F563}"/>
    <cellStyle name="Currency 5 7 3 2 3" xfId="20301" xr:uid="{D0DF14BD-B1F7-48B3-98C6-C48DEF9EF669}"/>
    <cellStyle name="Currency 5 7 3 2 4" xfId="28748" xr:uid="{787C246C-63CE-4426-8D29-1B5533ACAA57}"/>
    <cellStyle name="Currency 5 7 3 2 5" xfId="11860" xr:uid="{8B539B6A-5188-4101-A56F-2D64E92127D5}"/>
    <cellStyle name="Currency 5 7 3 3" xfId="5491" xr:uid="{00000000-0005-0000-0000-0000880D0000}"/>
    <cellStyle name="Currency 5 7 3 3 2" xfId="22374" xr:uid="{E365F563-4A7F-4A05-B735-237685206386}"/>
    <cellStyle name="Currency 5 7 3 3 3" xfId="30820" xr:uid="{DDFFAE14-4650-45F5-B2B7-C421C1370E44}"/>
    <cellStyle name="Currency 5 7 3 3 4" xfId="13933" xr:uid="{0E164991-BF71-4EF1-B224-CFBA19CE8C53}"/>
    <cellStyle name="Currency 5 7 3 4" xfId="18156" xr:uid="{560FC776-E545-45A0-BD99-B95FA8E74282}"/>
    <cellStyle name="Currency 5 7 3 5" xfId="26601" xr:uid="{AFC82233-9445-45AA-B3D5-0DA9AD52C629}"/>
    <cellStyle name="Currency 5 7 3 6" xfId="9715" xr:uid="{DD3F1003-DA0F-4F7C-8E04-B12057E3AB04}"/>
    <cellStyle name="Currency 5 7 4" xfId="1596" xr:uid="{00000000-0005-0000-0000-0000890D0000}"/>
    <cellStyle name="Currency 5 7 4 2" xfId="3826" xr:uid="{00000000-0005-0000-0000-00008A0D0000}"/>
    <cellStyle name="Currency 5 7 4 2 2" xfId="8049" xr:uid="{00000000-0005-0000-0000-00008B0D0000}"/>
    <cellStyle name="Currency 5 7 4 2 2 2" xfId="24932" xr:uid="{E68D66EC-0633-4D5D-8B2E-81FA07BF647B}"/>
    <cellStyle name="Currency 5 7 4 2 2 3" xfId="33378" xr:uid="{B6B8B008-DAA6-45F5-930A-BEBF70CE07EE}"/>
    <cellStyle name="Currency 5 7 4 2 2 4" xfId="16491" xr:uid="{EFFEFD7B-1755-4C8A-9149-3DAD88A2BE35}"/>
    <cellStyle name="Currency 5 7 4 2 3" xfId="20714" xr:uid="{2CF803ED-5DAB-4075-B994-EBCBD4862818}"/>
    <cellStyle name="Currency 5 7 4 2 4" xfId="29161" xr:uid="{267222A4-C6A9-4D50-982F-C4D789503E7A}"/>
    <cellStyle name="Currency 5 7 4 2 5" xfId="12273" xr:uid="{D3657ED1-3801-4CB3-823A-99DFF3435842}"/>
    <cellStyle name="Currency 5 7 4 3" xfId="5904" xr:uid="{00000000-0005-0000-0000-00008C0D0000}"/>
    <cellStyle name="Currency 5 7 4 3 2" xfId="22787" xr:uid="{B08D2ABD-1BD3-41B7-B757-6C53D5DE9F89}"/>
    <cellStyle name="Currency 5 7 4 3 3" xfId="31233" xr:uid="{02345013-B90F-41B4-A52A-30B1E81F7F5A}"/>
    <cellStyle name="Currency 5 7 4 3 4" xfId="14346" xr:uid="{B6F6E96A-DF78-4466-8CF2-5771294A4FC1}"/>
    <cellStyle name="Currency 5 7 4 4" xfId="18569" xr:uid="{9216D012-A621-4EF6-8AEF-B4346D8B359C}"/>
    <cellStyle name="Currency 5 7 4 5" xfId="27014" xr:uid="{B18460F5-0D1A-4C9A-BEF6-1E902EBD0572}"/>
    <cellStyle name="Currency 5 7 4 6" xfId="10128" xr:uid="{7BA254F3-9405-4A77-8722-E7D0A4252797}"/>
    <cellStyle name="Currency 5 7 5" xfId="2010" xr:uid="{00000000-0005-0000-0000-00008D0D0000}"/>
    <cellStyle name="Currency 5 7 5 2" xfId="4239" xr:uid="{00000000-0005-0000-0000-00008E0D0000}"/>
    <cellStyle name="Currency 5 7 5 2 2" xfId="8462" xr:uid="{00000000-0005-0000-0000-00008F0D0000}"/>
    <cellStyle name="Currency 5 7 5 2 2 2" xfId="25345" xr:uid="{C5292DAE-C2B4-46C5-9E9C-A516C9972E55}"/>
    <cellStyle name="Currency 5 7 5 2 2 3" xfId="33791" xr:uid="{20592366-45DE-4822-9A3C-47B949AA7179}"/>
    <cellStyle name="Currency 5 7 5 2 2 4" xfId="16904" xr:uid="{7CD9BBEC-CE6D-40B2-B1F3-A8F82C8B8980}"/>
    <cellStyle name="Currency 5 7 5 2 3" xfId="21127" xr:uid="{624789BD-0FEE-4909-8F63-C39FF41C99DC}"/>
    <cellStyle name="Currency 5 7 5 2 4" xfId="29574" xr:uid="{A2A122CB-ADEB-4329-B646-715251E974C8}"/>
    <cellStyle name="Currency 5 7 5 2 5" xfId="12686" xr:uid="{04C1137D-75AC-4EDD-B719-437E8D96BEF5}"/>
    <cellStyle name="Currency 5 7 5 3" xfId="6317" xr:uid="{00000000-0005-0000-0000-0000900D0000}"/>
    <cellStyle name="Currency 5 7 5 3 2" xfId="23200" xr:uid="{FBE1E268-DFF4-4B98-9B76-2C8C29C5CF4C}"/>
    <cellStyle name="Currency 5 7 5 3 3" xfId="31646" xr:uid="{65449FF0-9817-4A2D-B3B8-703221795FCB}"/>
    <cellStyle name="Currency 5 7 5 3 4" xfId="14759" xr:uid="{C5589CBC-0144-4C29-8736-8D946C70FD84}"/>
    <cellStyle name="Currency 5 7 5 4" xfId="18982" xr:uid="{7AF4E95A-A9DA-49E8-B2BC-2123BC2B6077}"/>
    <cellStyle name="Currency 5 7 5 5" xfId="27427" xr:uid="{E8BDEA3D-68EC-4116-9AA7-D5D56F63A6F4}"/>
    <cellStyle name="Currency 5 7 5 6" xfId="10541" xr:uid="{7A06B3A7-A692-4E55-B20A-1664E6226E82}"/>
    <cellStyle name="Currency 5 7 6" xfId="2445" xr:uid="{00000000-0005-0000-0000-0000910D0000}"/>
    <cellStyle name="Currency 5 7 6 2" xfId="6730" xr:uid="{00000000-0005-0000-0000-0000920D0000}"/>
    <cellStyle name="Currency 5 7 6 2 2" xfId="23613" xr:uid="{9C91ED77-637E-4813-8B7F-FD1732B9AE7A}"/>
    <cellStyle name="Currency 5 7 6 2 3" xfId="32059" xr:uid="{CFC8CCD2-A8E4-46EC-BAEA-2B0DBC76434A}"/>
    <cellStyle name="Currency 5 7 6 2 4" xfId="15172" xr:uid="{BAA0A269-A916-41C1-BC38-CC81B0830210}"/>
    <cellStyle name="Currency 5 7 6 3" xfId="19395" xr:uid="{4A7FA5FA-EF5C-4BAB-9E52-1DD2BE03C19F}"/>
    <cellStyle name="Currency 5 7 6 4" xfId="27840" xr:uid="{31257D2E-D311-4775-8E4D-628126A6B938}"/>
    <cellStyle name="Currency 5 7 6 5" xfId="10954" xr:uid="{E3408E5F-F336-4884-8D77-B5B18D4D66BB}"/>
    <cellStyle name="Currency 5 7 7" xfId="2742" xr:uid="{00000000-0005-0000-0000-0000930D0000}"/>
    <cellStyle name="Currency 5 7 8" xfId="2823" xr:uid="{00000000-0005-0000-0000-0000940D0000}"/>
    <cellStyle name="Currency 5 7 8 2" xfId="7047" xr:uid="{00000000-0005-0000-0000-0000950D0000}"/>
    <cellStyle name="Currency 5 7 8 2 2" xfId="23930" xr:uid="{FC94100F-58D7-4E04-A296-1C7F6C8429D1}"/>
    <cellStyle name="Currency 5 7 8 2 3" xfId="32376" xr:uid="{50B7E5AF-2213-4785-8749-E729D8FF3C4B}"/>
    <cellStyle name="Currency 5 7 8 2 4" xfId="15489" xr:uid="{177C05C7-D058-44F0-8A0C-1E1812C39CBC}"/>
    <cellStyle name="Currency 5 7 8 3" xfId="19712" xr:uid="{FD3D37B1-F8E0-44ED-8B8C-6DBCF858BF36}"/>
    <cellStyle name="Currency 5 7 8 4" xfId="28159" xr:uid="{4539645B-71AE-46C0-8918-8C78F77969EB}"/>
    <cellStyle name="Currency 5 7 8 5" xfId="11271" xr:uid="{818C273C-95D2-4226-B894-50FC228DEAF6}"/>
    <cellStyle name="Currency 5 7 9" xfId="4664" xr:uid="{00000000-0005-0000-0000-0000960D0000}"/>
    <cellStyle name="Currency 5 7 9 2" xfId="21547" xr:uid="{405E5569-6CBD-4637-9124-7B29F0542108}"/>
    <cellStyle name="Currency 5 7 9 3" xfId="29993" xr:uid="{77FE45C4-EB93-4458-8FEC-CCA53A4DF4BF}"/>
    <cellStyle name="Currency 5 7 9 4" xfId="13106" xr:uid="{B7F89AD0-D457-4CAB-BE34-44C6DA78A1BD}"/>
    <cellStyle name="Currency 5 8" xfId="721" xr:uid="{00000000-0005-0000-0000-0000970D0000}"/>
    <cellStyle name="Currency 5 9" xfId="34152" xr:uid="{9E120786-9F20-4A9B-879B-B022A286F313}"/>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8 4" xfId="34220" xr:uid="{DD2AB793-0EAF-4180-876D-712BD578D7FB}"/>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nd of Section" xfId="34139" xr:uid="{1FBCD208-ED1A-4EBC-912B-BA8C13A4126A}"/>
    <cellStyle name="Explanatory Text" xfId="234" builtinId="53" customBuiltin="1"/>
    <cellStyle name="FAAST Uploads header" xfId="34089" xr:uid="{3B3425F4-5642-46A8-B547-AB5EAE373C62}"/>
    <cellStyle name="FAAST Uploads header 2" xfId="34179" xr:uid="{37A9E864-18BA-450D-9583-552E7D6A3BA2}"/>
    <cellStyle name="Good" xfId="235" builtinId="26" customBuiltin="1"/>
    <cellStyle name="Good 2" xfId="34116" xr:uid="{5878391A-D716-4188-AE7A-7EA26AEB8CCE}"/>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2 2 2" xfId="34213" xr:uid="{BE321770-26F4-444B-84E5-3501402BB217}"/>
    <cellStyle name="Heading 3" xfId="240" builtinId="18" customBuiltin="1"/>
    <cellStyle name="Heading 3 2" xfId="241" xr:uid="{00000000-0005-0000-0000-0000B40D0000}"/>
    <cellStyle name="Heading 4" xfId="242" builtinId="19" customBuiltin="1"/>
    <cellStyle name="Heading 4 2" xfId="243" xr:uid="{00000000-0005-0000-0000-0000B60D0000}"/>
    <cellStyle name="Heading 4 2 2" xfId="34153" xr:uid="{B2200032-9B63-4B42-BE15-214F4D6C307F}"/>
    <cellStyle name="Hyperlink" xfId="244" builtinId="8"/>
    <cellStyle name="Hyperlink 2" xfId="245" xr:uid="{00000000-0005-0000-0000-0000B80D0000}"/>
    <cellStyle name="Hyperlink 2 2" xfId="246" xr:uid="{00000000-0005-0000-0000-0000B90D0000}"/>
    <cellStyle name="Hyperlink 2 2 2" xfId="34174" xr:uid="{A926C964-5749-4506-A8B5-325D920CE5D2}"/>
    <cellStyle name="Hyperlink 2 3" xfId="34076" xr:uid="{FBBDAD74-0668-444F-89A3-16E136F6DED3}"/>
    <cellStyle name="Hyperlink 2 4" xfId="34113" xr:uid="{A7B260DF-493B-48DA-AA6D-801BCBF14EE8}"/>
    <cellStyle name="Hyperlink 2_Dropdowns" xfId="34079" xr:uid="{05CD6F84-1525-44D3-9A25-3021C802CED9}"/>
    <cellStyle name="Hyperlink 3" xfId="25773" xr:uid="{08CA6484-ED3D-40F9-8BBC-12155B8DF783}"/>
    <cellStyle name="Hyperlink 3 2" xfId="34143" xr:uid="{4FDA9EB1-82C5-4C9C-9396-569C037CAB95}"/>
    <cellStyle name="Hyperlink 3 3" xfId="34068" xr:uid="{9AB783E1-201E-450A-85C1-CE2EBD280171}"/>
    <cellStyle name="Hyperlink 3_Dropdowns" xfId="34117" xr:uid="{53B12D9F-771B-406A-98B2-11CB6242A1BB}"/>
    <cellStyle name="Hyperlink 4" xfId="34119" xr:uid="{77831ADF-9BD3-4596-99C9-E0E4DC49032E}"/>
    <cellStyle name="Hyperlink 4 2" xfId="34175" xr:uid="{EDFC145A-4F14-4D18-98DA-B4786F2909B2}"/>
    <cellStyle name="Hyperlink 4 3" xfId="34118" xr:uid="{0F3FCF53-EC63-4FD1-92F8-DA1AA7C509E3}"/>
    <cellStyle name="Hyperlink 4_Dropdowns" xfId="34190" xr:uid="{7766A73E-5F93-42CD-9E8C-C8BBB9BF7A0A}"/>
    <cellStyle name="Hyperlink 5" xfId="34170" xr:uid="{775FABB7-420F-4DBF-A577-9A2E7EB217B7}"/>
    <cellStyle name="Hyperlink 6" xfId="34075" xr:uid="{F857EBE3-4B63-41DE-92D8-710BDD8A29C3}"/>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eutral 2" xfId="34112" xr:uid="{27E64EB4-4B90-4B44-9948-8058648D5063}"/>
    <cellStyle name="Normal" xfId="0" builtinId="0"/>
    <cellStyle name="Normal 10" xfId="253" xr:uid="{00000000-0005-0000-0000-0000C10D0000}"/>
    <cellStyle name="Normal 10 2" xfId="254" xr:uid="{00000000-0005-0000-0000-0000C20D0000}"/>
    <cellStyle name="Normal 10 2 2" xfId="34207" xr:uid="{F88F0ABA-3C52-43E7-8F85-DAE1383F13B4}"/>
    <cellStyle name="Normal 10 3" xfId="255" xr:uid="{00000000-0005-0000-0000-0000C30D0000}"/>
    <cellStyle name="Normal 10 4" xfId="34092" xr:uid="{5FA47493-FE7B-493E-840C-9F5ACBF764A6}"/>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1 3 3" xfId="34104" xr:uid="{EA360899-3084-45FE-AB64-4DE1D593539A}"/>
    <cellStyle name="Normal 11 4" xfId="34109" xr:uid="{E0984E68-F4E6-47AF-99F7-A8F38D67AAE6}"/>
    <cellStyle name="Normal 11_Dropdowns" xfId="34178" xr:uid="{E52193FF-2FEB-4E4D-BB23-402DE1400768}"/>
    <cellStyle name="Normal 12" xfId="259" xr:uid="{00000000-0005-0000-0000-0000C90D0000}"/>
    <cellStyle name="Normal 12 10" xfId="2447" xr:uid="{00000000-0005-0000-0000-0000CA0D0000}"/>
    <cellStyle name="Normal 12 10 2" xfId="6731" xr:uid="{00000000-0005-0000-0000-0000CB0D0000}"/>
    <cellStyle name="Normal 12 10 2 2" xfId="23614" xr:uid="{3A19124E-6687-40F1-896E-6F2F2D3C20D4}"/>
    <cellStyle name="Normal 12 10 2 3" xfId="32060" xr:uid="{84A7A485-1FBF-4C7A-9075-0623D02D9712}"/>
    <cellStyle name="Normal 12 10 2 4" xfId="15173" xr:uid="{DA2CC77F-27BC-4B95-B37A-AC3EE6C169CD}"/>
    <cellStyle name="Normal 12 10 3" xfId="19396" xr:uid="{8D4A3F79-0496-4CB2-A7B3-CAE9182DA3DF}"/>
    <cellStyle name="Normal 12 10 4" xfId="27841" xr:uid="{67D73206-A153-4417-AA2C-5F8400206194}"/>
    <cellStyle name="Normal 12 10 5" xfId="10955" xr:uid="{A96115DB-CF7D-4938-9A34-62E0063C4FA1}"/>
    <cellStyle name="Normal 12 11" xfId="4665" xr:uid="{00000000-0005-0000-0000-0000CC0D0000}"/>
    <cellStyle name="Normal 12 11 2" xfId="21548" xr:uid="{BEFC0663-E9B1-4C9E-AE1E-BC88A9BD125F}"/>
    <cellStyle name="Normal 12 11 3" xfId="29994" xr:uid="{38337D88-A2A9-4F5A-AACF-9FD0447B174C}"/>
    <cellStyle name="Normal 12 11 4" xfId="13107" xr:uid="{D24B0F7A-CA4C-4C48-95C1-90FFB8BEF8C7}"/>
    <cellStyle name="Normal 12 12" xfId="17330" xr:uid="{715A8B4F-78F0-4DF7-8878-BB00D0C914CF}"/>
    <cellStyle name="Normal 12 13" xfId="25774" xr:uid="{2DACB446-32AE-4023-997C-BD21A6220E14}"/>
    <cellStyle name="Normal 12 14" xfId="8889" xr:uid="{7240963F-22C5-4631-BFCF-EA79416D4F7D}"/>
    <cellStyle name="Normal 12 2" xfId="260" xr:uid="{00000000-0005-0000-0000-0000CD0D0000}"/>
    <cellStyle name="Normal 12 2 10" xfId="17331" xr:uid="{A2D05C34-A05C-45BC-A65A-82312405189D}"/>
    <cellStyle name="Normal 12 2 11" xfId="25775" xr:uid="{4A24CCDF-A16D-4492-8917-1130D2E0E0FE}"/>
    <cellStyle name="Normal 12 2 12" xfId="34147" xr:uid="{10F5A745-AA1E-4683-AF05-FF995607C4BE}"/>
    <cellStyle name="Normal 12 2 13" xfId="8890" xr:uid="{BD1831AA-48C4-499C-B520-421B39356312}"/>
    <cellStyle name="Normal 12 2 2" xfId="261" xr:uid="{00000000-0005-0000-0000-0000CE0D0000}"/>
    <cellStyle name="Normal 12 2 2 10" xfId="25776" xr:uid="{F2542646-5BA5-4873-8F8E-8C0CB35D783B}"/>
    <cellStyle name="Normal 12 2 2 11" xfId="8891" xr:uid="{68F5A92E-1CEC-4583-9895-62879B1A383D}"/>
    <cellStyle name="Normal 12 2 2 2" xfId="262" xr:uid="{00000000-0005-0000-0000-0000CF0D0000}"/>
    <cellStyle name="Normal 12 2 2 2 10" xfId="8892" xr:uid="{A5AA9219-A9C2-4DFD-BF7D-2D901209B282}"/>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24110" xr:uid="{6A0986D1-5603-494C-8B2F-AF6F61473263}"/>
    <cellStyle name="Normal 12 2 2 2 2 2 2 3" xfId="32556" xr:uid="{E12ADCD5-427F-445E-9A18-95CE74B0B77A}"/>
    <cellStyle name="Normal 12 2 2 2 2 2 2 4" xfId="15669" xr:uid="{0D659015-7F98-4849-AB09-DB95D8CED815}"/>
    <cellStyle name="Normal 12 2 2 2 2 2 3" xfId="19892" xr:uid="{0F723E24-D5EB-47DC-A1D9-1627E146219E}"/>
    <cellStyle name="Normal 12 2 2 2 2 2 4" xfId="28339" xr:uid="{0A3E6086-5A25-4B0C-9FE0-216E48CD0E43}"/>
    <cellStyle name="Normal 12 2 2 2 2 2 5" xfId="11451" xr:uid="{92AD1677-7A3F-482D-AC2B-A47F99C34F6C}"/>
    <cellStyle name="Normal 12 2 2 2 2 3" xfId="5082" xr:uid="{00000000-0005-0000-0000-0000D30D0000}"/>
    <cellStyle name="Normal 12 2 2 2 2 3 2" xfId="21965" xr:uid="{00595E3C-E2AA-4054-A419-5E61D5886D72}"/>
    <cellStyle name="Normal 12 2 2 2 2 3 3" xfId="30411" xr:uid="{A2D3D372-72B0-4918-A824-D60F188BD9DA}"/>
    <cellStyle name="Normal 12 2 2 2 2 3 4" xfId="13524" xr:uid="{5A2DA7CD-BFD6-4EE8-A258-F0C9DD12A521}"/>
    <cellStyle name="Normal 12 2 2 2 2 4" xfId="17747" xr:uid="{7B0D37CB-CFDD-4C65-9B36-09F9D4330C65}"/>
    <cellStyle name="Normal 12 2 2 2 2 5" xfId="26192" xr:uid="{C5582085-2C62-43F1-95F4-5386B6C7307F}"/>
    <cellStyle name="Normal 12 2 2 2 2 6" xfId="9306" xr:uid="{6B82F47D-E8E5-414B-93C2-90D0EA9A0584}"/>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24523" xr:uid="{48F28276-7DCF-42AD-9815-4F42070BD3D5}"/>
    <cellStyle name="Normal 12 2 2 2 3 2 2 3" xfId="32969" xr:uid="{95E166D0-7141-483E-819B-B4EB679F26F4}"/>
    <cellStyle name="Normal 12 2 2 2 3 2 2 4" xfId="16082" xr:uid="{0B536254-3787-47D1-8C36-B43A50B0F52B}"/>
    <cellStyle name="Normal 12 2 2 2 3 2 3" xfId="20305" xr:uid="{9862F7E8-9945-4CBE-9EF3-42CA73410C37}"/>
    <cellStyle name="Normal 12 2 2 2 3 2 4" xfId="28752" xr:uid="{96152712-F4AA-401E-8869-0BF657899203}"/>
    <cellStyle name="Normal 12 2 2 2 3 2 5" xfId="11864" xr:uid="{11E0922A-657D-4A87-856F-31E6D5EFF6CC}"/>
    <cellStyle name="Normal 12 2 2 2 3 3" xfId="5495" xr:uid="{00000000-0005-0000-0000-0000D70D0000}"/>
    <cellStyle name="Normal 12 2 2 2 3 3 2" xfId="22378" xr:uid="{FD0275FB-81D9-4171-952F-C39E57514D45}"/>
    <cellStyle name="Normal 12 2 2 2 3 3 3" xfId="30824" xr:uid="{9D0524FB-7132-463A-8CE2-C68A4E2E990B}"/>
    <cellStyle name="Normal 12 2 2 2 3 3 4" xfId="13937" xr:uid="{2C48FBC8-1658-4873-8FD7-28F4DCE5C623}"/>
    <cellStyle name="Normal 12 2 2 2 3 4" xfId="18160" xr:uid="{FB9FF552-994D-4233-9766-1D4F7C95BE64}"/>
    <cellStyle name="Normal 12 2 2 2 3 5" xfId="26605" xr:uid="{9343E8A7-6C64-4CFE-84EB-988F4C762900}"/>
    <cellStyle name="Normal 12 2 2 2 3 6" xfId="9719" xr:uid="{4BDEE68D-4F5B-4855-9215-13FC0E5FFAB5}"/>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24936" xr:uid="{21284697-7BF5-4D01-8ED6-28027BDC91A5}"/>
    <cellStyle name="Normal 12 2 2 2 4 2 2 3" xfId="33382" xr:uid="{42AAEE6D-69FC-4D59-8F7C-50589A07F7BA}"/>
    <cellStyle name="Normal 12 2 2 2 4 2 2 4" xfId="16495" xr:uid="{3ED0F209-08D1-4E1A-B6AC-B0924857129D}"/>
    <cellStyle name="Normal 12 2 2 2 4 2 3" xfId="20718" xr:uid="{7E59F1D5-62DA-494D-9F5D-5E6E2A94AB0F}"/>
    <cellStyle name="Normal 12 2 2 2 4 2 4" xfId="29165" xr:uid="{F6050884-826A-43AA-87F9-3D8BB9BC7C2A}"/>
    <cellStyle name="Normal 12 2 2 2 4 2 5" xfId="12277" xr:uid="{448413B8-E25D-4CA8-9C8F-559FB8CD1AD0}"/>
    <cellStyle name="Normal 12 2 2 2 4 3" xfId="5908" xr:uid="{00000000-0005-0000-0000-0000DB0D0000}"/>
    <cellStyle name="Normal 12 2 2 2 4 3 2" xfId="22791" xr:uid="{DF92797B-E682-4495-AB05-BCB684BB676D}"/>
    <cellStyle name="Normal 12 2 2 2 4 3 3" xfId="31237" xr:uid="{DEB4B43F-0791-4808-8BBD-E4665089FD6A}"/>
    <cellStyle name="Normal 12 2 2 2 4 3 4" xfId="14350" xr:uid="{A06A19B8-E72B-432E-88AD-504A83418132}"/>
    <cellStyle name="Normal 12 2 2 2 4 4" xfId="18573" xr:uid="{7222086F-BD02-42E1-A8BC-DA0197CE2453}"/>
    <cellStyle name="Normal 12 2 2 2 4 5" xfId="27018" xr:uid="{EBADC21E-54E7-4B1B-AC18-E9880BA3BD48}"/>
    <cellStyle name="Normal 12 2 2 2 4 6" xfId="10132" xr:uid="{26570613-C09B-44FF-A90A-91D597B8A97B}"/>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25349" xr:uid="{9B881385-AA30-493C-9939-F6D56FD8E3AC}"/>
    <cellStyle name="Normal 12 2 2 2 5 2 2 3" xfId="33795" xr:uid="{332EC7BD-1ABD-47CC-80F7-4D238D43A371}"/>
    <cellStyle name="Normal 12 2 2 2 5 2 2 4" xfId="16908" xr:uid="{53CC0684-8B01-4F7E-96D7-992E3BC93369}"/>
    <cellStyle name="Normal 12 2 2 2 5 2 3" xfId="21131" xr:uid="{10D9F0AA-E958-4675-8181-082B8D877E46}"/>
    <cellStyle name="Normal 12 2 2 2 5 2 4" xfId="29578" xr:uid="{4E7E2997-0D6E-4083-9C2A-49D1F5E6BB6B}"/>
    <cellStyle name="Normal 12 2 2 2 5 2 5" xfId="12690" xr:uid="{54635527-5D60-4E44-B4DD-E3EB0A295D50}"/>
    <cellStyle name="Normal 12 2 2 2 5 3" xfId="6321" xr:uid="{00000000-0005-0000-0000-0000DF0D0000}"/>
    <cellStyle name="Normal 12 2 2 2 5 3 2" xfId="23204" xr:uid="{F3538FE5-D727-47D7-82D9-564EE5133065}"/>
    <cellStyle name="Normal 12 2 2 2 5 3 3" xfId="31650" xr:uid="{AE2EF52C-41BC-4AE6-B276-0E660BB37957}"/>
    <cellStyle name="Normal 12 2 2 2 5 3 4" xfId="14763" xr:uid="{437AAE2E-A0DD-498E-A6F2-1793782D1C60}"/>
    <cellStyle name="Normal 12 2 2 2 5 4" xfId="18986" xr:uid="{DE0170F3-D093-4B4D-92B4-F7288D198248}"/>
    <cellStyle name="Normal 12 2 2 2 5 5" xfId="27431" xr:uid="{C88B78B7-069E-4AFB-9E60-4F3B1CB959B1}"/>
    <cellStyle name="Normal 12 2 2 2 5 6" xfId="10545" xr:uid="{AB86DCEC-2E58-4092-B703-8441F4A0A4B6}"/>
    <cellStyle name="Normal 12 2 2 2 6" xfId="2450" xr:uid="{00000000-0005-0000-0000-0000E00D0000}"/>
    <cellStyle name="Normal 12 2 2 2 6 2" xfId="6734" xr:uid="{00000000-0005-0000-0000-0000E10D0000}"/>
    <cellStyle name="Normal 12 2 2 2 6 2 2" xfId="23617" xr:uid="{8C86FF1F-7BD4-41D6-A3F8-1987B13924DD}"/>
    <cellStyle name="Normal 12 2 2 2 6 2 3" xfId="32063" xr:uid="{C7231EC0-DABE-4726-AEBA-FDB0E6BBC3D0}"/>
    <cellStyle name="Normal 12 2 2 2 6 2 4" xfId="15176" xr:uid="{A4556296-7CC6-4CF8-8579-6BEC36E0C6B4}"/>
    <cellStyle name="Normal 12 2 2 2 6 3" xfId="19399" xr:uid="{DC5E3886-2851-49E8-A12E-9FE7BB0A54FD}"/>
    <cellStyle name="Normal 12 2 2 2 6 4" xfId="27844" xr:uid="{0AC3EE1D-6CBF-497B-A7D2-688F176F9CB5}"/>
    <cellStyle name="Normal 12 2 2 2 6 5" xfId="10958" xr:uid="{175E03DA-49AD-4D06-942E-3A41A372ADEE}"/>
    <cellStyle name="Normal 12 2 2 2 7" xfId="4668" xr:uid="{00000000-0005-0000-0000-0000E20D0000}"/>
    <cellStyle name="Normal 12 2 2 2 7 2" xfId="21551" xr:uid="{DAB811EF-2805-438B-9810-E3920A216A64}"/>
    <cellStyle name="Normal 12 2 2 2 7 3" xfId="29997" xr:uid="{F5941C08-FDC1-4551-8B9D-423524357E8C}"/>
    <cellStyle name="Normal 12 2 2 2 7 4" xfId="13110" xr:uid="{B7B1E961-4CBE-4C1B-9B36-3B434D5C077F}"/>
    <cellStyle name="Normal 12 2 2 2 8" xfId="17333" xr:uid="{465F6908-EB18-4E68-B189-4212B556BC15}"/>
    <cellStyle name="Normal 12 2 2 2 9" xfId="25777" xr:uid="{07219FBA-BA82-4343-AE48-6249EFB420CF}"/>
    <cellStyle name="Normal 12 2 2 3" xfId="762" xr:uid="{00000000-0005-0000-0000-0000E30D0000}"/>
    <cellStyle name="Normal 12 2 2 3 2" xfId="3003" xr:uid="{00000000-0005-0000-0000-0000E40D0000}"/>
    <cellStyle name="Normal 12 2 2 3 2 2" xfId="7226" xr:uid="{00000000-0005-0000-0000-0000E50D0000}"/>
    <cellStyle name="Normal 12 2 2 3 2 2 2" xfId="24109" xr:uid="{38B42D55-A32D-4DC8-9EA4-5215ADFD0224}"/>
    <cellStyle name="Normal 12 2 2 3 2 2 3" xfId="32555" xr:uid="{C75082DF-2429-47DC-A0D9-2DB4E102218C}"/>
    <cellStyle name="Normal 12 2 2 3 2 2 4" xfId="15668" xr:uid="{3C66C3E5-8445-4A83-8D65-25DC6BAF0836}"/>
    <cellStyle name="Normal 12 2 2 3 2 3" xfId="19891" xr:uid="{53BA34C5-0559-443A-8616-7CF08982D894}"/>
    <cellStyle name="Normal 12 2 2 3 2 4" xfId="28338" xr:uid="{FA0AFDD4-7BB6-4722-AD7D-29C6159B19CB}"/>
    <cellStyle name="Normal 12 2 2 3 2 5" xfId="11450" xr:uid="{E38AA018-6AD7-4083-B4BA-AE25EF8A9712}"/>
    <cellStyle name="Normal 12 2 2 3 3" xfId="5081" xr:uid="{00000000-0005-0000-0000-0000E60D0000}"/>
    <cellStyle name="Normal 12 2 2 3 3 2" xfId="21964" xr:uid="{CC23D562-BD3D-44E9-93EC-A9EDF4AC82E2}"/>
    <cellStyle name="Normal 12 2 2 3 3 3" xfId="30410" xr:uid="{B393FBA6-DDB9-490A-BB93-29219BE9866E}"/>
    <cellStyle name="Normal 12 2 2 3 3 4" xfId="13523" xr:uid="{D80063FD-A3DC-48DE-A94B-C2BC49ECCD85}"/>
    <cellStyle name="Normal 12 2 2 3 4" xfId="17746" xr:uid="{58E7E73B-1A1B-4EE4-9853-FF1992F15419}"/>
    <cellStyle name="Normal 12 2 2 3 5" xfId="26191" xr:uid="{95D0B4C5-568B-42D9-8CCB-3309CD338BAA}"/>
    <cellStyle name="Normal 12 2 2 3 6" xfId="9305" xr:uid="{9B8FA381-829F-49EE-AEB2-1471CA83C74E}"/>
    <cellStyle name="Normal 12 2 2 4" xfId="1185" xr:uid="{00000000-0005-0000-0000-0000E70D0000}"/>
    <cellStyle name="Normal 12 2 2 4 2" xfId="3416" xr:uid="{00000000-0005-0000-0000-0000E80D0000}"/>
    <cellStyle name="Normal 12 2 2 4 2 2" xfId="7639" xr:uid="{00000000-0005-0000-0000-0000E90D0000}"/>
    <cellStyle name="Normal 12 2 2 4 2 2 2" xfId="24522" xr:uid="{BE1F91A8-0DCE-43E5-B74A-9E020B9DF249}"/>
    <cellStyle name="Normal 12 2 2 4 2 2 3" xfId="32968" xr:uid="{8CF07BCC-6E26-4384-B2CF-158EA75BBA25}"/>
    <cellStyle name="Normal 12 2 2 4 2 2 4" xfId="16081" xr:uid="{C0FD4D61-5530-4A32-9110-A708B01F0DD7}"/>
    <cellStyle name="Normal 12 2 2 4 2 3" xfId="20304" xr:uid="{8754060D-19E0-4E29-860C-646F1F5E1F27}"/>
    <cellStyle name="Normal 12 2 2 4 2 4" xfId="28751" xr:uid="{396E53C7-1F6A-4D8C-959C-3B93CDBAA955}"/>
    <cellStyle name="Normal 12 2 2 4 2 5" xfId="11863" xr:uid="{A5FBF9D7-5971-43BA-B04A-92096FD9DB9B}"/>
    <cellStyle name="Normal 12 2 2 4 3" xfId="5494" xr:uid="{00000000-0005-0000-0000-0000EA0D0000}"/>
    <cellStyle name="Normal 12 2 2 4 3 2" xfId="22377" xr:uid="{4F93485E-8C00-496B-B228-DF095FC2A05C}"/>
    <cellStyle name="Normal 12 2 2 4 3 3" xfId="30823" xr:uid="{9ECCB919-7246-454F-865D-897D704A9BF3}"/>
    <cellStyle name="Normal 12 2 2 4 3 4" xfId="13936" xr:uid="{FC90CAF1-63F3-4141-9741-C254D7D9DEB2}"/>
    <cellStyle name="Normal 12 2 2 4 4" xfId="18159" xr:uid="{B6D89CD7-14D4-4E24-8F0A-80FC0356EA1D}"/>
    <cellStyle name="Normal 12 2 2 4 5" xfId="26604" xr:uid="{42A4F224-0086-4D14-ABBD-0FB610A8776E}"/>
    <cellStyle name="Normal 12 2 2 4 6" xfId="9718" xr:uid="{37E0A453-3BF7-4083-8A87-21812930D4F3}"/>
    <cellStyle name="Normal 12 2 2 5" xfId="1599" xr:uid="{00000000-0005-0000-0000-0000EB0D0000}"/>
    <cellStyle name="Normal 12 2 2 5 2" xfId="3829" xr:uid="{00000000-0005-0000-0000-0000EC0D0000}"/>
    <cellStyle name="Normal 12 2 2 5 2 2" xfId="8052" xr:uid="{00000000-0005-0000-0000-0000ED0D0000}"/>
    <cellStyle name="Normal 12 2 2 5 2 2 2" xfId="24935" xr:uid="{154CA295-9F76-4978-B989-3DC1DA86D6BE}"/>
    <cellStyle name="Normal 12 2 2 5 2 2 3" xfId="33381" xr:uid="{525DB377-B790-4AEF-8FD3-287DF8AB80AD}"/>
    <cellStyle name="Normal 12 2 2 5 2 2 4" xfId="16494" xr:uid="{0F137C3F-FC1A-421C-B6AC-D6513B91598E}"/>
    <cellStyle name="Normal 12 2 2 5 2 3" xfId="20717" xr:uid="{F8B434C2-E69B-422F-BE78-9781E880B0BD}"/>
    <cellStyle name="Normal 12 2 2 5 2 4" xfId="29164" xr:uid="{49041CD9-0D92-4AE6-B26F-DFEFB4A9BE5F}"/>
    <cellStyle name="Normal 12 2 2 5 2 5" xfId="12276" xr:uid="{D76DA1BD-22B2-4FB7-BFFA-1E2E7686510C}"/>
    <cellStyle name="Normal 12 2 2 5 3" xfId="5907" xr:uid="{00000000-0005-0000-0000-0000EE0D0000}"/>
    <cellStyle name="Normal 12 2 2 5 3 2" xfId="22790" xr:uid="{0EBEB263-0921-4DD0-8F1D-699131C77C97}"/>
    <cellStyle name="Normal 12 2 2 5 3 3" xfId="31236" xr:uid="{B62E2EEB-4135-4B8F-8502-8C9CBC3CD15F}"/>
    <cellStyle name="Normal 12 2 2 5 3 4" xfId="14349" xr:uid="{7735BF91-FA30-4622-9C33-1786F29D2BBB}"/>
    <cellStyle name="Normal 12 2 2 5 4" xfId="18572" xr:uid="{C8FDF46C-3EFF-4C97-A58B-DBAF7CFFFAA9}"/>
    <cellStyle name="Normal 12 2 2 5 5" xfId="27017" xr:uid="{B3A10FA8-B2F2-45A4-B6DF-D781FE3AB77D}"/>
    <cellStyle name="Normal 12 2 2 5 6" xfId="10131" xr:uid="{D0D1655A-3589-4064-96D6-1965B4A05753}"/>
    <cellStyle name="Normal 12 2 2 6" xfId="2013" xr:uid="{00000000-0005-0000-0000-0000EF0D0000}"/>
    <cellStyle name="Normal 12 2 2 6 2" xfId="4242" xr:uid="{00000000-0005-0000-0000-0000F00D0000}"/>
    <cellStyle name="Normal 12 2 2 6 2 2" xfId="8465" xr:uid="{00000000-0005-0000-0000-0000F10D0000}"/>
    <cellStyle name="Normal 12 2 2 6 2 2 2" xfId="25348" xr:uid="{2739ABB1-9EBF-4554-B3B7-B175D8732C75}"/>
    <cellStyle name="Normal 12 2 2 6 2 2 3" xfId="33794" xr:uid="{C4812B1B-65A7-4F8B-9934-8C64D4A48ED1}"/>
    <cellStyle name="Normal 12 2 2 6 2 2 4" xfId="16907" xr:uid="{6490EB43-0452-4228-B49B-5A75927FCB8C}"/>
    <cellStyle name="Normal 12 2 2 6 2 3" xfId="21130" xr:uid="{135DBB54-52B2-4D80-A58D-7DEB607E5AD2}"/>
    <cellStyle name="Normal 12 2 2 6 2 4" xfId="29577" xr:uid="{99B26FA6-0C93-49E2-BD2B-E2F3A593BB35}"/>
    <cellStyle name="Normal 12 2 2 6 2 5" xfId="12689" xr:uid="{B9EFE4CF-EF77-44BB-954F-B5D98CCA2EA3}"/>
    <cellStyle name="Normal 12 2 2 6 3" xfId="6320" xr:uid="{00000000-0005-0000-0000-0000F20D0000}"/>
    <cellStyle name="Normal 12 2 2 6 3 2" xfId="23203" xr:uid="{1A1EABE9-8EAF-40B9-9957-2F47B764B56A}"/>
    <cellStyle name="Normal 12 2 2 6 3 3" xfId="31649" xr:uid="{AB42D546-B136-45BB-9C2C-7653342532F7}"/>
    <cellStyle name="Normal 12 2 2 6 3 4" xfId="14762" xr:uid="{086D1433-8F2C-4553-94D5-3E7C5187B484}"/>
    <cellStyle name="Normal 12 2 2 6 4" xfId="18985" xr:uid="{721E6CFA-BC86-44B9-9332-C1BA9315C0CA}"/>
    <cellStyle name="Normal 12 2 2 6 5" xfId="27430" xr:uid="{ECB977AF-358A-42CA-867A-49359B1B5E6F}"/>
    <cellStyle name="Normal 12 2 2 6 6" xfId="10544" xr:uid="{7AEC7908-AD77-4408-81AF-0D0824FC647F}"/>
    <cellStyle name="Normal 12 2 2 7" xfId="2449" xr:uid="{00000000-0005-0000-0000-0000F30D0000}"/>
    <cellStyle name="Normal 12 2 2 7 2" xfId="6733" xr:uid="{00000000-0005-0000-0000-0000F40D0000}"/>
    <cellStyle name="Normal 12 2 2 7 2 2" xfId="23616" xr:uid="{4DD0BFEE-FBEB-449A-98B2-1E75991750D7}"/>
    <cellStyle name="Normal 12 2 2 7 2 3" xfId="32062" xr:uid="{B25E6BE0-FCF4-49BA-BCC4-B0CAC9DFD4F3}"/>
    <cellStyle name="Normal 12 2 2 7 2 4" xfId="15175" xr:uid="{234EE560-6063-4189-8170-38B517BCD3A4}"/>
    <cellStyle name="Normal 12 2 2 7 3" xfId="19398" xr:uid="{5500E7D8-E8AA-4DE8-9973-808D9F424E32}"/>
    <cellStyle name="Normal 12 2 2 7 4" xfId="27843" xr:uid="{2A588DDC-3FCC-4512-9BC0-2E7ED2FA50C8}"/>
    <cellStyle name="Normal 12 2 2 7 5" xfId="10957" xr:uid="{67F14723-C5C5-4419-85BA-161545657E81}"/>
    <cellStyle name="Normal 12 2 2 8" xfId="4667" xr:uid="{00000000-0005-0000-0000-0000F50D0000}"/>
    <cellStyle name="Normal 12 2 2 8 2" xfId="21550" xr:uid="{C5D2C394-7206-4D09-940A-5C89D162771B}"/>
    <cellStyle name="Normal 12 2 2 8 3" xfId="29996" xr:uid="{EB0F714C-07EA-495A-B5DA-593083D780B8}"/>
    <cellStyle name="Normal 12 2 2 8 4" xfId="13109" xr:uid="{ED73BAF5-E5A9-4797-BB6F-5BDE003BC129}"/>
    <cellStyle name="Normal 12 2 2 9" xfId="17332" xr:uid="{E878057D-A37B-4DDA-AB31-8744E6768D33}"/>
    <cellStyle name="Normal 12 2 3" xfId="263" xr:uid="{00000000-0005-0000-0000-0000F60D0000}"/>
    <cellStyle name="Normal 12 2 3 10" xfId="8893" xr:uid="{AEABFAA7-483F-491C-82ED-B2A1BE199A35}"/>
    <cellStyle name="Normal 12 2 3 2" xfId="764" xr:uid="{00000000-0005-0000-0000-0000F70D0000}"/>
    <cellStyle name="Normal 12 2 3 2 2" xfId="3005" xr:uid="{00000000-0005-0000-0000-0000F80D0000}"/>
    <cellStyle name="Normal 12 2 3 2 2 2" xfId="7228" xr:uid="{00000000-0005-0000-0000-0000F90D0000}"/>
    <cellStyle name="Normal 12 2 3 2 2 2 2" xfId="24111" xr:uid="{D8380E76-2FF7-45CA-BB41-01E5EFAB4658}"/>
    <cellStyle name="Normal 12 2 3 2 2 2 3" xfId="32557" xr:uid="{300B78D7-2AF4-4BC5-8994-7B77FAC79D94}"/>
    <cellStyle name="Normal 12 2 3 2 2 2 4" xfId="15670" xr:uid="{8A8B8D77-3E2C-4DC0-9E4C-EF3D77AFC7AF}"/>
    <cellStyle name="Normal 12 2 3 2 2 3" xfId="19893" xr:uid="{FE0954EB-D0D7-4F58-968A-E2C19C4444EC}"/>
    <cellStyle name="Normal 12 2 3 2 2 4" xfId="28340" xr:uid="{239312FF-9B59-419E-A3BA-DB0C04389CF6}"/>
    <cellStyle name="Normal 12 2 3 2 2 5" xfId="11452" xr:uid="{A1D1210B-BB71-4247-8FBE-5F39F3BC2775}"/>
    <cellStyle name="Normal 12 2 3 2 3" xfId="5083" xr:uid="{00000000-0005-0000-0000-0000FA0D0000}"/>
    <cellStyle name="Normal 12 2 3 2 3 2" xfId="21966" xr:uid="{CA244AFC-3CFB-42F7-B769-5B6F25D9452F}"/>
    <cellStyle name="Normal 12 2 3 2 3 3" xfId="30412" xr:uid="{B35DE5D5-79D8-4C6C-871C-0A84970E4F44}"/>
    <cellStyle name="Normal 12 2 3 2 3 4" xfId="13525" xr:uid="{B27263AC-8998-4C4C-81D0-D59E74BA4D34}"/>
    <cellStyle name="Normal 12 2 3 2 4" xfId="17748" xr:uid="{DC98E7A6-8445-4B39-B253-07EA0227DA23}"/>
    <cellStyle name="Normal 12 2 3 2 5" xfId="26193" xr:uid="{969A4E5C-B8C5-49BC-B981-6F7B9D475789}"/>
    <cellStyle name="Normal 12 2 3 2 6" xfId="9307" xr:uid="{BCF3A05D-9D82-445F-B7C3-A617E528F960}"/>
    <cellStyle name="Normal 12 2 3 3" xfId="1187" xr:uid="{00000000-0005-0000-0000-0000FB0D0000}"/>
    <cellStyle name="Normal 12 2 3 3 2" xfId="3418" xr:uid="{00000000-0005-0000-0000-0000FC0D0000}"/>
    <cellStyle name="Normal 12 2 3 3 2 2" xfId="7641" xr:uid="{00000000-0005-0000-0000-0000FD0D0000}"/>
    <cellStyle name="Normal 12 2 3 3 2 2 2" xfId="24524" xr:uid="{031741E7-3A7C-4562-AF7D-00D71D48E124}"/>
    <cellStyle name="Normal 12 2 3 3 2 2 3" xfId="32970" xr:uid="{C399CCF0-0985-4A72-97C2-2C908C73032B}"/>
    <cellStyle name="Normal 12 2 3 3 2 2 4" xfId="16083" xr:uid="{2A97E1FE-BA43-4FB6-9AA6-795CC2479A09}"/>
    <cellStyle name="Normal 12 2 3 3 2 3" xfId="20306" xr:uid="{68C8D9E5-AAB8-4DE1-A33C-FA5E7A69E143}"/>
    <cellStyle name="Normal 12 2 3 3 2 4" xfId="28753" xr:uid="{6D8EFE1B-BE67-4CB6-8B03-B37907345304}"/>
    <cellStyle name="Normal 12 2 3 3 2 5" xfId="11865" xr:uid="{E34FE05F-50F9-45DB-89DC-23DF516979F7}"/>
    <cellStyle name="Normal 12 2 3 3 3" xfId="5496" xr:uid="{00000000-0005-0000-0000-0000FE0D0000}"/>
    <cellStyle name="Normal 12 2 3 3 3 2" xfId="22379" xr:uid="{5D9A99F3-C2EC-4B6D-8F41-938C790A3D1F}"/>
    <cellStyle name="Normal 12 2 3 3 3 3" xfId="30825" xr:uid="{83606554-1988-46B9-BEA5-43DC5412DAC6}"/>
    <cellStyle name="Normal 12 2 3 3 3 4" xfId="13938" xr:uid="{F7A27C71-C105-442E-8404-290F42AA39F0}"/>
    <cellStyle name="Normal 12 2 3 3 4" xfId="18161" xr:uid="{C38037F1-E9C2-4CB3-B59A-67C1C12889FB}"/>
    <cellStyle name="Normal 12 2 3 3 5" xfId="26606" xr:uid="{169B0CE5-1BA2-4C8E-B4D9-97C81BB0C39A}"/>
    <cellStyle name="Normal 12 2 3 3 6" xfId="9720" xr:uid="{E3A5E138-1A05-4380-9E40-BFF1A6E0ED87}"/>
    <cellStyle name="Normal 12 2 3 4" xfId="1601" xr:uid="{00000000-0005-0000-0000-0000FF0D0000}"/>
    <cellStyle name="Normal 12 2 3 4 2" xfId="3831" xr:uid="{00000000-0005-0000-0000-0000000E0000}"/>
    <cellStyle name="Normal 12 2 3 4 2 2" xfId="8054" xr:uid="{00000000-0005-0000-0000-0000010E0000}"/>
    <cellStyle name="Normal 12 2 3 4 2 2 2" xfId="24937" xr:uid="{5DAD578A-605B-45C4-A6FC-8303479C9622}"/>
    <cellStyle name="Normal 12 2 3 4 2 2 3" xfId="33383" xr:uid="{5D84622A-415F-4B40-9CDA-B4CE0CE75776}"/>
    <cellStyle name="Normal 12 2 3 4 2 2 4" xfId="16496" xr:uid="{647B3D90-35A2-41CC-B874-874D968F2F53}"/>
    <cellStyle name="Normal 12 2 3 4 2 3" xfId="20719" xr:uid="{892872DC-BCCA-47DF-8072-4353E3AB4C35}"/>
    <cellStyle name="Normal 12 2 3 4 2 4" xfId="29166" xr:uid="{FEA3BE27-5BA5-4C06-81EF-09CDBDB0C835}"/>
    <cellStyle name="Normal 12 2 3 4 2 5" xfId="12278" xr:uid="{F5C0E452-C5BC-423D-BC77-1FB181849595}"/>
    <cellStyle name="Normal 12 2 3 4 3" xfId="5909" xr:uid="{00000000-0005-0000-0000-0000020E0000}"/>
    <cellStyle name="Normal 12 2 3 4 3 2" xfId="22792" xr:uid="{99F3D8C5-F4EC-4427-A85B-D769E9D331D4}"/>
    <cellStyle name="Normal 12 2 3 4 3 3" xfId="31238" xr:uid="{43FC3100-4863-41E2-8C4E-571B01026739}"/>
    <cellStyle name="Normal 12 2 3 4 3 4" xfId="14351" xr:uid="{34D07AF0-2A12-4F5E-82AD-0DEB453F9D83}"/>
    <cellStyle name="Normal 12 2 3 4 4" xfId="18574" xr:uid="{F106397B-8BCB-4ABE-B194-73D6B9605911}"/>
    <cellStyle name="Normal 12 2 3 4 5" xfId="27019" xr:uid="{6143B9B0-BBA0-4FEA-B946-52DA706A3135}"/>
    <cellStyle name="Normal 12 2 3 4 6" xfId="10133" xr:uid="{FE8AAF06-3C8B-4291-A29D-A0E6C5993CA6}"/>
    <cellStyle name="Normal 12 2 3 5" xfId="2015" xr:uid="{00000000-0005-0000-0000-0000030E0000}"/>
    <cellStyle name="Normal 12 2 3 5 2" xfId="4244" xr:uid="{00000000-0005-0000-0000-0000040E0000}"/>
    <cellStyle name="Normal 12 2 3 5 2 2" xfId="8467" xr:uid="{00000000-0005-0000-0000-0000050E0000}"/>
    <cellStyle name="Normal 12 2 3 5 2 2 2" xfId="25350" xr:uid="{51B63B31-9684-47C4-8412-7CA196E8CB64}"/>
    <cellStyle name="Normal 12 2 3 5 2 2 3" xfId="33796" xr:uid="{8F622117-A5D9-4378-B625-EA96CEE86EBF}"/>
    <cellStyle name="Normal 12 2 3 5 2 2 4" xfId="16909" xr:uid="{789F37AB-C72E-47B8-9489-5788945D47BC}"/>
    <cellStyle name="Normal 12 2 3 5 2 3" xfId="21132" xr:uid="{F9CE4EF1-E66E-4D6C-A30B-BBFD012A8A84}"/>
    <cellStyle name="Normal 12 2 3 5 2 4" xfId="29579" xr:uid="{6D1154EB-9500-4ADC-B749-4F587A60D227}"/>
    <cellStyle name="Normal 12 2 3 5 2 5" xfId="12691" xr:uid="{26EA574B-887C-4B83-B9DE-308B39EF0272}"/>
    <cellStyle name="Normal 12 2 3 5 3" xfId="6322" xr:uid="{00000000-0005-0000-0000-0000060E0000}"/>
    <cellStyle name="Normal 12 2 3 5 3 2" xfId="23205" xr:uid="{899F581D-879B-4739-9819-D48F570A3D02}"/>
    <cellStyle name="Normal 12 2 3 5 3 3" xfId="31651" xr:uid="{3E655599-ACDF-4DD9-AA64-E28743B509AB}"/>
    <cellStyle name="Normal 12 2 3 5 3 4" xfId="14764" xr:uid="{D70FD1C0-5E3B-44DB-8DFC-2621E8F3EF3E}"/>
    <cellStyle name="Normal 12 2 3 5 4" xfId="18987" xr:uid="{84147218-777B-4BF9-9208-0B3403739694}"/>
    <cellStyle name="Normal 12 2 3 5 5" xfId="27432" xr:uid="{050A5212-3236-4420-A771-E5065D233876}"/>
    <cellStyle name="Normal 12 2 3 5 6" xfId="10546" xr:uid="{AAB53361-32EE-45A2-85D2-C572989B3CBE}"/>
    <cellStyle name="Normal 12 2 3 6" xfId="2451" xr:uid="{00000000-0005-0000-0000-0000070E0000}"/>
    <cellStyle name="Normal 12 2 3 6 2" xfId="6735" xr:uid="{00000000-0005-0000-0000-0000080E0000}"/>
    <cellStyle name="Normal 12 2 3 6 2 2" xfId="23618" xr:uid="{FD1C040B-468B-4A4C-8999-4C49F49CEEBD}"/>
    <cellStyle name="Normal 12 2 3 6 2 3" xfId="32064" xr:uid="{24143644-9A16-45B5-83A9-84E582374D12}"/>
    <cellStyle name="Normal 12 2 3 6 2 4" xfId="15177" xr:uid="{F4CE572E-1016-4EF6-9568-FE67B03F8D63}"/>
    <cellStyle name="Normal 12 2 3 6 3" xfId="19400" xr:uid="{B7B5A35F-A7B6-4AD4-B10F-12EAD663BC7B}"/>
    <cellStyle name="Normal 12 2 3 6 4" xfId="27845" xr:uid="{E17304BB-5E83-4065-A9BF-D848E14F7C9A}"/>
    <cellStyle name="Normal 12 2 3 6 5" xfId="10959" xr:uid="{41583BEB-8CEA-42BF-8955-196A77DDA01C}"/>
    <cellStyle name="Normal 12 2 3 7" xfId="4669" xr:uid="{00000000-0005-0000-0000-0000090E0000}"/>
    <cellStyle name="Normal 12 2 3 7 2" xfId="21552" xr:uid="{0F897214-BA7B-4F0D-B0B4-4CDCFEDA1B5B}"/>
    <cellStyle name="Normal 12 2 3 7 3" xfId="29998" xr:uid="{29FEBF0F-EF90-4C9C-9FA8-9F5E7A50151D}"/>
    <cellStyle name="Normal 12 2 3 7 4" xfId="13111" xr:uid="{1D0AEC4B-2BD2-4D10-900A-54F8A01923BC}"/>
    <cellStyle name="Normal 12 2 3 8" xfId="17334" xr:uid="{3387E557-8B15-48A7-8404-D2A5535C8DB8}"/>
    <cellStyle name="Normal 12 2 3 9" xfId="25778" xr:uid="{F80AFB08-0085-416D-88A1-61905F82428A}"/>
    <cellStyle name="Normal 12 2 4" xfId="761" xr:uid="{00000000-0005-0000-0000-00000A0E0000}"/>
    <cellStyle name="Normal 12 2 4 2" xfId="3002" xr:uid="{00000000-0005-0000-0000-00000B0E0000}"/>
    <cellStyle name="Normal 12 2 4 2 2" xfId="7225" xr:uid="{00000000-0005-0000-0000-00000C0E0000}"/>
    <cellStyle name="Normal 12 2 4 2 2 2" xfId="24108" xr:uid="{6C62A604-82FF-4FCD-AA50-3AD3666CA35A}"/>
    <cellStyle name="Normal 12 2 4 2 2 3" xfId="32554" xr:uid="{08F83CC2-3695-46C3-95DB-F0C7125B7CEA}"/>
    <cellStyle name="Normal 12 2 4 2 2 4" xfId="15667" xr:uid="{83AE2E62-403D-43CC-9B8E-6DA2A57080A0}"/>
    <cellStyle name="Normal 12 2 4 2 3" xfId="19890" xr:uid="{FBB907E8-2C3B-4918-BCF4-EF98D0CBA2E2}"/>
    <cellStyle name="Normal 12 2 4 2 4" xfId="28337" xr:uid="{99349B35-FC9E-4460-864D-B43FF4425E74}"/>
    <cellStyle name="Normal 12 2 4 2 5" xfId="11449" xr:uid="{6D56AEC2-683F-468F-B4AD-54BFD3ECDED9}"/>
    <cellStyle name="Normal 12 2 4 3" xfId="5080" xr:uid="{00000000-0005-0000-0000-00000D0E0000}"/>
    <cellStyle name="Normal 12 2 4 3 2" xfId="21963" xr:uid="{5824186C-7764-4B1E-8DEF-1DFCD31C69BD}"/>
    <cellStyle name="Normal 12 2 4 3 3" xfId="30409" xr:uid="{62381A7D-A264-4835-85DA-E0D5B0ABB78F}"/>
    <cellStyle name="Normal 12 2 4 3 4" xfId="13522" xr:uid="{C4228998-610E-4208-98A0-732291EF9F31}"/>
    <cellStyle name="Normal 12 2 4 4" xfId="17745" xr:uid="{CFB420E0-A0DC-4754-B54F-7B0FDE1E05CA}"/>
    <cellStyle name="Normal 12 2 4 5" xfId="26190" xr:uid="{AFA2310F-0C8F-4569-BA89-F701A4F8F923}"/>
    <cellStyle name="Normal 12 2 4 6" xfId="9304" xr:uid="{05353E4B-D86E-412E-8F70-7534C11461F5}"/>
    <cellStyle name="Normal 12 2 5" xfId="1184" xr:uid="{00000000-0005-0000-0000-00000E0E0000}"/>
    <cellStyle name="Normal 12 2 5 2" xfId="3415" xr:uid="{00000000-0005-0000-0000-00000F0E0000}"/>
    <cellStyle name="Normal 12 2 5 2 2" xfId="7638" xr:uid="{00000000-0005-0000-0000-0000100E0000}"/>
    <cellStyle name="Normal 12 2 5 2 2 2" xfId="24521" xr:uid="{0E1ACF88-D914-49C4-96A4-DD5B1D4525C6}"/>
    <cellStyle name="Normal 12 2 5 2 2 3" xfId="32967" xr:uid="{3F64E433-69AB-41CD-8871-29FF998A8717}"/>
    <cellStyle name="Normal 12 2 5 2 2 4" xfId="16080" xr:uid="{8FF0573B-A715-46AB-B2F2-671618ADB090}"/>
    <cellStyle name="Normal 12 2 5 2 3" xfId="20303" xr:uid="{B7426D02-28D9-4621-82D7-0C9A032D4A5D}"/>
    <cellStyle name="Normal 12 2 5 2 4" xfId="28750" xr:uid="{C5F666EC-48F2-42E3-8378-13F16AF86336}"/>
    <cellStyle name="Normal 12 2 5 2 5" xfId="11862" xr:uid="{1FADE02E-6105-49E7-A68C-ACB7A1ED1110}"/>
    <cellStyle name="Normal 12 2 5 3" xfId="5493" xr:uid="{00000000-0005-0000-0000-0000110E0000}"/>
    <cellStyle name="Normal 12 2 5 3 2" xfId="22376" xr:uid="{1F02B80A-751D-47E4-95F4-32B23C72E322}"/>
    <cellStyle name="Normal 12 2 5 3 3" xfId="30822" xr:uid="{54FC8483-A410-4ADB-8A10-C7C042619629}"/>
    <cellStyle name="Normal 12 2 5 3 4" xfId="13935" xr:uid="{59F4A9AB-25D0-4582-86A3-17D20DE95FB1}"/>
    <cellStyle name="Normal 12 2 5 4" xfId="18158" xr:uid="{88E522B8-9F13-4D68-9C99-3AC34DC4BE43}"/>
    <cellStyle name="Normal 12 2 5 5" xfId="26603" xr:uid="{E4737740-81BF-4A00-B4DF-46C2CC2BEF62}"/>
    <cellStyle name="Normal 12 2 5 6" xfId="9717" xr:uid="{8146056F-5E8F-4F92-A705-6F2FABC46431}"/>
    <cellStyle name="Normal 12 2 6" xfId="1598" xr:uid="{00000000-0005-0000-0000-0000120E0000}"/>
    <cellStyle name="Normal 12 2 6 2" xfId="3828" xr:uid="{00000000-0005-0000-0000-0000130E0000}"/>
    <cellStyle name="Normal 12 2 6 2 2" xfId="8051" xr:uid="{00000000-0005-0000-0000-0000140E0000}"/>
    <cellStyle name="Normal 12 2 6 2 2 2" xfId="24934" xr:uid="{2D4A2219-DD56-4E83-B8B8-DBD033C20895}"/>
    <cellStyle name="Normal 12 2 6 2 2 3" xfId="33380" xr:uid="{E298CF60-C644-459F-B275-4AFEB4FC374E}"/>
    <cellStyle name="Normal 12 2 6 2 2 4" xfId="16493" xr:uid="{10728D20-1FDA-4E13-8EDD-4A70508E6837}"/>
    <cellStyle name="Normal 12 2 6 2 3" xfId="20716" xr:uid="{6BD8B2A7-C3B0-434E-A99D-94BDAEBDAB9B}"/>
    <cellStyle name="Normal 12 2 6 2 4" xfId="29163" xr:uid="{A772BB27-E0DE-45E4-BAC2-74ABD1203D15}"/>
    <cellStyle name="Normal 12 2 6 2 5" xfId="12275" xr:uid="{071AF69C-F500-444C-ABE6-965CE0C43DBE}"/>
    <cellStyle name="Normal 12 2 6 3" xfId="5906" xr:uid="{00000000-0005-0000-0000-0000150E0000}"/>
    <cellStyle name="Normal 12 2 6 3 2" xfId="22789" xr:uid="{5E382798-A4BE-4722-B8E1-F95062715E8C}"/>
    <cellStyle name="Normal 12 2 6 3 3" xfId="31235" xr:uid="{B1B44E94-0BB8-4FF7-94CA-898A64110398}"/>
    <cellStyle name="Normal 12 2 6 3 4" xfId="14348" xr:uid="{E3A31457-C9AF-4235-8FAD-2321203EBC96}"/>
    <cellStyle name="Normal 12 2 6 4" xfId="18571" xr:uid="{FEEE1773-ACCD-4FE0-810C-DA057FEFC3A2}"/>
    <cellStyle name="Normal 12 2 6 5" xfId="27016" xr:uid="{B808BB83-866A-4A8E-8824-2C4D46574223}"/>
    <cellStyle name="Normal 12 2 6 6" xfId="10130" xr:uid="{ED1EA642-A7F4-445E-A672-003DCEFC1029}"/>
    <cellStyle name="Normal 12 2 7" xfId="2012" xr:uid="{00000000-0005-0000-0000-0000160E0000}"/>
    <cellStyle name="Normal 12 2 7 2" xfId="4241" xr:uid="{00000000-0005-0000-0000-0000170E0000}"/>
    <cellStyle name="Normal 12 2 7 2 2" xfId="8464" xr:uid="{00000000-0005-0000-0000-0000180E0000}"/>
    <cellStyle name="Normal 12 2 7 2 2 2" xfId="25347" xr:uid="{8EAD4EF1-C064-4A28-8209-D7744D0FA99A}"/>
    <cellStyle name="Normal 12 2 7 2 2 3" xfId="33793" xr:uid="{237CC427-D1F2-421B-BE32-ED06946957C2}"/>
    <cellStyle name="Normal 12 2 7 2 2 4" xfId="16906" xr:uid="{60FDC48C-EBF8-4477-B5FB-733CCF29476A}"/>
    <cellStyle name="Normal 12 2 7 2 3" xfId="21129" xr:uid="{19DAD98A-CC38-4EA3-9C59-F53FE7653500}"/>
    <cellStyle name="Normal 12 2 7 2 4" xfId="29576" xr:uid="{E4AA575F-9F12-4D0A-9E66-2C42F5568FAE}"/>
    <cellStyle name="Normal 12 2 7 2 5" xfId="12688" xr:uid="{F2EDF487-2CFA-4303-84C1-C0A5672A76DE}"/>
    <cellStyle name="Normal 12 2 7 3" xfId="6319" xr:uid="{00000000-0005-0000-0000-0000190E0000}"/>
    <cellStyle name="Normal 12 2 7 3 2" xfId="23202" xr:uid="{22283E70-78A7-4DC2-A3C2-5DE37396DFAF}"/>
    <cellStyle name="Normal 12 2 7 3 3" xfId="31648" xr:uid="{1E183486-A3E4-4003-8209-B49D47536F44}"/>
    <cellStyle name="Normal 12 2 7 3 4" xfId="14761" xr:uid="{D802D3C6-FB43-496B-B1E2-C97BFF01B32F}"/>
    <cellStyle name="Normal 12 2 7 4" xfId="18984" xr:uid="{E0945018-C5FA-4AA7-BAA4-7FE6E1ECDC2A}"/>
    <cellStyle name="Normal 12 2 7 5" xfId="27429" xr:uid="{EB6851CB-55FA-4533-9E4D-1FAEEAC6237F}"/>
    <cellStyle name="Normal 12 2 7 6" xfId="10543" xr:uid="{6317942D-95CE-4E5F-BB21-EA947CC134CC}"/>
    <cellStyle name="Normal 12 2 8" xfId="2448" xr:uid="{00000000-0005-0000-0000-00001A0E0000}"/>
    <cellStyle name="Normal 12 2 8 2" xfId="6732" xr:uid="{00000000-0005-0000-0000-00001B0E0000}"/>
    <cellStyle name="Normal 12 2 8 2 2" xfId="23615" xr:uid="{087B44D9-1562-4DAB-BD9B-2CC3D5660FCB}"/>
    <cellStyle name="Normal 12 2 8 2 3" xfId="32061" xr:uid="{3DA9029E-4BAA-4856-B2F5-E628DC7E3EEA}"/>
    <cellStyle name="Normal 12 2 8 2 4" xfId="15174" xr:uid="{99EACD47-C6EE-4623-86B4-E245F09BA380}"/>
    <cellStyle name="Normal 12 2 8 3" xfId="19397" xr:uid="{4309C472-8B52-42DF-AAC1-1669EBE5C914}"/>
    <cellStyle name="Normal 12 2 8 4" xfId="27842" xr:uid="{E7B443BD-AD4C-4A5D-84B7-68CC451F519A}"/>
    <cellStyle name="Normal 12 2 8 5" xfId="10956" xr:uid="{CEC7BD6A-8394-4708-AD03-2F645F1D6DD3}"/>
    <cellStyle name="Normal 12 2 9" xfId="4666" xr:uid="{00000000-0005-0000-0000-00001C0E0000}"/>
    <cellStyle name="Normal 12 2 9 2" xfId="21549" xr:uid="{E5F259D0-228F-4BEF-9462-4C908D84EA9E}"/>
    <cellStyle name="Normal 12 2 9 3" xfId="29995" xr:uid="{5C070040-77A2-44BC-8726-0676F496DFBD}"/>
    <cellStyle name="Normal 12 2 9 4" xfId="13108" xr:uid="{6469C1F5-C03D-4B3F-AD2F-2D2556BECB66}"/>
    <cellStyle name="Normal 12 3" xfId="264" xr:uid="{00000000-0005-0000-0000-00001D0E0000}"/>
    <cellStyle name="Normal 12 3 10" xfId="25779" xr:uid="{9681E24C-3DD9-4AED-BAD5-B72635A40302}"/>
    <cellStyle name="Normal 12 3 11" xfId="34144" xr:uid="{AE0B645B-565B-4B6A-A5E2-158858DD23AD}"/>
    <cellStyle name="Normal 12 3 12" xfId="8894" xr:uid="{A7EE3CB1-160A-42DB-9AC0-FCD4BBFFD6E4}"/>
    <cellStyle name="Normal 12 3 2" xfId="265" xr:uid="{00000000-0005-0000-0000-00001E0E0000}"/>
    <cellStyle name="Normal 12 3 2 10" xfId="8895" xr:uid="{3521CC04-4497-4169-A9C6-1C42A07266ED}"/>
    <cellStyle name="Normal 12 3 2 2" xfId="766" xr:uid="{00000000-0005-0000-0000-00001F0E0000}"/>
    <cellStyle name="Normal 12 3 2 2 2" xfId="3007" xr:uid="{00000000-0005-0000-0000-0000200E0000}"/>
    <cellStyle name="Normal 12 3 2 2 2 2" xfId="7230" xr:uid="{00000000-0005-0000-0000-0000210E0000}"/>
    <cellStyle name="Normal 12 3 2 2 2 2 2" xfId="24113" xr:uid="{C1543DFE-5FE7-4524-BC9C-E9529FB6FE96}"/>
    <cellStyle name="Normal 12 3 2 2 2 2 3" xfId="32559" xr:uid="{3D99C53D-B57E-44DF-B3FF-C0F496666BEA}"/>
    <cellStyle name="Normal 12 3 2 2 2 2 4" xfId="15672" xr:uid="{B3E693FD-ED47-48B5-9ECA-75FCDDF44B7E}"/>
    <cellStyle name="Normal 12 3 2 2 2 3" xfId="19895" xr:uid="{3DE01394-46FC-48CD-9300-D191ADCAD31F}"/>
    <cellStyle name="Normal 12 3 2 2 2 4" xfId="28342" xr:uid="{E988814C-4B0B-458B-A803-1E54B6478E49}"/>
    <cellStyle name="Normal 12 3 2 2 2 5" xfId="11454" xr:uid="{08217D59-CFD6-49FE-B462-06B8D8A495A1}"/>
    <cellStyle name="Normal 12 3 2 2 3" xfId="5085" xr:uid="{00000000-0005-0000-0000-0000220E0000}"/>
    <cellStyle name="Normal 12 3 2 2 3 2" xfId="21968" xr:uid="{6C719E6F-5DA7-4A2C-903A-1644FAAC4811}"/>
    <cellStyle name="Normal 12 3 2 2 3 3" xfId="30414" xr:uid="{3501E309-7EEB-4F5B-BF1D-6035BBBB48C4}"/>
    <cellStyle name="Normal 12 3 2 2 3 4" xfId="13527" xr:uid="{BF2BD01C-BED4-4DF3-9AB5-5A8B654DB85E}"/>
    <cellStyle name="Normal 12 3 2 2 4" xfId="17750" xr:uid="{8DAB5330-28C6-4365-B8B4-6DD281DD9AC9}"/>
    <cellStyle name="Normal 12 3 2 2 5" xfId="26195" xr:uid="{D0A487F2-DF74-4CCD-B6C1-4419A72C213E}"/>
    <cellStyle name="Normal 12 3 2 2 6" xfId="9309" xr:uid="{7E80A4D3-07D1-463C-8B55-265F27570FCA}"/>
    <cellStyle name="Normal 12 3 2 3" xfId="1189" xr:uid="{00000000-0005-0000-0000-0000230E0000}"/>
    <cellStyle name="Normal 12 3 2 3 2" xfId="3420" xr:uid="{00000000-0005-0000-0000-0000240E0000}"/>
    <cellStyle name="Normal 12 3 2 3 2 2" xfId="7643" xr:uid="{00000000-0005-0000-0000-0000250E0000}"/>
    <cellStyle name="Normal 12 3 2 3 2 2 2" xfId="24526" xr:uid="{DE5C34D2-E7B1-4291-B60B-97D9D64D1E06}"/>
    <cellStyle name="Normal 12 3 2 3 2 2 3" xfId="32972" xr:uid="{28FD9776-B27E-4019-8A66-9AF7B14A742E}"/>
    <cellStyle name="Normal 12 3 2 3 2 2 4" xfId="16085" xr:uid="{EB2B7FAC-9369-454D-878D-E4287B2B71FE}"/>
    <cellStyle name="Normal 12 3 2 3 2 3" xfId="20308" xr:uid="{DCD0FEE3-2F87-47CA-A868-B62F7FDDD70D}"/>
    <cellStyle name="Normal 12 3 2 3 2 4" xfId="28755" xr:uid="{F0A1C864-D3C3-4A54-8800-5B696D3D2DD0}"/>
    <cellStyle name="Normal 12 3 2 3 2 5" xfId="11867" xr:uid="{CA60052C-11BC-4D82-BCE0-12022C6EC623}"/>
    <cellStyle name="Normal 12 3 2 3 3" xfId="5498" xr:uid="{00000000-0005-0000-0000-0000260E0000}"/>
    <cellStyle name="Normal 12 3 2 3 3 2" xfId="22381" xr:uid="{908E78CA-A85E-426C-8AF5-4436C262CB2F}"/>
    <cellStyle name="Normal 12 3 2 3 3 3" xfId="30827" xr:uid="{8E230D6A-B6B0-437A-9B07-B2DABEABF3AD}"/>
    <cellStyle name="Normal 12 3 2 3 3 4" xfId="13940" xr:uid="{66AA9C5A-460E-46A2-B204-877F05EFA12A}"/>
    <cellStyle name="Normal 12 3 2 3 4" xfId="18163" xr:uid="{BE45EA24-0F9E-4648-A687-897CC6F86027}"/>
    <cellStyle name="Normal 12 3 2 3 5" xfId="26608" xr:uid="{6D54EDD8-187A-4F22-9F3E-E854145B11B2}"/>
    <cellStyle name="Normal 12 3 2 3 6" xfId="9722" xr:uid="{7D687FD2-1143-402E-BAB2-D19B11C0EA36}"/>
    <cellStyle name="Normal 12 3 2 4" xfId="1603" xr:uid="{00000000-0005-0000-0000-0000270E0000}"/>
    <cellStyle name="Normal 12 3 2 4 2" xfId="3833" xr:uid="{00000000-0005-0000-0000-0000280E0000}"/>
    <cellStyle name="Normal 12 3 2 4 2 2" xfId="8056" xr:uid="{00000000-0005-0000-0000-0000290E0000}"/>
    <cellStyle name="Normal 12 3 2 4 2 2 2" xfId="24939" xr:uid="{B387F66C-EC14-40B9-8C51-4404569F2936}"/>
    <cellStyle name="Normal 12 3 2 4 2 2 3" xfId="33385" xr:uid="{B81CE0C8-6BA9-4B0C-A188-58A66078291F}"/>
    <cellStyle name="Normal 12 3 2 4 2 2 4" xfId="16498" xr:uid="{8FC2CEB3-58CF-49BC-9E10-00C39D4EDDA0}"/>
    <cellStyle name="Normal 12 3 2 4 2 3" xfId="20721" xr:uid="{611C425D-1747-4A58-8284-DB669120B930}"/>
    <cellStyle name="Normal 12 3 2 4 2 4" xfId="29168" xr:uid="{1F9FDC90-0823-419A-85A6-00DD6B132C54}"/>
    <cellStyle name="Normal 12 3 2 4 2 5" xfId="12280" xr:uid="{27A9040D-3C77-4CAE-98BE-A07B88969737}"/>
    <cellStyle name="Normal 12 3 2 4 3" xfId="5911" xr:uid="{00000000-0005-0000-0000-00002A0E0000}"/>
    <cellStyle name="Normal 12 3 2 4 3 2" xfId="22794" xr:uid="{08B3AE68-AED4-48B6-A01A-05C0951EC677}"/>
    <cellStyle name="Normal 12 3 2 4 3 3" xfId="31240" xr:uid="{CD45C3AF-4908-48AF-89D4-5E10FD787D9F}"/>
    <cellStyle name="Normal 12 3 2 4 3 4" xfId="14353" xr:uid="{4F43CB9B-828E-4C5B-B893-5E0C932C7D09}"/>
    <cellStyle name="Normal 12 3 2 4 4" xfId="18576" xr:uid="{66CAB6F0-1389-402E-AB1E-12AE912DA3FF}"/>
    <cellStyle name="Normal 12 3 2 4 5" xfId="27021" xr:uid="{30A50181-E968-413E-B237-1836D4C681CD}"/>
    <cellStyle name="Normal 12 3 2 4 6" xfId="10135" xr:uid="{2035097C-F843-435D-AE30-0C48725B32A5}"/>
    <cellStyle name="Normal 12 3 2 5" xfId="2017" xr:uid="{00000000-0005-0000-0000-00002B0E0000}"/>
    <cellStyle name="Normal 12 3 2 5 2" xfId="4246" xr:uid="{00000000-0005-0000-0000-00002C0E0000}"/>
    <cellStyle name="Normal 12 3 2 5 2 2" xfId="8469" xr:uid="{00000000-0005-0000-0000-00002D0E0000}"/>
    <cellStyle name="Normal 12 3 2 5 2 2 2" xfId="25352" xr:uid="{26E70183-0A5A-4596-AD4E-8BAE5AD3500D}"/>
    <cellStyle name="Normal 12 3 2 5 2 2 3" xfId="33798" xr:uid="{699BA96D-5D45-477C-AF15-D4F186FCD5F9}"/>
    <cellStyle name="Normal 12 3 2 5 2 2 4" xfId="16911" xr:uid="{324990F9-78BF-4722-9B6E-EFD50A3960F0}"/>
    <cellStyle name="Normal 12 3 2 5 2 3" xfId="21134" xr:uid="{6CFAC956-2724-4B5C-8EC2-A669489C2CAB}"/>
    <cellStyle name="Normal 12 3 2 5 2 4" xfId="29581" xr:uid="{59D44D97-742B-4803-840F-C3F2182A7699}"/>
    <cellStyle name="Normal 12 3 2 5 2 5" xfId="12693" xr:uid="{953C6E63-2A8C-4811-90BD-9792F3FBC2DF}"/>
    <cellStyle name="Normal 12 3 2 5 3" xfId="6324" xr:uid="{00000000-0005-0000-0000-00002E0E0000}"/>
    <cellStyle name="Normal 12 3 2 5 3 2" xfId="23207" xr:uid="{604984B1-AF8F-482B-8CEB-323DD11617C1}"/>
    <cellStyle name="Normal 12 3 2 5 3 3" xfId="31653" xr:uid="{DE210045-3508-4BDE-BE68-3695EAA3BC51}"/>
    <cellStyle name="Normal 12 3 2 5 3 4" xfId="14766" xr:uid="{98C5D355-B057-4813-98A5-8887931662C0}"/>
    <cellStyle name="Normal 12 3 2 5 4" xfId="18989" xr:uid="{CB5AA5B9-3C34-4FD5-9347-C6CEEEC998C0}"/>
    <cellStyle name="Normal 12 3 2 5 5" xfId="27434" xr:uid="{13DB9B06-3FFC-455B-BDB8-05BBBEB5BD21}"/>
    <cellStyle name="Normal 12 3 2 5 6" xfId="10548" xr:uid="{2B1B208A-E18E-42FF-98AC-DFD8D758C64D}"/>
    <cellStyle name="Normal 12 3 2 6" xfId="2453" xr:uid="{00000000-0005-0000-0000-00002F0E0000}"/>
    <cellStyle name="Normal 12 3 2 6 2" xfId="6737" xr:uid="{00000000-0005-0000-0000-0000300E0000}"/>
    <cellStyle name="Normal 12 3 2 6 2 2" xfId="23620" xr:uid="{CB1417C4-D6A3-4068-91F9-30A6182E9653}"/>
    <cellStyle name="Normal 12 3 2 6 2 3" xfId="32066" xr:uid="{49028A1C-8EEF-4382-9541-4721FD2DFA1E}"/>
    <cellStyle name="Normal 12 3 2 6 2 4" xfId="15179" xr:uid="{4FD497A8-E982-4919-BDA1-4BFF84C5BCBC}"/>
    <cellStyle name="Normal 12 3 2 6 3" xfId="19402" xr:uid="{586BB5E2-2E8F-422F-B767-8DE202D91C91}"/>
    <cellStyle name="Normal 12 3 2 6 4" xfId="27847" xr:uid="{86A6A09E-873E-4887-A62D-BD8767255604}"/>
    <cellStyle name="Normal 12 3 2 6 5" xfId="10961" xr:uid="{7077C038-E170-4517-88E2-AB2A3C27172B}"/>
    <cellStyle name="Normal 12 3 2 7" xfId="4671" xr:uid="{00000000-0005-0000-0000-0000310E0000}"/>
    <cellStyle name="Normal 12 3 2 7 2" xfId="21554" xr:uid="{6E0C51B3-4A97-4499-809B-DF862505B8B6}"/>
    <cellStyle name="Normal 12 3 2 7 3" xfId="30000" xr:uid="{29358058-B740-4EE1-9343-C32D28547740}"/>
    <cellStyle name="Normal 12 3 2 7 4" xfId="13113" xr:uid="{2C1D1450-F8FB-4B44-8A43-6F0BC4C83A65}"/>
    <cellStyle name="Normal 12 3 2 8" xfId="17336" xr:uid="{C797D107-6FFA-4592-B0EB-DE95992F9E27}"/>
    <cellStyle name="Normal 12 3 2 9" xfId="25780" xr:uid="{DB18730C-3AD1-45FF-A4BF-4A5067428685}"/>
    <cellStyle name="Normal 12 3 3" xfId="765" xr:uid="{00000000-0005-0000-0000-0000320E0000}"/>
    <cellStyle name="Normal 12 3 3 2" xfId="3006" xr:uid="{00000000-0005-0000-0000-0000330E0000}"/>
    <cellStyle name="Normal 12 3 3 2 2" xfId="7229" xr:uid="{00000000-0005-0000-0000-0000340E0000}"/>
    <cellStyle name="Normal 12 3 3 2 2 2" xfId="24112" xr:uid="{67F7B474-BBDD-4BC2-B129-3C7B255F8ED3}"/>
    <cellStyle name="Normal 12 3 3 2 2 3" xfId="32558" xr:uid="{30A31FEC-6EDF-47BA-AEA8-2F8F51889C8D}"/>
    <cellStyle name="Normal 12 3 3 2 2 4" xfId="15671" xr:uid="{28D7E50F-E775-4BD0-B177-660584995C87}"/>
    <cellStyle name="Normal 12 3 3 2 3" xfId="19894" xr:uid="{4FDC494C-5C2E-4E11-A0E8-E4D8DF966AC2}"/>
    <cellStyle name="Normal 12 3 3 2 4" xfId="28341" xr:uid="{22621443-E535-4835-BA2F-1113E27D6C87}"/>
    <cellStyle name="Normal 12 3 3 2 5" xfId="11453" xr:uid="{679248D4-331A-46B6-9808-2432E95C4A3B}"/>
    <cellStyle name="Normal 12 3 3 3" xfId="5084" xr:uid="{00000000-0005-0000-0000-0000350E0000}"/>
    <cellStyle name="Normal 12 3 3 3 2" xfId="21967" xr:uid="{2AEC6DB0-8DF6-475C-88EA-6758D4F4B13E}"/>
    <cellStyle name="Normal 12 3 3 3 3" xfId="30413" xr:uid="{E045CEAC-4436-4C80-9029-E49C04027873}"/>
    <cellStyle name="Normal 12 3 3 3 4" xfId="13526" xr:uid="{F9067574-BD6A-4434-A8B3-FB6DA43283CB}"/>
    <cellStyle name="Normal 12 3 3 4" xfId="17749" xr:uid="{83898C7D-EED8-4B6B-B1F2-2C735367B6BC}"/>
    <cellStyle name="Normal 12 3 3 5" xfId="26194" xr:uid="{108405CA-F08B-4728-B341-03CD036B90B5}"/>
    <cellStyle name="Normal 12 3 3 6" xfId="9308" xr:uid="{21C657BD-3CCD-4A27-849B-5CDF1FC44B7B}"/>
    <cellStyle name="Normal 12 3 4" xfId="1188" xr:uid="{00000000-0005-0000-0000-0000360E0000}"/>
    <cellStyle name="Normal 12 3 4 2" xfId="3419" xr:uid="{00000000-0005-0000-0000-0000370E0000}"/>
    <cellStyle name="Normal 12 3 4 2 2" xfId="7642" xr:uid="{00000000-0005-0000-0000-0000380E0000}"/>
    <cellStyle name="Normal 12 3 4 2 2 2" xfId="24525" xr:uid="{B9EDF3B4-1CCC-4218-88BA-833411731E89}"/>
    <cellStyle name="Normal 12 3 4 2 2 3" xfId="32971" xr:uid="{657B4E48-903A-4D22-8A44-7B1515D0F245}"/>
    <cellStyle name="Normal 12 3 4 2 2 4" xfId="16084" xr:uid="{693E92E3-F4D9-4333-B9E1-5D6347F15217}"/>
    <cellStyle name="Normal 12 3 4 2 3" xfId="20307" xr:uid="{7F4F525D-EE20-4F00-934E-B04CC41A99AE}"/>
    <cellStyle name="Normal 12 3 4 2 4" xfId="28754" xr:uid="{749E18A4-2087-4660-9B6B-DD71432ED328}"/>
    <cellStyle name="Normal 12 3 4 2 5" xfId="11866" xr:uid="{F22411AA-1156-440B-B393-AC0CC2ABDF56}"/>
    <cellStyle name="Normal 12 3 4 3" xfId="5497" xr:uid="{00000000-0005-0000-0000-0000390E0000}"/>
    <cellStyle name="Normal 12 3 4 3 2" xfId="22380" xr:uid="{090272D9-40E6-4906-B073-F76F97ADE37B}"/>
    <cellStyle name="Normal 12 3 4 3 3" xfId="30826" xr:uid="{66F1FED6-E8E7-44B7-8A34-7B4EE44B77EC}"/>
    <cellStyle name="Normal 12 3 4 3 4" xfId="13939" xr:uid="{4FAAB7A6-ABFA-42C2-8C26-D7B4BB1964B4}"/>
    <cellStyle name="Normal 12 3 4 4" xfId="18162" xr:uid="{06AA285B-88C2-43BC-AF66-57070F4E8D05}"/>
    <cellStyle name="Normal 12 3 4 5" xfId="26607" xr:uid="{CCDA1BC6-4ED3-4645-9115-E200DE1CF7EA}"/>
    <cellStyle name="Normal 12 3 4 6" xfId="9721" xr:uid="{E202EAD2-BD26-4EBD-9B57-60B3D9361E66}"/>
    <cellStyle name="Normal 12 3 5" xfId="1602" xr:uid="{00000000-0005-0000-0000-00003A0E0000}"/>
    <cellStyle name="Normal 12 3 5 2" xfId="3832" xr:uid="{00000000-0005-0000-0000-00003B0E0000}"/>
    <cellStyle name="Normal 12 3 5 2 2" xfId="8055" xr:uid="{00000000-0005-0000-0000-00003C0E0000}"/>
    <cellStyle name="Normal 12 3 5 2 2 2" xfId="24938" xr:uid="{EA848F17-D77A-4DFD-854D-1150FF0D29C2}"/>
    <cellStyle name="Normal 12 3 5 2 2 3" xfId="33384" xr:uid="{552A32F6-4808-4CC4-9937-2F01F565C9E1}"/>
    <cellStyle name="Normal 12 3 5 2 2 4" xfId="16497" xr:uid="{07C033CA-7093-45F8-9303-83288095FC43}"/>
    <cellStyle name="Normal 12 3 5 2 3" xfId="20720" xr:uid="{90920686-0F76-4C05-BC59-BE368726B7FA}"/>
    <cellStyle name="Normal 12 3 5 2 4" xfId="29167" xr:uid="{AE5B8C79-AD25-496E-83EB-AAB69311E148}"/>
    <cellStyle name="Normal 12 3 5 2 5" xfId="12279" xr:uid="{EB5F63B3-8F0D-4AC0-BEF3-E3734CC57524}"/>
    <cellStyle name="Normal 12 3 5 3" xfId="5910" xr:uid="{00000000-0005-0000-0000-00003D0E0000}"/>
    <cellStyle name="Normal 12 3 5 3 2" xfId="22793" xr:uid="{39AE5950-A493-4243-89C2-10DC9D11C38D}"/>
    <cellStyle name="Normal 12 3 5 3 3" xfId="31239" xr:uid="{012C7CCF-2332-46A9-8D39-FBB774E1C584}"/>
    <cellStyle name="Normal 12 3 5 3 4" xfId="14352" xr:uid="{B4A4AA5E-26F5-437D-BB75-744AFDA68200}"/>
    <cellStyle name="Normal 12 3 5 4" xfId="18575" xr:uid="{8F8D5DFB-74DB-40D0-9426-15218E19C5E8}"/>
    <cellStyle name="Normal 12 3 5 5" xfId="27020" xr:uid="{C756B67E-9813-4769-9E38-482EB25A7E80}"/>
    <cellStyle name="Normal 12 3 5 6" xfId="10134" xr:uid="{BCC95A0E-3EB6-4D39-B779-26B2914F3814}"/>
    <cellStyle name="Normal 12 3 6" xfId="2016" xr:uid="{00000000-0005-0000-0000-00003E0E0000}"/>
    <cellStyle name="Normal 12 3 6 2" xfId="4245" xr:uid="{00000000-0005-0000-0000-00003F0E0000}"/>
    <cellStyle name="Normal 12 3 6 2 2" xfId="8468" xr:uid="{00000000-0005-0000-0000-0000400E0000}"/>
    <cellStyle name="Normal 12 3 6 2 2 2" xfId="25351" xr:uid="{4FC9B241-72E0-4391-A1F5-CB7EFDCACC1A}"/>
    <cellStyle name="Normal 12 3 6 2 2 3" xfId="33797" xr:uid="{A25BC106-1C52-4DC8-BFD9-F5EE6CCF3277}"/>
    <cellStyle name="Normal 12 3 6 2 2 4" xfId="16910" xr:uid="{0AD1BC8E-AFD2-4439-9635-4467589256C2}"/>
    <cellStyle name="Normal 12 3 6 2 3" xfId="21133" xr:uid="{44C42D39-4251-4FF8-98F2-6BA66A62F240}"/>
    <cellStyle name="Normal 12 3 6 2 4" xfId="29580" xr:uid="{7178864D-EBFC-484D-A44C-5DB6566984E2}"/>
    <cellStyle name="Normal 12 3 6 2 5" xfId="12692" xr:uid="{D6B3B4D5-9490-428B-9F5F-0CFD3730C01A}"/>
    <cellStyle name="Normal 12 3 6 3" xfId="6323" xr:uid="{00000000-0005-0000-0000-0000410E0000}"/>
    <cellStyle name="Normal 12 3 6 3 2" xfId="23206" xr:uid="{B0A91FB7-AC68-4701-A299-8C5869F7E725}"/>
    <cellStyle name="Normal 12 3 6 3 3" xfId="31652" xr:uid="{BD0D9F19-404B-4095-9D8B-8A46391ED21B}"/>
    <cellStyle name="Normal 12 3 6 3 4" xfId="14765" xr:uid="{7125B40D-26B1-47FA-ACF5-C67088998208}"/>
    <cellStyle name="Normal 12 3 6 4" xfId="18988" xr:uid="{9033C75F-C532-44EF-A53C-72B8F000D6BB}"/>
    <cellStyle name="Normal 12 3 6 5" xfId="27433" xr:uid="{78524B03-82B1-4C2A-A600-5CCC2B3911C5}"/>
    <cellStyle name="Normal 12 3 6 6" xfId="10547" xr:uid="{35EAA9C9-4AD0-4E86-B710-FC572E197AF4}"/>
    <cellStyle name="Normal 12 3 7" xfId="2452" xr:uid="{00000000-0005-0000-0000-0000420E0000}"/>
    <cellStyle name="Normal 12 3 7 2" xfId="6736" xr:uid="{00000000-0005-0000-0000-0000430E0000}"/>
    <cellStyle name="Normal 12 3 7 2 2" xfId="23619" xr:uid="{DA768B15-943B-4F39-BA66-DCA8CDD40206}"/>
    <cellStyle name="Normal 12 3 7 2 3" xfId="32065" xr:uid="{3300B950-C39E-408E-A154-EF6BD93B7173}"/>
    <cellStyle name="Normal 12 3 7 2 4" xfId="15178" xr:uid="{44D1D9BA-FA54-462F-83C5-CEF2D2F64DF7}"/>
    <cellStyle name="Normal 12 3 7 3" xfId="19401" xr:uid="{B9582F56-3898-47EE-ACDD-A0A884DF4E3F}"/>
    <cellStyle name="Normal 12 3 7 4" xfId="27846" xr:uid="{5CCDC00C-3F43-4EFB-9070-E8074B607C0F}"/>
    <cellStyle name="Normal 12 3 7 5" xfId="10960" xr:uid="{61D42BD5-FD36-4F52-A401-890350CB32FC}"/>
    <cellStyle name="Normal 12 3 8" xfId="4670" xr:uid="{00000000-0005-0000-0000-0000440E0000}"/>
    <cellStyle name="Normal 12 3 8 2" xfId="21553" xr:uid="{0E240EF0-62B9-4D1D-B502-A34DC9F3869E}"/>
    <cellStyle name="Normal 12 3 8 3" xfId="29999" xr:uid="{56D5E27B-D0F7-499A-8D8A-91DCE31C0742}"/>
    <cellStyle name="Normal 12 3 8 4" xfId="13112" xr:uid="{C93CDFC6-917E-4BBF-B11D-A8BC8C6EB3F1}"/>
    <cellStyle name="Normal 12 3 9" xfId="17335" xr:uid="{BB978811-77CF-4407-9314-404095D8D834}"/>
    <cellStyle name="Normal 12 4" xfId="266" xr:uid="{00000000-0005-0000-0000-0000450E0000}"/>
    <cellStyle name="Normal 12 4 10" xfId="8896" xr:uid="{43E3D916-B393-4F41-A4B0-A87D3D46FD41}"/>
    <cellStyle name="Normal 12 4 2" xfId="767" xr:uid="{00000000-0005-0000-0000-0000460E0000}"/>
    <cellStyle name="Normal 12 4 2 2" xfId="3008" xr:uid="{00000000-0005-0000-0000-0000470E0000}"/>
    <cellStyle name="Normal 12 4 2 2 2" xfId="7231" xr:uid="{00000000-0005-0000-0000-0000480E0000}"/>
    <cellStyle name="Normal 12 4 2 2 2 2" xfId="24114" xr:uid="{59352767-3190-4FAA-973B-CCE1103F03C9}"/>
    <cellStyle name="Normal 12 4 2 2 2 3" xfId="32560" xr:uid="{22D1C18A-D3FA-4E04-AD0B-2B46931CD78D}"/>
    <cellStyle name="Normal 12 4 2 2 2 4" xfId="15673" xr:uid="{1069620C-942D-4C4F-8FE1-18F1F967C9E8}"/>
    <cellStyle name="Normal 12 4 2 2 3" xfId="19896" xr:uid="{25020A57-CC19-46B5-A245-4A16ADA0C9A0}"/>
    <cellStyle name="Normal 12 4 2 2 4" xfId="28343" xr:uid="{6B12E30E-C5BD-4DEC-A2BA-B52F0D6EED03}"/>
    <cellStyle name="Normal 12 4 2 2 5" xfId="11455" xr:uid="{C9479C03-BC5C-47AF-B619-18134478E851}"/>
    <cellStyle name="Normal 12 4 2 3" xfId="5086" xr:uid="{00000000-0005-0000-0000-0000490E0000}"/>
    <cellStyle name="Normal 12 4 2 3 2" xfId="21969" xr:uid="{F78FCC70-9D89-4377-9A69-DA5185720808}"/>
    <cellStyle name="Normal 12 4 2 3 3" xfId="30415" xr:uid="{578151A5-C8F3-42D8-9064-13D2A7E91EFB}"/>
    <cellStyle name="Normal 12 4 2 3 4" xfId="13528" xr:uid="{0A74F001-9FAC-4560-A22D-C8C5C6D6760B}"/>
    <cellStyle name="Normal 12 4 2 4" xfId="17751" xr:uid="{14ADD3E8-34CC-44AD-946C-92A4904FC9B9}"/>
    <cellStyle name="Normal 12 4 2 5" xfId="26196" xr:uid="{E447566D-3A49-44B4-B070-112213F90AC8}"/>
    <cellStyle name="Normal 12 4 2 6" xfId="9310" xr:uid="{6FD95AF1-B464-416D-8030-0A6AE6783B8A}"/>
    <cellStyle name="Normal 12 4 3" xfId="1190" xr:uid="{00000000-0005-0000-0000-00004A0E0000}"/>
    <cellStyle name="Normal 12 4 3 2" xfId="3421" xr:uid="{00000000-0005-0000-0000-00004B0E0000}"/>
    <cellStyle name="Normal 12 4 3 2 2" xfId="7644" xr:uid="{00000000-0005-0000-0000-00004C0E0000}"/>
    <cellStyle name="Normal 12 4 3 2 2 2" xfId="24527" xr:uid="{600017AB-5CA6-4EA2-8BC9-232D78A4D0A5}"/>
    <cellStyle name="Normal 12 4 3 2 2 3" xfId="32973" xr:uid="{59409CA7-D58C-432D-AD52-04B2BC56FC6D}"/>
    <cellStyle name="Normal 12 4 3 2 2 4" xfId="16086" xr:uid="{98F54842-91CC-442E-A353-FB3F633E0027}"/>
    <cellStyle name="Normal 12 4 3 2 3" xfId="20309" xr:uid="{0D54CDA9-E35F-42F7-AD26-9389E4BBB61F}"/>
    <cellStyle name="Normal 12 4 3 2 4" xfId="28756" xr:uid="{94A7E5C9-CB3E-4C93-ADCA-509B6490BC33}"/>
    <cellStyle name="Normal 12 4 3 2 5" xfId="11868" xr:uid="{6CE5978E-2485-4E7B-9C31-F6395A474E27}"/>
    <cellStyle name="Normal 12 4 3 3" xfId="5499" xr:uid="{00000000-0005-0000-0000-00004D0E0000}"/>
    <cellStyle name="Normal 12 4 3 3 2" xfId="22382" xr:uid="{50B5FD4E-2829-49B0-83CC-EAF27B7B8438}"/>
    <cellStyle name="Normal 12 4 3 3 3" xfId="30828" xr:uid="{EFD64245-BC48-4705-BBAF-E6198FB873CA}"/>
    <cellStyle name="Normal 12 4 3 3 4" xfId="13941" xr:uid="{94BC927E-4066-4ECB-A34C-9A43D829AB7A}"/>
    <cellStyle name="Normal 12 4 3 4" xfId="18164" xr:uid="{11FA358B-B7E9-4561-8BDD-A07B5C6952EC}"/>
    <cellStyle name="Normal 12 4 3 5" xfId="26609" xr:uid="{4FEB738E-0564-4E9D-82DC-CB4367AD9E79}"/>
    <cellStyle name="Normal 12 4 3 6" xfId="9723" xr:uid="{2E878563-E48E-4B0C-B699-2FE95CB91A55}"/>
    <cellStyle name="Normal 12 4 4" xfId="1604" xr:uid="{00000000-0005-0000-0000-00004E0E0000}"/>
    <cellStyle name="Normal 12 4 4 2" xfId="3834" xr:uid="{00000000-0005-0000-0000-00004F0E0000}"/>
    <cellStyle name="Normal 12 4 4 2 2" xfId="8057" xr:uid="{00000000-0005-0000-0000-0000500E0000}"/>
    <cellStyle name="Normal 12 4 4 2 2 2" xfId="24940" xr:uid="{381359DC-5C7A-4B85-A51F-BBD998D97E41}"/>
    <cellStyle name="Normal 12 4 4 2 2 3" xfId="33386" xr:uid="{D9B3F0ED-C18A-418A-B9B5-5D4A4F76C2AF}"/>
    <cellStyle name="Normal 12 4 4 2 2 4" xfId="16499" xr:uid="{153AB110-9AEB-4C57-BA7E-EDC073BEEF42}"/>
    <cellStyle name="Normal 12 4 4 2 3" xfId="20722" xr:uid="{7050827F-C3AF-4731-9542-DE9CB14878E5}"/>
    <cellStyle name="Normal 12 4 4 2 4" xfId="29169" xr:uid="{9607D5E2-5049-463F-BE65-261258A78E3E}"/>
    <cellStyle name="Normal 12 4 4 2 5" xfId="12281" xr:uid="{0D958986-259B-435E-B1CB-545B52C138A4}"/>
    <cellStyle name="Normal 12 4 4 3" xfId="5912" xr:uid="{00000000-0005-0000-0000-0000510E0000}"/>
    <cellStyle name="Normal 12 4 4 3 2" xfId="22795" xr:uid="{9062B27D-18EC-4848-B7F6-0B0ABE8B44A8}"/>
    <cellStyle name="Normal 12 4 4 3 3" xfId="31241" xr:uid="{ED21CFCE-D970-4455-86F4-745C6A66E07F}"/>
    <cellStyle name="Normal 12 4 4 3 4" xfId="14354" xr:uid="{ABBE850D-40B9-42C9-9876-06676C5B4AA8}"/>
    <cellStyle name="Normal 12 4 4 4" xfId="18577" xr:uid="{7B81D8F9-3C9B-45A4-8C67-225468F1E419}"/>
    <cellStyle name="Normal 12 4 4 5" xfId="27022" xr:uid="{A7A518AB-C580-4BC4-80EA-D9459129BB3E}"/>
    <cellStyle name="Normal 12 4 4 6" xfId="10136" xr:uid="{D5120198-80EA-4834-8B86-64EC44890898}"/>
    <cellStyle name="Normal 12 4 5" xfId="2018" xr:uid="{00000000-0005-0000-0000-0000520E0000}"/>
    <cellStyle name="Normal 12 4 5 2" xfId="4247" xr:uid="{00000000-0005-0000-0000-0000530E0000}"/>
    <cellStyle name="Normal 12 4 5 2 2" xfId="8470" xr:uid="{00000000-0005-0000-0000-0000540E0000}"/>
    <cellStyle name="Normal 12 4 5 2 2 2" xfId="25353" xr:uid="{1C53CCF5-56E2-496A-942F-E6DDFA65E87A}"/>
    <cellStyle name="Normal 12 4 5 2 2 3" xfId="33799" xr:uid="{3930E565-E88C-4A6F-884B-A49246D81CD3}"/>
    <cellStyle name="Normal 12 4 5 2 2 4" xfId="16912" xr:uid="{FF01613D-9314-4DF8-A2C2-AE25980E0D68}"/>
    <cellStyle name="Normal 12 4 5 2 3" xfId="21135" xr:uid="{05B77FD3-6970-47B6-B27B-E1E7901D241C}"/>
    <cellStyle name="Normal 12 4 5 2 4" xfId="29582" xr:uid="{918F4454-06A0-4DBD-A81B-7DF09F93B52F}"/>
    <cellStyle name="Normal 12 4 5 2 5" xfId="12694" xr:uid="{94B0132F-AB53-4BEA-B42F-DE052AF1B844}"/>
    <cellStyle name="Normal 12 4 5 3" xfId="6325" xr:uid="{00000000-0005-0000-0000-0000550E0000}"/>
    <cellStyle name="Normal 12 4 5 3 2" xfId="23208" xr:uid="{569504F9-C528-47E7-B4B0-227BF0712EA3}"/>
    <cellStyle name="Normal 12 4 5 3 3" xfId="31654" xr:uid="{A182EFB5-28DD-496D-9B9D-629CFD77F07B}"/>
    <cellStyle name="Normal 12 4 5 3 4" xfId="14767" xr:uid="{AFEB5355-D97B-4F18-98DA-61A3DAD85E6F}"/>
    <cellStyle name="Normal 12 4 5 4" xfId="18990" xr:uid="{F815FA27-0F65-479B-A7F6-C6D01D803E72}"/>
    <cellStyle name="Normal 12 4 5 5" xfId="27435" xr:uid="{155A29CE-8DBB-4EDA-85D7-746B50642E69}"/>
    <cellStyle name="Normal 12 4 5 6" xfId="10549" xr:uid="{D456E61A-BBF0-491E-BDF8-62FC566D32B2}"/>
    <cellStyle name="Normal 12 4 6" xfId="2454" xr:uid="{00000000-0005-0000-0000-0000560E0000}"/>
    <cellStyle name="Normal 12 4 6 2" xfId="6738" xr:uid="{00000000-0005-0000-0000-0000570E0000}"/>
    <cellStyle name="Normal 12 4 6 2 2" xfId="23621" xr:uid="{B0CF0C9E-C200-456B-B2C3-35A21AD744A2}"/>
    <cellStyle name="Normal 12 4 6 2 3" xfId="32067" xr:uid="{6A1FDBFA-9EC6-4361-9B9F-C48F98058B2B}"/>
    <cellStyle name="Normal 12 4 6 2 4" xfId="15180" xr:uid="{EA62B226-B36A-439D-8B84-927FE792378E}"/>
    <cellStyle name="Normal 12 4 6 3" xfId="19403" xr:uid="{A83B796F-66AE-4DD5-85EA-D6D885A67E87}"/>
    <cellStyle name="Normal 12 4 6 4" xfId="27848" xr:uid="{799162E6-B507-4172-AF2C-7D509B0DBF3F}"/>
    <cellStyle name="Normal 12 4 6 5" xfId="10962" xr:uid="{82B7D710-DE66-4888-B5FA-2FA7986546D7}"/>
    <cellStyle name="Normal 12 4 7" xfId="4672" xr:uid="{00000000-0005-0000-0000-0000580E0000}"/>
    <cellStyle name="Normal 12 4 7 2" xfId="21555" xr:uid="{B438D8F3-EFD1-4E85-AFBC-F099AACF314F}"/>
    <cellStyle name="Normal 12 4 7 3" xfId="30001" xr:uid="{B379CC05-656E-4AC9-AC88-170C4BAB4E05}"/>
    <cellStyle name="Normal 12 4 7 4" xfId="13114" xr:uid="{43EA0F48-3B61-45CF-AB57-B5F97935766A}"/>
    <cellStyle name="Normal 12 4 8" xfId="17337" xr:uid="{E35881CA-DEBD-4A03-AE43-DEB93FEF5E3D}"/>
    <cellStyle name="Normal 12 4 9" xfId="25781" xr:uid="{868F26B7-AFAB-416B-A8B5-82978AF67DCD}"/>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24107" xr:uid="{DE2FA265-3E10-42B4-842D-84BB7943E612}"/>
    <cellStyle name="Normal 12 6 2 2 3" xfId="32553" xr:uid="{CF1B2079-A7DD-42C0-AF1E-65D082A89DE3}"/>
    <cellStyle name="Normal 12 6 2 2 4" xfId="15666" xr:uid="{855879A2-FE20-4F59-A764-0B0F7F37AF8D}"/>
    <cellStyle name="Normal 12 6 2 3" xfId="19889" xr:uid="{B3F0D55F-7130-424E-AA7C-E5D85C54D805}"/>
    <cellStyle name="Normal 12 6 2 4" xfId="28336" xr:uid="{94786EAC-6615-4244-BB42-F9FEADE1DB5A}"/>
    <cellStyle name="Normal 12 6 2 5" xfId="11448" xr:uid="{C12F170D-65C5-45FA-B22F-02F356D5CC54}"/>
    <cellStyle name="Normal 12 6 3" xfId="5079" xr:uid="{00000000-0005-0000-0000-00005D0E0000}"/>
    <cellStyle name="Normal 12 6 3 2" xfId="21962" xr:uid="{531B959B-834E-4709-B543-75B889674647}"/>
    <cellStyle name="Normal 12 6 3 3" xfId="30408" xr:uid="{2255DAE8-0B99-4D27-A1C6-6D44CEF35340}"/>
    <cellStyle name="Normal 12 6 3 4" xfId="13521" xr:uid="{0AAA86CF-E795-4110-AA68-18C3F5C8E85B}"/>
    <cellStyle name="Normal 12 6 4" xfId="17744" xr:uid="{19166BDC-289E-4CF0-BF70-D48F129BCDF4}"/>
    <cellStyle name="Normal 12 6 5" xfId="26189" xr:uid="{D895F831-2723-48A1-9F80-06187832EBC9}"/>
    <cellStyle name="Normal 12 6 6" xfId="9303" xr:uid="{68CB9827-AA96-4672-ADD5-A3EF5022CFDB}"/>
    <cellStyle name="Normal 12 7" xfId="1183" xr:uid="{00000000-0005-0000-0000-00005E0E0000}"/>
    <cellStyle name="Normal 12 7 2" xfId="3414" xr:uid="{00000000-0005-0000-0000-00005F0E0000}"/>
    <cellStyle name="Normal 12 7 2 2" xfId="7637" xr:uid="{00000000-0005-0000-0000-0000600E0000}"/>
    <cellStyle name="Normal 12 7 2 2 2" xfId="24520" xr:uid="{A5B5D5A1-B7EF-491C-8BE9-7BF86F4099A6}"/>
    <cellStyle name="Normal 12 7 2 2 3" xfId="32966" xr:uid="{185594A8-C00F-4E57-B92A-CE45C67F8EBC}"/>
    <cellStyle name="Normal 12 7 2 2 4" xfId="16079" xr:uid="{12F3112E-3D06-4384-BB3E-0BA6285DE853}"/>
    <cellStyle name="Normal 12 7 2 3" xfId="20302" xr:uid="{6426F248-D772-4E9F-A54D-9BBDBD78C32B}"/>
    <cellStyle name="Normal 12 7 2 4" xfId="28749" xr:uid="{9270EC80-1554-41E2-93C3-CAE308166211}"/>
    <cellStyle name="Normal 12 7 2 5" xfId="11861" xr:uid="{4579BDDC-FE41-4371-903E-53C67DE0EFC1}"/>
    <cellStyle name="Normal 12 7 3" xfId="5492" xr:uid="{00000000-0005-0000-0000-0000610E0000}"/>
    <cellStyle name="Normal 12 7 3 2" xfId="22375" xr:uid="{529FD58D-2530-421F-8ADC-99B3112B4658}"/>
    <cellStyle name="Normal 12 7 3 3" xfId="30821" xr:uid="{FD66E24B-8F88-42FB-88C1-9227A0258732}"/>
    <cellStyle name="Normal 12 7 3 4" xfId="13934" xr:uid="{5D45DC7C-7854-4F19-8D43-B82C66F432F8}"/>
    <cellStyle name="Normal 12 7 4" xfId="18157" xr:uid="{0B890744-CDCB-4122-89A2-FFC12E796F37}"/>
    <cellStyle name="Normal 12 7 5" xfId="26602" xr:uid="{8D6E6E4C-7459-4854-8620-A364076327A5}"/>
    <cellStyle name="Normal 12 7 6" xfId="9716" xr:uid="{45C99E29-D82F-4090-A00E-EDEFEFAF51A4}"/>
    <cellStyle name="Normal 12 8" xfId="1597" xr:uid="{00000000-0005-0000-0000-0000620E0000}"/>
    <cellStyle name="Normal 12 8 2" xfId="3827" xr:uid="{00000000-0005-0000-0000-0000630E0000}"/>
    <cellStyle name="Normal 12 8 2 2" xfId="8050" xr:uid="{00000000-0005-0000-0000-0000640E0000}"/>
    <cellStyle name="Normal 12 8 2 2 2" xfId="24933" xr:uid="{52279CB6-74C7-43C7-9768-D87A81B68D45}"/>
    <cellStyle name="Normal 12 8 2 2 3" xfId="33379" xr:uid="{E7ECAB2F-11CE-4992-A60F-4B16947B18E6}"/>
    <cellStyle name="Normal 12 8 2 2 4" xfId="16492" xr:uid="{096F7EFD-5025-4904-95EF-B4A29D8A3A45}"/>
    <cellStyle name="Normal 12 8 2 3" xfId="20715" xr:uid="{AC57D505-FAFE-419C-92A2-FE655E113EDD}"/>
    <cellStyle name="Normal 12 8 2 4" xfId="29162" xr:uid="{C422D7CB-2F00-46F0-975F-683113EDE725}"/>
    <cellStyle name="Normal 12 8 2 5" xfId="12274" xr:uid="{1ACAB87D-1E63-48B2-B58A-99F172755297}"/>
    <cellStyle name="Normal 12 8 3" xfId="5905" xr:uid="{00000000-0005-0000-0000-0000650E0000}"/>
    <cellStyle name="Normal 12 8 3 2" xfId="22788" xr:uid="{CEAA41DB-0639-4E6F-AC21-3CDC7CE020EC}"/>
    <cellStyle name="Normal 12 8 3 3" xfId="31234" xr:uid="{9DA3E2A4-1B9B-4D73-8DD9-E71D1A24C369}"/>
    <cellStyle name="Normal 12 8 3 4" xfId="14347" xr:uid="{32662078-9A3A-46CC-B9F8-F0BF692191B9}"/>
    <cellStyle name="Normal 12 8 4" xfId="18570" xr:uid="{62D9B111-1AB7-4456-86DB-01475414B012}"/>
    <cellStyle name="Normal 12 8 5" xfId="27015" xr:uid="{BDF35935-0337-4121-99A4-3FE8373AEB8D}"/>
    <cellStyle name="Normal 12 8 6" xfId="10129" xr:uid="{91DEA0E2-EE40-4F05-AAAD-2AF9E8FC6B73}"/>
    <cellStyle name="Normal 12 9" xfId="2011" xr:uid="{00000000-0005-0000-0000-0000660E0000}"/>
    <cellStyle name="Normal 12 9 2" xfId="4240" xr:uid="{00000000-0005-0000-0000-0000670E0000}"/>
    <cellStyle name="Normal 12 9 2 2" xfId="8463" xr:uid="{00000000-0005-0000-0000-0000680E0000}"/>
    <cellStyle name="Normal 12 9 2 2 2" xfId="25346" xr:uid="{B4D70781-B167-4D49-BE78-5F7547979166}"/>
    <cellStyle name="Normal 12 9 2 2 3" xfId="33792" xr:uid="{2C8CBFC9-3D63-4063-9462-1E8704CEE939}"/>
    <cellStyle name="Normal 12 9 2 2 4" xfId="16905" xr:uid="{8148BCD5-64B1-4508-835F-1E312745DEBC}"/>
    <cellStyle name="Normal 12 9 2 3" xfId="21128" xr:uid="{42FA483B-03D2-4A33-B05F-8C34E6F15C11}"/>
    <cellStyle name="Normal 12 9 2 4" xfId="29575" xr:uid="{28EBE22A-3FE8-4D0F-A239-C55C889468E4}"/>
    <cellStyle name="Normal 12 9 2 5" xfId="12687" xr:uid="{0C32C9A3-EDBF-4929-AA2E-11F5CF660966}"/>
    <cellStyle name="Normal 12 9 3" xfId="6318" xr:uid="{00000000-0005-0000-0000-0000690E0000}"/>
    <cellStyle name="Normal 12 9 3 2" xfId="23201" xr:uid="{85A52A32-C2A5-467E-AE6D-FA6DC668406C}"/>
    <cellStyle name="Normal 12 9 3 3" xfId="31647" xr:uid="{EAD7E325-92E3-4B66-9F3A-DC73F8FA0CFB}"/>
    <cellStyle name="Normal 12 9 3 4" xfId="14760" xr:uid="{21DE5FD4-CC56-4E34-9E2F-51555C91D25B}"/>
    <cellStyle name="Normal 12 9 4" xfId="18983" xr:uid="{FC1A18C5-EEC5-4151-8AF4-3E54FB3E69F5}"/>
    <cellStyle name="Normal 12 9 5" xfId="27428" xr:uid="{BA688FA3-BF22-4953-8ABA-08B4907EFF3F}"/>
    <cellStyle name="Normal 12 9 6" xfId="10542" xr:uid="{6E30DBF8-264B-415C-93C7-180E1ECC849B}"/>
    <cellStyle name="Normal 12_Dropdowns" xfId="34080" xr:uid="{EFA4B00F-031E-4672-9D5C-C598E245E05B}"/>
    <cellStyle name="Normal 13" xfId="268" xr:uid="{00000000-0005-0000-0000-00006A0E0000}"/>
    <cellStyle name="Normal 13 2" xfId="269" xr:uid="{00000000-0005-0000-0000-00006B0E0000}"/>
    <cellStyle name="Normal 13 2 2" xfId="34176" xr:uid="{5130F951-2658-41A2-A89E-5C258F0E9028}"/>
    <cellStyle name="Normal 13 3" xfId="34184" xr:uid="{2DAE4B62-BBD2-4EB9-84FE-7DF389E47A63}"/>
    <cellStyle name="Normal 14" xfId="270" xr:uid="{00000000-0005-0000-0000-00006C0E0000}"/>
    <cellStyle name="Normal 14 10" xfId="34172" xr:uid="{EC236027-EF9C-4D2F-9B17-AC5DABB1F96C}"/>
    <cellStyle name="Normal 14 11" xfId="8897" xr:uid="{AB276E19-5088-419E-BED0-8BF327439768}"/>
    <cellStyle name="Normal 14 2" xfId="768" xr:uid="{00000000-0005-0000-0000-00006D0E0000}"/>
    <cellStyle name="Normal 14 2 2" xfId="3009" xr:uid="{00000000-0005-0000-0000-00006E0E0000}"/>
    <cellStyle name="Normal 14 2 2 2" xfId="7232" xr:uid="{00000000-0005-0000-0000-00006F0E0000}"/>
    <cellStyle name="Normal 14 2 2 2 2" xfId="24115" xr:uid="{8B64BA2E-F6CC-4C16-A5EF-0952E7B25EE7}"/>
    <cellStyle name="Normal 14 2 2 2 3" xfId="32561" xr:uid="{BAD27DE8-0CBF-4A5C-83E4-12166479DEC8}"/>
    <cellStyle name="Normal 14 2 2 2 4" xfId="15674" xr:uid="{15D008F4-326F-4F7B-A91C-C6DDC4E9FAD6}"/>
    <cellStyle name="Normal 14 2 2 3" xfId="19897" xr:uid="{5C1CE619-372C-4175-B63A-5134ADF7FE9B}"/>
    <cellStyle name="Normal 14 2 2 4" xfId="28344" xr:uid="{F3F5CA33-DE00-40AB-8118-FC46C2614A16}"/>
    <cellStyle name="Normal 14 2 2 5" xfId="11456" xr:uid="{0FFC1579-1444-467B-8A75-7D7F3526E0DB}"/>
    <cellStyle name="Normal 14 2 3" xfId="5087" xr:uid="{00000000-0005-0000-0000-0000700E0000}"/>
    <cellStyle name="Normal 14 2 3 2" xfId="21970" xr:uid="{3CAFEA41-8EA3-4926-B249-A1C9CA31ACEC}"/>
    <cellStyle name="Normal 14 2 3 3" xfId="30416" xr:uid="{91534AB0-772C-46C1-A939-3399393EFE8B}"/>
    <cellStyle name="Normal 14 2 3 4" xfId="13529" xr:uid="{2EA82B50-D83D-4968-92E8-018344BBA017}"/>
    <cellStyle name="Normal 14 2 4" xfId="17752" xr:uid="{772933EB-29AC-4102-AC33-DCDCF3992B7A}"/>
    <cellStyle name="Normal 14 2 5" xfId="26197" xr:uid="{90B1E10A-DC51-4D4D-A83A-8A5507694C47}"/>
    <cellStyle name="Normal 14 2 6" xfId="34196" xr:uid="{07001C29-9BF1-4F67-AB01-94B2B1E2EA17}"/>
    <cellStyle name="Normal 14 2 7" xfId="9311" xr:uid="{1866267D-87E6-4245-9B3B-191ABBCA8DD3}"/>
    <cellStyle name="Normal 14 3" xfId="1191" xr:uid="{00000000-0005-0000-0000-0000710E0000}"/>
    <cellStyle name="Normal 14 3 2" xfId="3422" xr:uid="{00000000-0005-0000-0000-0000720E0000}"/>
    <cellStyle name="Normal 14 3 2 2" xfId="7645" xr:uid="{00000000-0005-0000-0000-0000730E0000}"/>
    <cellStyle name="Normal 14 3 2 2 2" xfId="24528" xr:uid="{0182541D-7366-46AA-B08E-D45DCF58AAEE}"/>
    <cellStyle name="Normal 14 3 2 2 3" xfId="32974" xr:uid="{A3F6B068-3CA4-42F8-AEF2-97B1E0EC8641}"/>
    <cellStyle name="Normal 14 3 2 2 4" xfId="16087" xr:uid="{49798CA5-FB18-41F9-BEB7-DEE304606832}"/>
    <cellStyle name="Normal 14 3 2 3" xfId="20310" xr:uid="{E221C42E-1DB9-4E0B-A8D1-370C4179F789}"/>
    <cellStyle name="Normal 14 3 2 4" xfId="28757" xr:uid="{B7A4864E-5046-48D0-A529-6C9F98CD3F76}"/>
    <cellStyle name="Normal 14 3 2 5" xfId="11869" xr:uid="{0D8B85B0-A108-46A6-9FB9-E95DDB312DB4}"/>
    <cellStyle name="Normal 14 3 3" xfId="5500" xr:uid="{00000000-0005-0000-0000-0000740E0000}"/>
    <cellStyle name="Normal 14 3 3 2" xfId="22383" xr:uid="{10803F87-DEBA-4FF2-8199-610FA9C621AD}"/>
    <cellStyle name="Normal 14 3 3 3" xfId="30829" xr:uid="{71B21FAE-0589-4995-B71A-BDE78C89D457}"/>
    <cellStyle name="Normal 14 3 3 4" xfId="13942" xr:uid="{98924362-75B7-4268-82FD-251223E4C5C7}"/>
    <cellStyle name="Normal 14 3 4" xfId="18165" xr:uid="{4BB6A494-6A85-4AA4-B463-3C47810F2B61}"/>
    <cellStyle name="Normal 14 3 5" xfId="26610" xr:uid="{B7E1EAA2-7CF6-47E0-8B70-71BFDB5FC37C}"/>
    <cellStyle name="Normal 14 3 6" xfId="9724" xr:uid="{467D9366-8113-48B2-87E7-3AA86792C910}"/>
    <cellStyle name="Normal 14 4" xfId="1605" xr:uid="{00000000-0005-0000-0000-0000750E0000}"/>
    <cellStyle name="Normal 14 4 2" xfId="3835" xr:uid="{00000000-0005-0000-0000-0000760E0000}"/>
    <cellStyle name="Normal 14 4 2 2" xfId="8058" xr:uid="{00000000-0005-0000-0000-0000770E0000}"/>
    <cellStyle name="Normal 14 4 2 2 2" xfId="24941" xr:uid="{3BB512B2-A17F-4276-8008-4AA66740336C}"/>
    <cellStyle name="Normal 14 4 2 2 3" xfId="33387" xr:uid="{897DD2D5-B237-450A-94F8-D3065F8E1282}"/>
    <cellStyle name="Normal 14 4 2 2 4" xfId="16500" xr:uid="{360B9D00-9D11-444F-96F1-CFD71105A76D}"/>
    <cellStyle name="Normal 14 4 2 3" xfId="20723" xr:uid="{ABC63E71-8915-4195-A25D-CA8C965D589C}"/>
    <cellStyle name="Normal 14 4 2 4" xfId="29170" xr:uid="{3A60D3B0-133D-48BB-B099-68916678A786}"/>
    <cellStyle name="Normal 14 4 2 5" xfId="12282" xr:uid="{F6E097D7-4135-4385-AE03-4AD3C3D7E453}"/>
    <cellStyle name="Normal 14 4 3" xfId="5913" xr:uid="{00000000-0005-0000-0000-0000780E0000}"/>
    <cellStyle name="Normal 14 4 3 2" xfId="22796" xr:uid="{65C14380-3D4E-417B-85EE-6BA7605B6BD3}"/>
    <cellStyle name="Normal 14 4 3 3" xfId="31242" xr:uid="{40E73989-02F9-4DC2-A13D-1969CDA0FCED}"/>
    <cellStyle name="Normal 14 4 3 4" xfId="14355" xr:uid="{B7F61BBE-C264-4B05-8BC7-4370D7544374}"/>
    <cellStyle name="Normal 14 4 4" xfId="18578" xr:uid="{7BB8000F-4104-4B67-B2E0-C1F76FB59BB6}"/>
    <cellStyle name="Normal 14 4 5" xfId="27023" xr:uid="{F96502E5-8EDB-4F5D-B0BC-933B966DAD3B}"/>
    <cellStyle name="Normal 14 4 6" xfId="10137" xr:uid="{3B2B8841-284A-4304-ADE2-37E2D76DE4D2}"/>
    <cellStyle name="Normal 14 5" xfId="2019" xr:uid="{00000000-0005-0000-0000-0000790E0000}"/>
    <cellStyle name="Normal 14 5 2" xfId="4248" xr:uid="{00000000-0005-0000-0000-00007A0E0000}"/>
    <cellStyle name="Normal 14 5 2 2" xfId="8471" xr:uid="{00000000-0005-0000-0000-00007B0E0000}"/>
    <cellStyle name="Normal 14 5 2 2 2" xfId="25354" xr:uid="{EB6FC9CC-BC40-4706-82B4-85D0138624DC}"/>
    <cellStyle name="Normal 14 5 2 2 3" xfId="33800" xr:uid="{79CD3171-6551-4C33-9D47-209F3DAA8D03}"/>
    <cellStyle name="Normal 14 5 2 2 4" xfId="16913" xr:uid="{2998A647-2DF5-4C19-AEFE-581C3B19DF31}"/>
    <cellStyle name="Normal 14 5 2 3" xfId="21136" xr:uid="{E53886ED-61B1-49DD-B127-0EB3DC76A0E6}"/>
    <cellStyle name="Normal 14 5 2 4" xfId="29583" xr:uid="{61A058E0-4E8F-47B6-83E1-59B1CF394E54}"/>
    <cellStyle name="Normal 14 5 2 5" xfId="12695" xr:uid="{9F125870-07C4-4F2C-B67C-ECE03868C7A6}"/>
    <cellStyle name="Normal 14 5 3" xfId="6326" xr:uid="{00000000-0005-0000-0000-00007C0E0000}"/>
    <cellStyle name="Normal 14 5 3 2" xfId="23209" xr:uid="{85D20ED7-8E69-42E0-9CC1-A005718D24E4}"/>
    <cellStyle name="Normal 14 5 3 3" xfId="31655" xr:uid="{E0BA6096-F84C-494A-8063-BFFDB0C51A84}"/>
    <cellStyle name="Normal 14 5 3 4" xfId="14768" xr:uid="{78EA3F27-2B4B-48C3-85F1-FD28EC32F473}"/>
    <cellStyle name="Normal 14 5 4" xfId="18991" xr:uid="{8B5EDA30-DDA8-41B4-B48A-992DEB700C5B}"/>
    <cellStyle name="Normal 14 5 5" xfId="27436" xr:uid="{E0D931AA-0819-4FF3-9CCA-5B30B23768C2}"/>
    <cellStyle name="Normal 14 5 6" xfId="10550" xr:uid="{89FB0A7D-ACCB-46A7-B714-67538A4C7F9C}"/>
    <cellStyle name="Normal 14 6" xfId="2455" xr:uid="{00000000-0005-0000-0000-00007D0E0000}"/>
    <cellStyle name="Normal 14 6 2" xfId="6739" xr:uid="{00000000-0005-0000-0000-00007E0E0000}"/>
    <cellStyle name="Normal 14 6 2 2" xfId="23622" xr:uid="{5CB2A426-C598-433F-8647-96E5FF37B5FC}"/>
    <cellStyle name="Normal 14 6 2 3" xfId="32068" xr:uid="{6B9115FC-D3B3-48B7-ACE2-FB648BB26841}"/>
    <cellStyle name="Normal 14 6 2 4" xfId="15181" xr:uid="{75F74874-676E-44E4-86C0-AA6AF62F9F5D}"/>
    <cellStyle name="Normal 14 6 3" xfId="19404" xr:uid="{AA298F1D-BFA2-43C8-A45A-AFDB45B83BE0}"/>
    <cellStyle name="Normal 14 6 4" xfId="27849" xr:uid="{FC5AE605-41FD-4589-B20E-4EF2C632D706}"/>
    <cellStyle name="Normal 14 6 5" xfId="10963" xr:uid="{72973446-A1CB-46DA-AC24-A8AC9B82EA64}"/>
    <cellStyle name="Normal 14 7" xfId="4673" xr:uid="{00000000-0005-0000-0000-00007F0E0000}"/>
    <cellStyle name="Normal 14 7 2" xfId="21556" xr:uid="{782B068B-B78E-452D-AE9E-B48FC3CFB7B1}"/>
    <cellStyle name="Normal 14 7 3" xfId="30002" xr:uid="{07B0FC85-0333-44BE-82F1-1B030C8492A7}"/>
    <cellStyle name="Normal 14 7 4" xfId="13115" xr:uid="{8268A356-F1DD-4EB6-87D1-0A4E91DDE8E1}"/>
    <cellStyle name="Normal 14 8" xfId="17338" xr:uid="{523FB945-117E-4B3E-A04E-813DDD362D2E}"/>
    <cellStyle name="Normal 14 9" xfId="25782" xr:uid="{1C21B92A-5347-40AC-9C26-C3C331C853D6}"/>
    <cellStyle name="Normal 15" xfId="4496" xr:uid="{00000000-0005-0000-0000-0000800E0000}"/>
    <cellStyle name="Normal 15 2" xfId="21382" xr:uid="{9E5DCC8D-F495-4B85-AE4D-FDBA76CF5DED}"/>
    <cellStyle name="Normal 15 2 2" xfId="34177" xr:uid="{4A3703CA-4DBD-4368-9856-91644F1E70BF}"/>
    <cellStyle name="Normal 15 3" xfId="29828" xr:uid="{683A601A-E685-4C24-A011-92944C87A63F}"/>
    <cellStyle name="Normal 15 3 2" xfId="34163" xr:uid="{B0219676-AECC-472E-A57A-33A7AB043107}"/>
    <cellStyle name="Normal 15 4" xfId="34200" xr:uid="{2F7128F5-9861-41E2-A4B8-1FD8AB0B2051}"/>
    <cellStyle name="Normal 15 5" xfId="34098" xr:uid="{E64CF7BF-FF5F-4379-B87C-A7046F1ADF51}"/>
    <cellStyle name="Normal 15 6" xfId="12941" xr:uid="{5C8D4503-7F9E-4A07-B98F-91581EB219BF}"/>
    <cellStyle name="Normal 16" xfId="4500" xr:uid="{00000000-0005-0000-0000-0000810E0000}"/>
    <cellStyle name="Normal 16 2" xfId="8716" xr:uid="{00000000-0005-0000-0000-0000820E0000}"/>
    <cellStyle name="Normal 16 2 2" xfId="25599" xr:uid="{570B311A-6009-47D5-84D7-4118A7CB311A}"/>
    <cellStyle name="Normal 16 2 3" xfId="34045" xr:uid="{3875DCC0-E087-4AE2-AAE6-CE1A5EE00BA2}"/>
    <cellStyle name="Normal 16 2 4" xfId="34110" xr:uid="{C97D196C-12DF-47D1-8ED1-2B8BEB10F37A}"/>
    <cellStyle name="Normal 16 2 5" xfId="17158" xr:uid="{896EA632-BBF0-46B3-9169-A973956603AD}"/>
    <cellStyle name="Normal 16 3" xfId="8719" xr:uid="{3DE1BEEB-61FA-4094-B10F-9E0444F68763}"/>
    <cellStyle name="Normal 16 3 2" xfId="8723" xr:uid="{FE0BC069-4698-40B2-814D-8E09719245E9}"/>
    <cellStyle name="Normal 16 3 2 2" xfId="8726" xr:uid="{D3E9609F-293A-4CFC-B194-1FF2F92D621D}"/>
    <cellStyle name="Normal 16 3 2 2 2" xfId="25608" xr:uid="{518CACE2-1E27-4D66-B124-93D9C1CB29FF}"/>
    <cellStyle name="Normal 16 3 2 2 3" xfId="34054" xr:uid="{460004B4-701B-4826-BA88-07EECE68960A}"/>
    <cellStyle name="Normal 16 3 2 2 4" xfId="17167" xr:uid="{B2BA7B60-3482-4AF1-A16A-0BD5ADA3EC4B}"/>
    <cellStyle name="Normal 16 3 2 3" xfId="25605" xr:uid="{A7985A8F-59F5-4889-927F-75DE4CAF0928}"/>
    <cellStyle name="Normal 16 3 2 4" xfId="34051" xr:uid="{D1209A3F-1C1D-4959-AC46-989D5B81207B}"/>
    <cellStyle name="Normal 16 3 2 5" xfId="17164" xr:uid="{A8E3178C-07C9-4C0C-98D9-ECC8A767C018}"/>
    <cellStyle name="Normal 16 3 3" xfId="25602" xr:uid="{0A405AE8-F678-433F-8BE9-BAB76BFEF610}"/>
    <cellStyle name="Normal 16 3 4" xfId="34048" xr:uid="{6833F8B9-6D9E-4D51-BB40-0EF874AFDF32}"/>
    <cellStyle name="Normal 16 3 5" xfId="17161" xr:uid="{5B41C96B-3E2A-4C6E-8764-B46ED7C6FD66}"/>
    <cellStyle name="Normal 16 4" xfId="21385" xr:uid="{10164489-CDD2-48CE-9ADB-31280BDF7B4E}"/>
    <cellStyle name="Normal 16 5" xfId="29831" xr:uid="{A04A1322-984E-412C-8AD5-E797563CA5AA}"/>
    <cellStyle name="Normal 16 6" xfId="34151" xr:uid="{37464E53-C040-4991-8696-0663F68C20AD}"/>
    <cellStyle name="Normal 16 7" xfId="12944" xr:uid="{CCB216F7-554C-4B6E-84F9-B228ADA749A1}"/>
    <cellStyle name="Normal 17" xfId="34160" xr:uid="{77A0CAF2-DA82-436C-A434-A13B6B717644}"/>
    <cellStyle name="Normal 17 2" xfId="34211" xr:uid="{8ADF8CC2-2541-4DA3-B1EE-62BAC7146A17}"/>
    <cellStyle name="Normal 17 2 2" xfId="34187" xr:uid="{BAAD3315-13CE-4949-99ED-BD39486731F9}"/>
    <cellStyle name="Normal 18" xfId="34133" xr:uid="{46D3B970-69DD-48FD-AD10-79DA24FF8A3C}"/>
    <cellStyle name="Normal 19" xfId="34084" xr:uid="{29960D3A-6C48-46D8-9D25-7DD0A97AE86A}"/>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2 2" xfId="34164" xr:uid="{D09295DE-8E01-4AC5-B596-E7BE9D2C3F9A}"/>
    <cellStyle name="Normal 2 2 2 3" xfId="275" xr:uid="{00000000-0005-0000-0000-0000870E0000}"/>
    <cellStyle name="Normal 2 2 2 4" xfId="1192" xr:uid="{00000000-0005-0000-0000-0000880E0000}"/>
    <cellStyle name="Normal 2 2 2 5" xfId="34185" xr:uid="{3B9F5F6B-AF85-4EEC-AC1E-A1FADCCBC3A2}"/>
    <cellStyle name="Normal 2 2 2_Dropdowns" xfId="34099" xr:uid="{ADBE86BF-5395-4CC8-BB61-51497EEF76CF}"/>
    <cellStyle name="Normal 2 2 3" xfId="770" xr:uid="{00000000-0005-0000-0000-0000890E0000}"/>
    <cellStyle name="Normal 2 2 3 2" xfId="34130" xr:uid="{72A878A8-6ACD-4768-9C6E-6F02C16EC7C9}"/>
    <cellStyle name="Normal 2 2 3 3" xfId="34123" xr:uid="{469EA30C-F9A2-4F44-B391-653B596DD974}"/>
    <cellStyle name="Normal 2 2 3 4" xfId="34149" xr:uid="{981F167B-9943-4A72-99E0-FC597FBB414B}"/>
    <cellStyle name="Normal 2 2 3_Dropdowns" xfId="25708" xr:uid="{DCF3CD26-7EDE-4820-AEDF-D1E1CA94834F}"/>
    <cellStyle name="Normal 2 2 4" xfId="34146" xr:uid="{62DBC65F-9E07-4CFB-9CE6-6E1143FB0BFC}"/>
    <cellStyle name="Normal 2 3" xfId="276" xr:uid="{00000000-0005-0000-0000-00008A0E0000}"/>
    <cellStyle name="Normal 2 3 2" xfId="277" xr:uid="{00000000-0005-0000-0000-00008B0E0000}"/>
    <cellStyle name="Normal 2 3 3" xfId="34192" xr:uid="{75943550-B235-41AB-8EAE-9442223918C7}"/>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25355" xr:uid="{1FF5F247-90CE-4D8D-A798-80D1C009D533}"/>
    <cellStyle name="Normal 2 4 2 10 2 2 3" xfId="33801" xr:uid="{78A80022-DE14-45C2-878F-04A64525C08D}"/>
    <cellStyle name="Normal 2 4 2 10 2 2 4" xfId="16914" xr:uid="{F2CE8C2C-F67F-459E-83AD-3AC602603CC4}"/>
    <cellStyle name="Normal 2 4 2 10 2 3" xfId="21137" xr:uid="{869B3541-34FD-4582-B3E3-0C86A27846A5}"/>
    <cellStyle name="Normal 2 4 2 10 2 4" xfId="29584" xr:uid="{2252362E-C054-4BF5-ABC5-3182487C9372}"/>
    <cellStyle name="Normal 2 4 2 10 2 5" xfId="12696" xr:uid="{1A34A952-4F78-4311-AECA-50B8E50BF5D5}"/>
    <cellStyle name="Normal 2 4 2 10 3" xfId="6327" xr:uid="{00000000-0005-0000-0000-0000910E0000}"/>
    <cellStyle name="Normal 2 4 2 10 3 2" xfId="23210" xr:uid="{F8E8E448-048F-42A6-892C-9AD47B260DD1}"/>
    <cellStyle name="Normal 2 4 2 10 3 3" xfId="31656" xr:uid="{29F5BF21-78F0-413D-829D-D97BF571B06D}"/>
    <cellStyle name="Normal 2 4 2 10 3 4" xfId="14769" xr:uid="{CFAC84DB-F495-4E84-8043-8C35994B2855}"/>
    <cellStyle name="Normal 2 4 2 10 4" xfId="18992" xr:uid="{BCF112B0-8D1C-49B6-8F49-AD98A5A96F27}"/>
    <cellStyle name="Normal 2 4 2 10 5" xfId="27437" xr:uid="{4AB0DA6D-F0C5-4B37-97CA-49D9CF228FA0}"/>
    <cellStyle name="Normal 2 4 2 10 6" xfId="10551" xr:uid="{0F09085F-F4CF-433F-AFF8-0288BF4D7DD9}"/>
    <cellStyle name="Normal 2 4 2 11" xfId="2456" xr:uid="{00000000-0005-0000-0000-0000920E0000}"/>
    <cellStyle name="Normal 2 4 2 11 2" xfId="6740" xr:uid="{00000000-0005-0000-0000-0000930E0000}"/>
    <cellStyle name="Normal 2 4 2 11 2 2" xfId="23623" xr:uid="{1309EBD3-6AA2-4EEB-8C75-26488C7E5162}"/>
    <cellStyle name="Normal 2 4 2 11 2 3" xfId="32069" xr:uid="{69ECABB6-6BE5-4F7D-BDCB-77FBD5C47FFB}"/>
    <cellStyle name="Normal 2 4 2 11 2 4" xfId="15182" xr:uid="{5BD98C03-31AE-445D-A81C-A4BC9A75C1A2}"/>
    <cellStyle name="Normal 2 4 2 11 3" xfId="19405" xr:uid="{E8894EE1-E939-4FB9-B661-F869DAAD090F}"/>
    <cellStyle name="Normal 2 4 2 11 4" xfId="27850" xr:uid="{E4DD9C1A-C39D-4D4F-A0F4-E77456E8DDDF}"/>
    <cellStyle name="Normal 2 4 2 11 5" xfId="10964" xr:uid="{3B4D66B6-42FE-43A8-9626-8BE6D267424A}"/>
    <cellStyle name="Normal 2 4 2 12" xfId="4674" xr:uid="{00000000-0005-0000-0000-0000940E0000}"/>
    <cellStyle name="Normal 2 4 2 12 2" xfId="21557" xr:uid="{72F16523-142A-4053-873B-AC8B9E074D13}"/>
    <cellStyle name="Normal 2 4 2 12 3" xfId="30003" xr:uid="{C41E1A64-EDC5-4FC7-A8F0-70353589AD7E}"/>
    <cellStyle name="Normal 2 4 2 12 4" xfId="13116" xr:uid="{7E9CAB5C-17CA-49BB-9DB6-FA0CB5351A5F}"/>
    <cellStyle name="Normal 2 4 2 13" xfId="17339" xr:uid="{105C85B7-1176-401A-918A-BCD1B4135F7D}"/>
    <cellStyle name="Normal 2 4 2 14" xfId="25783" xr:uid="{2B535B09-9F28-4A11-928E-1FAE87F92ABD}"/>
    <cellStyle name="Normal 2 4 2 15" xfId="8898" xr:uid="{DA2A16A8-5B6D-4BC5-974C-C38BCAF46CFC}"/>
    <cellStyle name="Normal 2 4 2 2" xfId="280" xr:uid="{00000000-0005-0000-0000-0000950E0000}"/>
    <cellStyle name="Normal 2 4 2 3" xfId="281" xr:uid="{00000000-0005-0000-0000-0000960E0000}"/>
    <cellStyle name="Normal 2 4 2 3 10" xfId="4675" xr:uid="{00000000-0005-0000-0000-0000970E0000}"/>
    <cellStyle name="Normal 2 4 2 3 10 2" xfId="21558" xr:uid="{FF34442E-9BF1-43DF-8850-E69258277276}"/>
    <cellStyle name="Normal 2 4 2 3 10 3" xfId="30004" xr:uid="{58F9F4A1-243D-48BA-8216-027AE7D123EF}"/>
    <cellStyle name="Normal 2 4 2 3 10 4" xfId="13117" xr:uid="{E9CF6EE2-7E94-4507-A191-4B46400BF541}"/>
    <cellStyle name="Normal 2 4 2 3 11" xfId="17340" xr:uid="{05FE3AFF-3261-4971-B1B5-8D3B9A47B3A1}"/>
    <cellStyle name="Normal 2 4 2 3 12" xfId="25784" xr:uid="{CC0F9E45-8AEA-48BB-B13C-A0466DE1C6C6}"/>
    <cellStyle name="Normal 2 4 2 3 13" xfId="8899" xr:uid="{88076453-9C95-480D-9C56-59350115CB68}"/>
    <cellStyle name="Normal 2 4 2 3 2" xfId="282" xr:uid="{00000000-0005-0000-0000-0000980E0000}"/>
    <cellStyle name="Normal 2 4 2 3 2 10" xfId="17341" xr:uid="{BE766B56-5F41-4C7A-AA0C-28CCF890F6D2}"/>
    <cellStyle name="Normal 2 4 2 3 2 11" xfId="25785" xr:uid="{86B49231-BEC5-4460-B87D-91DF789C2412}"/>
    <cellStyle name="Normal 2 4 2 3 2 12" xfId="8900" xr:uid="{BD18C330-9DC0-423D-BD35-96FDFE0E5AA3}"/>
    <cellStyle name="Normal 2 4 2 3 2 2" xfId="283" xr:uid="{00000000-0005-0000-0000-0000990E0000}"/>
    <cellStyle name="Normal 2 4 2 3 2 2 10" xfId="25786" xr:uid="{357396CD-C419-4C68-BC3C-A7ECE28A0BE2}"/>
    <cellStyle name="Normal 2 4 2 3 2 2 11" xfId="8901" xr:uid="{CADF9340-9D58-424A-A8AB-6257D9F2E260}"/>
    <cellStyle name="Normal 2 4 2 3 2 2 2" xfId="284" xr:uid="{00000000-0005-0000-0000-00009A0E0000}"/>
    <cellStyle name="Normal 2 4 2 3 2 2 2 10" xfId="8902" xr:uid="{5E8C0132-F9A9-4303-99E5-A94AB96ACF82}"/>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24120" xr:uid="{B5D05A3B-2B1C-480B-A028-D66AD83C1488}"/>
    <cellStyle name="Normal 2 4 2 3 2 2 2 2 2 2 3" xfId="32566" xr:uid="{F0969354-893F-4A0D-A842-30C7BDDCF197}"/>
    <cellStyle name="Normal 2 4 2 3 2 2 2 2 2 2 4" xfId="15679" xr:uid="{6738E8A0-9CF1-40DD-B942-EF1ED956E274}"/>
    <cellStyle name="Normal 2 4 2 3 2 2 2 2 2 3" xfId="19902" xr:uid="{F529E169-35F4-490A-96B7-2A457C56FC78}"/>
    <cellStyle name="Normal 2 4 2 3 2 2 2 2 2 4" xfId="28349" xr:uid="{582D971C-BE80-4B2A-BBF8-F4294E6DD3A0}"/>
    <cellStyle name="Normal 2 4 2 3 2 2 2 2 2 5" xfId="11461" xr:uid="{78878549-0BE9-4934-B30E-A61AE4F96C30}"/>
    <cellStyle name="Normal 2 4 2 3 2 2 2 2 3" xfId="5092" xr:uid="{00000000-0005-0000-0000-00009E0E0000}"/>
    <cellStyle name="Normal 2 4 2 3 2 2 2 2 3 2" xfId="21975" xr:uid="{A2BABF5A-9F9C-48B5-B4AA-71B40F3C414A}"/>
    <cellStyle name="Normal 2 4 2 3 2 2 2 2 3 3" xfId="30421" xr:uid="{1E6CD8F7-35D1-46AD-9C2E-4C02E0F5DC8F}"/>
    <cellStyle name="Normal 2 4 2 3 2 2 2 2 3 4" xfId="13534" xr:uid="{2E0D41BD-C914-4B38-8AF7-6DDFDE072072}"/>
    <cellStyle name="Normal 2 4 2 3 2 2 2 2 4" xfId="17757" xr:uid="{B505E077-9588-40AC-95A6-A2FEB02B47EF}"/>
    <cellStyle name="Normal 2 4 2 3 2 2 2 2 5" xfId="26202" xr:uid="{B7D151F2-44C7-4F68-8C5A-55AA924E3E27}"/>
    <cellStyle name="Normal 2 4 2 3 2 2 2 2 6" xfId="9316" xr:uid="{53190E6B-2DC2-4520-930E-E49F69F886D7}"/>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24533" xr:uid="{995C747D-8BFF-438C-B862-377E5EEE5E2A}"/>
    <cellStyle name="Normal 2 4 2 3 2 2 2 3 2 2 3" xfId="32979" xr:uid="{F809575C-6AB9-4B64-B955-9D28CD6F57AE}"/>
    <cellStyle name="Normal 2 4 2 3 2 2 2 3 2 2 4" xfId="16092" xr:uid="{F58A4F1E-87CE-438E-8172-77ABEDD8274B}"/>
    <cellStyle name="Normal 2 4 2 3 2 2 2 3 2 3" xfId="20315" xr:uid="{AB1DAEDE-D2F9-4C50-B2AF-2E2ED47835DD}"/>
    <cellStyle name="Normal 2 4 2 3 2 2 2 3 2 4" xfId="28762" xr:uid="{A196A9F6-F0A5-4576-B9DA-ECCF63CEA04F}"/>
    <cellStyle name="Normal 2 4 2 3 2 2 2 3 2 5" xfId="11874" xr:uid="{33DC9AC8-599D-4903-B45E-25B1356E60B9}"/>
    <cellStyle name="Normal 2 4 2 3 2 2 2 3 3" xfId="5505" xr:uid="{00000000-0005-0000-0000-0000A20E0000}"/>
    <cellStyle name="Normal 2 4 2 3 2 2 2 3 3 2" xfId="22388" xr:uid="{508BD0DB-995A-4705-9C36-31646FCE5853}"/>
    <cellStyle name="Normal 2 4 2 3 2 2 2 3 3 3" xfId="30834" xr:uid="{2FFD80F6-0BD8-43A5-B425-BAC2F5920E89}"/>
    <cellStyle name="Normal 2 4 2 3 2 2 2 3 3 4" xfId="13947" xr:uid="{0035B087-B8B2-43A8-A11A-DC1602F4E0B9}"/>
    <cellStyle name="Normal 2 4 2 3 2 2 2 3 4" xfId="18170" xr:uid="{5DE291FE-4313-4640-A960-A9CAC50A8E9C}"/>
    <cellStyle name="Normal 2 4 2 3 2 2 2 3 5" xfId="26615" xr:uid="{3110F3F8-C5F2-459A-9854-54EE5DA83682}"/>
    <cellStyle name="Normal 2 4 2 3 2 2 2 3 6" xfId="9729" xr:uid="{45FD5F12-4D16-4406-8636-626BD7651B5F}"/>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24946" xr:uid="{B83A6C71-E16A-42C8-948F-6E5B9E2A9053}"/>
    <cellStyle name="Normal 2 4 2 3 2 2 2 4 2 2 3" xfId="33392" xr:uid="{929853DB-7EC0-4893-B092-55F6C979B00C}"/>
    <cellStyle name="Normal 2 4 2 3 2 2 2 4 2 2 4" xfId="16505" xr:uid="{53D23C38-CE0B-44AE-AB4C-82CA121025C5}"/>
    <cellStyle name="Normal 2 4 2 3 2 2 2 4 2 3" xfId="20728" xr:uid="{D01DF8BD-2236-4CE6-A768-FC5286867C93}"/>
    <cellStyle name="Normal 2 4 2 3 2 2 2 4 2 4" xfId="29175" xr:uid="{E08407D6-0076-4814-A27A-BB451439C1CD}"/>
    <cellStyle name="Normal 2 4 2 3 2 2 2 4 2 5" xfId="12287" xr:uid="{06EF1614-F0D8-4A21-92BA-309BA1A9FA2B}"/>
    <cellStyle name="Normal 2 4 2 3 2 2 2 4 3" xfId="5918" xr:uid="{00000000-0005-0000-0000-0000A60E0000}"/>
    <cellStyle name="Normal 2 4 2 3 2 2 2 4 3 2" xfId="22801" xr:uid="{3D46F699-2435-4FE0-8CC2-E1B21E67DBD6}"/>
    <cellStyle name="Normal 2 4 2 3 2 2 2 4 3 3" xfId="31247" xr:uid="{B5C8BC32-384E-41B5-B656-2C0CE62C849A}"/>
    <cellStyle name="Normal 2 4 2 3 2 2 2 4 3 4" xfId="14360" xr:uid="{A253B3E5-F4FC-4013-9244-E3453DFE025B}"/>
    <cellStyle name="Normal 2 4 2 3 2 2 2 4 4" xfId="18583" xr:uid="{90EE5763-DF0A-481C-B352-5F06E9D8070A}"/>
    <cellStyle name="Normal 2 4 2 3 2 2 2 4 5" xfId="27028" xr:uid="{F4B04143-E302-4439-9246-AD249F6DDC94}"/>
    <cellStyle name="Normal 2 4 2 3 2 2 2 4 6" xfId="10142" xr:uid="{CC4524CD-C643-478D-85B6-EDAB95796BDE}"/>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25359" xr:uid="{706086D1-3951-4762-9E4F-DD2CC53BBBCF}"/>
    <cellStyle name="Normal 2 4 2 3 2 2 2 5 2 2 3" xfId="33805" xr:uid="{1F53373A-DE41-46B4-ABA3-8E7170694379}"/>
    <cellStyle name="Normal 2 4 2 3 2 2 2 5 2 2 4" xfId="16918" xr:uid="{5D13BD00-303C-4C14-8BBB-7119C7ED832D}"/>
    <cellStyle name="Normal 2 4 2 3 2 2 2 5 2 3" xfId="21141" xr:uid="{10DCBE4E-87FE-4CC2-BB63-AF1F21457408}"/>
    <cellStyle name="Normal 2 4 2 3 2 2 2 5 2 4" xfId="29588" xr:uid="{16513D48-0A0C-4237-84DF-7D48E15C721D}"/>
    <cellStyle name="Normal 2 4 2 3 2 2 2 5 2 5" xfId="12700" xr:uid="{F8CD0AE7-4171-4C31-93E2-FD7D327E885F}"/>
    <cellStyle name="Normal 2 4 2 3 2 2 2 5 3" xfId="6331" xr:uid="{00000000-0005-0000-0000-0000AA0E0000}"/>
    <cellStyle name="Normal 2 4 2 3 2 2 2 5 3 2" xfId="23214" xr:uid="{22FD1B1B-D630-4FD7-BDDC-B012B8F8B8BD}"/>
    <cellStyle name="Normal 2 4 2 3 2 2 2 5 3 3" xfId="31660" xr:uid="{B983E0B3-2E93-4581-9F43-DCD5FBC02DEE}"/>
    <cellStyle name="Normal 2 4 2 3 2 2 2 5 3 4" xfId="14773" xr:uid="{A1C97739-0A58-4F94-81BE-6A6953BC5A87}"/>
    <cellStyle name="Normal 2 4 2 3 2 2 2 5 4" xfId="18996" xr:uid="{7FA60852-FA9A-45AE-BCCF-CFC9EE035CDD}"/>
    <cellStyle name="Normal 2 4 2 3 2 2 2 5 5" xfId="27441" xr:uid="{AD309527-2C66-4DA2-8333-3A7C88A37FCE}"/>
    <cellStyle name="Normal 2 4 2 3 2 2 2 5 6" xfId="10555" xr:uid="{3709099F-1D81-4300-86D3-12DCF6FF3637}"/>
    <cellStyle name="Normal 2 4 2 3 2 2 2 6" xfId="2460" xr:uid="{00000000-0005-0000-0000-0000AB0E0000}"/>
    <cellStyle name="Normal 2 4 2 3 2 2 2 6 2" xfId="6744" xr:uid="{00000000-0005-0000-0000-0000AC0E0000}"/>
    <cellStyle name="Normal 2 4 2 3 2 2 2 6 2 2" xfId="23627" xr:uid="{2AF27069-3FA0-4AE4-AF0E-409D6D5E97A4}"/>
    <cellStyle name="Normal 2 4 2 3 2 2 2 6 2 3" xfId="32073" xr:uid="{33FFB423-A5E6-49D9-A07B-CB3215C5A61A}"/>
    <cellStyle name="Normal 2 4 2 3 2 2 2 6 2 4" xfId="15186" xr:uid="{028216E7-B00A-4BBF-A10A-1D165AE4C86E}"/>
    <cellStyle name="Normal 2 4 2 3 2 2 2 6 3" xfId="19409" xr:uid="{26558C6F-892F-4F68-BBBC-3D4534ABEFB1}"/>
    <cellStyle name="Normal 2 4 2 3 2 2 2 6 4" xfId="27854" xr:uid="{24E40E91-F792-43A1-A801-891B05227803}"/>
    <cellStyle name="Normal 2 4 2 3 2 2 2 6 5" xfId="10968" xr:uid="{3F5BF3CA-3B49-4613-BA45-138FF6F85E19}"/>
    <cellStyle name="Normal 2 4 2 3 2 2 2 7" xfId="4678" xr:uid="{00000000-0005-0000-0000-0000AD0E0000}"/>
    <cellStyle name="Normal 2 4 2 3 2 2 2 7 2" xfId="21561" xr:uid="{8E32B9EA-1C05-4788-AC7A-7E6A12525D6E}"/>
    <cellStyle name="Normal 2 4 2 3 2 2 2 7 3" xfId="30007" xr:uid="{770950C5-476D-48F9-93F2-A694A0575E56}"/>
    <cellStyle name="Normal 2 4 2 3 2 2 2 7 4" xfId="13120" xr:uid="{77CCA5EF-6AB5-40E5-A11B-0D2FC3B95B86}"/>
    <cellStyle name="Normal 2 4 2 3 2 2 2 8" xfId="17343" xr:uid="{37320126-989C-4678-8E87-A04ADA352F3C}"/>
    <cellStyle name="Normal 2 4 2 3 2 2 2 9" xfId="25787" xr:uid="{C0E57B33-4A8E-41B1-9584-C01AF558A847}"/>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24119" xr:uid="{2097FF5A-4A2E-48B1-B54B-E1053B91E52D}"/>
    <cellStyle name="Normal 2 4 2 3 2 2 3 2 2 3" xfId="32565" xr:uid="{196632ED-4057-4413-B00E-94C982DD69B5}"/>
    <cellStyle name="Normal 2 4 2 3 2 2 3 2 2 4" xfId="15678" xr:uid="{F34625E7-899D-440F-A353-F7EDBF17546D}"/>
    <cellStyle name="Normal 2 4 2 3 2 2 3 2 3" xfId="19901" xr:uid="{944CDEF0-C1A4-41A3-92E4-8C63B8FB2E90}"/>
    <cellStyle name="Normal 2 4 2 3 2 2 3 2 4" xfId="28348" xr:uid="{33B53329-D84C-4818-82FF-9429E9E7D69F}"/>
    <cellStyle name="Normal 2 4 2 3 2 2 3 2 5" xfId="11460" xr:uid="{C4AA38C9-B278-48FC-BC93-3AD81F30F474}"/>
    <cellStyle name="Normal 2 4 2 3 2 2 3 3" xfId="5091" xr:uid="{00000000-0005-0000-0000-0000B10E0000}"/>
    <cellStyle name="Normal 2 4 2 3 2 2 3 3 2" xfId="21974" xr:uid="{9513C718-88F2-4F01-81B6-DAA25AC4E0C7}"/>
    <cellStyle name="Normal 2 4 2 3 2 2 3 3 3" xfId="30420" xr:uid="{6D4A9A65-F817-4732-A24E-06A665E495D1}"/>
    <cellStyle name="Normal 2 4 2 3 2 2 3 3 4" xfId="13533" xr:uid="{8E4D75ED-85FF-4006-81A9-9BD64CBE9693}"/>
    <cellStyle name="Normal 2 4 2 3 2 2 3 4" xfId="17756" xr:uid="{5623EC39-3E17-4BD7-BBB6-634865DA15F6}"/>
    <cellStyle name="Normal 2 4 2 3 2 2 3 5" xfId="26201" xr:uid="{C77FDC6D-E302-4C8F-A126-8BCFF341FE1E}"/>
    <cellStyle name="Normal 2 4 2 3 2 2 3 6" xfId="9315" xr:uid="{20EAEC04-0A3A-4FD8-988C-910EEE65186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24532" xr:uid="{6A7C89BA-FC6B-4773-9C66-19BD0A55A8F4}"/>
    <cellStyle name="Normal 2 4 2 3 2 2 4 2 2 3" xfId="32978" xr:uid="{99FA55CB-59FC-4572-AA32-28500A606002}"/>
    <cellStyle name="Normal 2 4 2 3 2 2 4 2 2 4" xfId="16091" xr:uid="{D4206302-17EF-4B2F-8F00-1BA2DB98BC7F}"/>
    <cellStyle name="Normal 2 4 2 3 2 2 4 2 3" xfId="20314" xr:uid="{8F85403D-D0E2-4505-92E4-5684421C5A3C}"/>
    <cellStyle name="Normal 2 4 2 3 2 2 4 2 4" xfId="28761" xr:uid="{B2808CF4-12E3-4B69-82BD-B451A6F48CE0}"/>
    <cellStyle name="Normal 2 4 2 3 2 2 4 2 5" xfId="11873" xr:uid="{7832CF1D-022F-41EA-9358-E790AC415575}"/>
    <cellStyle name="Normal 2 4 2 3 2 2 4 3" xfId="5504" xr:uid="{00000000-0005-0000-0000-0000B50E0000}"/>
    <cellStyle name="Normal 2 4 2 3 2 2 4 3 2" xfId="22387" xr:uid="{4EF9D0A6-1622-4FCD-AAD8-936982F2F557}"/>
    <cellStyle name="Normal 2 4 2 3 2 2 4 3 3" xfId="30833" xr:uid="{9A141753-8BAF-44A4-804F-02B27C399737}"/>
    <cellStyle name="Normal 2 4 2 3 2 2 4 3 4" xfId="13946" xr:uid="{3A82FA7C-7F5A-4E2A-9FAA-E58C371D825E}"/>
    <cellStyle name="Normal 2 4 2 3 2 2 4 4" xfId="18169" xr:uid="{CADDBCC6-4477-4EE2-B5A4-F8E3893BCD87}"/>
    <cellStyle name="Normal 2 4 2 3 2 2 4 5" xfId="26614" xr:uid="{0ABFAB65-CBDB-479E-A7E5-DF262D3B6C4B}"/>
    <cellStyle name="Normal 2 4 2 3 2 2 4 6" xfId="9728" xr:uid="{92AE6C2F-583C-49E7-8586-CE571CD9182A}"/>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24945" xr:uid="{35A5CBCB-86AD-4B99-8133-1BFE81222907}"/>
    <cellStyle name="Normal 2 4 2 3 2 2 5 2 2 3" xfId="33391" xr:uid="{0686B217-A43F-4E0F-A704-964522C9B625}"/>
    <cellStyle name="Normal 2 4 2 3 2 2 5 2 2 4" xfId="16504" xr:uid="{2858C7EB-6BAD-41E7-B23E-86DF1A9C6E4D}"/>
    <cellStyle name="Normal 2 4 2 3 2 2 5 2 3" xfId="20727" xr:uid="{3026A834-0268-4178-8880-E88B87D61BE8}"/>
    <cellStyle name="Normal 2 4 2 3 2 2 5 2 4" xfId="29174" xr:uid="{63DA9498-9093-4841-8805-DF92F25970A8}"/>
    <cellStyle name="Normal 2 4 2 3 2 2 5 2 5" xfId="12286" xr:uid="{5BFDCBE0-C87E-4A07-B161-E600167C68ED}"/>
    <cellStyle name="Normal 2 4 2 3 2 2 5 3" xfId="5917" xr:uid="{00000000-0005-0000-0000-0000B90E0000}"/>
    <cellStyle name="Normal 2 4 2 3 2 2 5 3 2" xfId="22800" xr:uid="{C7771241-627E-4A6D-81A5-05A24CD64AED}"/>
    <cellStyle name="Normal 2 4 2 3 2 2 5 3 3" xfId="31246" xr:uid="{0631EB65-B5AF-44A8-A255-8D19231A2E5A}"/>
    <cellStyle name="Normal 2 4 2 3 2 2 5 3 4" xfId="14359" xr:uid="{D347E901-B992-4EF2-9DC8-BDD44E3AF4B6}"/>
    <cellStyle name="Normal 2 4 2 3 2 2 5 4" xfId="18582" xr:uid="{B3ACBA63-1204-4985-BB5D-B6537D92FAA1}"/>
    <cellStyle name="Normal 2 4 2 3 2 2 5 5" xfId="27027" xr:uid="{B8BA2751-B742-4C6F-8E19-2732EEF4F23F}"/>
    <cellStyle name="Normal 2 4 2 3 2 2 5 6" xfId="10141" xr:uid="{255D7727-D292-4953-89F3-7CFB5F52AF86}"/>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25358" xr:uid="{3BAA9313-EF9A-4C41-9868-A04DBABF2ACD}"/>
    <cellStyle name="Normal 2 4 2 3 2 2 6 2 2 3" xfId="33804" xr:uid="{D599A786-0135-44CD-8652-AFD5231AB103}"/>
    <cellStyle name="Normal 2 4 2 3 2 2 6 2 2 4" xfId="16917" xr:uid="{5CD66EA1-6549-47C0-B346-09A1EA2274DF}"/>
    <cellStyle name="Normal 2 4 2 3 2 2 6 2 3" xfId="21140" xr:uid="{0B188547-05D0-4786-8AF1-44A5677DEA4F}"/>
    <cellStyle name="Normal 2 4 2 3 2 2 6 2 4" xfId="29587" xr:uid="{DF464F70-D04D-4051-BC06-27D97401F277}"/>
    <cellStyle name="Normal 2 4 2 3 2 2 6 2 5" xfId="12699" xr:uid="{4E64485F-8817-447E-A0C0-4DEBA38196A1}"/>
    <cellStyle name="Normal 2 4 2 3 2 2 6 3" xfId="6330" xr:uid="{00000000-0005-0000-0000-0000BD0E0000}"/>
    <cellStyle name="Normal 2 4 2 3 2 2 6 3 2" xfId="23213" xr:uid="{3617AF26-20D3-40D8-AEDE-1AEED8D274AD}"/>
    <cellStyle name="Normal 2 4 2 3 2 2 6 3 3" xfId="31659" xr:uid="{FBE3F333-E250-44C0-99C6-C02DB7B903F3}"/>
    <cellStyle name="Normal 2 4 2 3 2 2 6 3 4" xfId="14772" xr:uid="{8A8E2094-24EC-4284-99C0-B5758AE2940A}"/>
    <cellStyle name="Normal 2 4 2 3 2 2 6 4" xfId="18995" xr:uid="{D52E8032-318B-4280-9463-C0F23A636740}"/>
    <cellStyle name="Normal 2 4 2 3 2 2 6 5" xfId="27440" xr:uid="{43BD8950-2045-46FD-B5A7-36AA2A01740E}"/>
    <cellStyle name="Normal 2 4 2 3 2 2 6 6" xfId="10554" xr:uid="{5AB8395F-386F-46E0-97E8-A6AE233D7106}"/>
    <cellStyle name="Normal 2 4 2 3 2 2 7" xfId="2459" xr:uid="{00000000-0005-0000-0000-0000BE0E0000}"/>
    <cellStyle name="Normal 2 4 2 3 2 2 7 2" xfId="6743" xr:uid="{00000000-0005-0000-0000-0000BF0E0000}"/>
    <cellStyle name="Normal 2 4 2 3 2 2 7 2 2" xfId="23626" xr:uid="{4E9FA107-78CA-4640-AA4E-4286DE13DD03}"/>
    <cellStyle name="Normal 2 4 2 3 2 2 7 2 3" xfId="32072" xr:uid="{4CA151FC-58AB-43F7-A625-B239FF787D83}"/>
    <cellStyle name="Normal 2 4 2 3 2 2 7 2 4" xfId="15185" xr:uid="{914F3793-14F2-488F-A2C3-92A6E3108558}"/>
    <cellStyle name="Normal 2 4 2 3 2 2 7 3" xfId="19408" xr:uid="{22952E22-7BA7-4A70-9B00-CB74F6438E94}"/>
    <cellStyle name="Normal 2 4 2 3 2 2 7 4" xfId="27853" xr:uid="{D4707CED-5F64-47E5-89C9-C30E73D1402A}"/>
    <cellStyle name="Normal 2 4 2 3 2 2 7 5" xfId="10967" xr:uid="{87ECF729-C8E1-41CD-B0C9-02FAE3C7BC34}"/>
    <cellStyle name="Normal 2 4 2 3 2 2 8" xfId="4677" xr:uid="{00000000-0005-0000-0000-0000C00E0000}"/>
    <cellStyle name="Normal 2 4 2 3 2 2 8 2" xfId="21560" xr:uid="{6FDC2D1D-285B-4D40-BE48-A86DBDF850A4}"/>
    <cellStyle name="Normal 2 4 2 3 2 2 8 3" xfId="30006" xr:uid="{78FBCBC1-CF33-4C36-AE5E-8999CFFE53F4}"/>
    <cellStyle name="Normal 2 4 2 3 2 2 8 4" xfId="13119" xr:uid="{16395627-E20A-4297-B9FD-71D188B1D1B6}"/>
    <cellStyle name="Normal 2 4 2 3 2 2 9" xfId="17342" xr:uid="{94818875-07A3-4F77-8933-ED81D34F337D}"/>
    <cellStyle name="Normal 2 4 2 3 2 3" xfId="285" xr:uid="{00000000-0005-0000-0000-0000C10E0000}"/>
    <cellStyle name="Normal 2 4 2 3 2 3 10" xfId="8903" xr:uid="{2A1E6406-D0D4-4484-A349-80F4EBB4067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24121" xr:uid="{E7CB28C9-BF1F-46F9-AB41-6F63500B034A}"/>
    <cellStyle name="Normal 2 4 2 3 2 3 2 2 2 3" xfId="32567" xr:uid="{41A8BA6B-5F57-4EFA-9067-4A3B875852FF}"/>
    <cellStyle name="Normal 2 4 2 3 2 3 2 2 2 4" xfId="15680" xr:uid="{B53B72C3-D7DD-4591-90A8-A65956007405}"/>
    <cellStyle name="Normal 2 4 2 3 2 3 2 2 3" xfId="19903" xr:uid="{B8020AEA-312A-4042-8918-CA9AD7C930D2}"/>
    <cellStyle name="Normal 2 4 2 3 2 3 2 2 4" xfId="28350" xr:uid="{448E783C-3105-4711-92C3-EFA25B051F73}"/>
    <cellStyle name="Normal 2 4 2 3 2 3 2 2 5" xfId="11462" xr:uid="{B7F24652-9C62-4FF4-AECA-F6DE108486D3}"/>
    <cellStyle name="Normal 2 4 2 3 2 3 2 3" xfId="5093" xr:uid="{00000000-0005-0000-0000-0000C50E0000}"/>
    <cellStyle name="Normal 2 4 2 3 2 3 2 3 2" xfId="21976" xr:uid="{0661A859-D7A9-4329-8718-4D025906C3A8}"/>
    <cellStyle name="Normal 2 4 2 3 2 3 2 3 3" xfId="30422" xr:uid="{F0E2DE51-E52D-456F-B40D-A2EC9FB20848}"/>
    <cellStyle name="Normal 2 4 2 3 2 3 2 3 4" xfId="13535" xr:uid="{6995F25D-D88D-4BDE-B651-2E0B420B8C28}"/>
    <cellStyle name="Normal 2 4 2 3 2 3 2 4" xfId="17758" xr:uid="{B242990C-E517-43BF-A6C4-95FD83B76E51}"/>
    <cellStyle name="Normal 2 4 2 3 2 3 2 5" xfId="26203" xr:uid="{66E2D45A-1C87-4527-9B2C-F720587A9DD6}"/>
    <cellStyle name="Normal 2 4 2 3 2 3 2 6" xfId="9317" xr:uid="{A5A4F091-B2D0-474B-A35E-8E5EAE5F3439}"/>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24534" xr:uid="{7F37AC83-248E-45B4-A65B-B6ACF67B20BA}"/>
    <cellStyle name="Normal 2 4 2 3 2 3 3 2 2 3" xfId="32980" xr:uid="{17AA2D37-087B-4E99-BDAC-70EDADA6FF79}"/>
    <cellStyle name="Normal 2 4 2 3 2 3 3 2 2 4" xfId="16093" xr:uid="{1DDB39A2-8C71-43D5-BEAF-9425731D2B71}"/>
    <cellStyle name="Normal 2 4 2 3 2 3 3 2 3" xfId="20316" xr:uid="{30F9F929-C078-40A5-9532-5F7555ACFE6A}"/>
    <cellStyle name="Normal 2 4 2 3 2 3 3 2 4" xfId="28763" xr:uid="{90C27189-F337-45E3-8E52-6C39C4EDF29F}"/>
    <cellStyle name="Normal 2 4 2 3 2 3 3 2 5" xfId="11875" xr:uid="{06874523-4D83-4D60-9819-FF5550A154E4}"/>
    <cellStyle name="Normal 2 4 2 3 2 3 3 3" xfId="5506" xr:uid="{00000000-0005-0000-0000-0000C90E0000}"/>
    <cellStyle name="Normal 2 4 2 3 2 3 3 3 2" xfId="22389" xr:uid="{F2663372-C767-4CFE-B689-62C230426BA2}"/>
    <cellStyle name="Normal 2 4 2 3 2 3 3 3 3" xfId="30835" xr:uid="{157F76C8-8686-4F9A-98AB-FD08E88374C3}"/>
    <cellStyle name="Normal 2 4 2 3 2 3 3 3 4" xfId="13948" xr:uid="{481E2057-833C-4A5B-AADF-54BCE419AECF}"/>
    <cellStyle name="Normal 2 4 2 3 2 3 3 4" xfId="18171" xr:uid="{25F20303-8E36-46CC-9D3B-73F1248E3C0A}"/>
    <cellStyle name="Normal 2 4 2 3 2 3 3 5" xfId="26616" xr:uid="{D95FEDE8-0754-4CF5-8FA3-A549411276F5}"/>
    <cellStyle name="Normal 2 4 2 3 2 3 3 6" xfId="9730" xr:uid="{B054646A-C2BD-45F6-8400-AABE252AC6BA}"/>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24947" xr:uid="{B243AA86-A7F7-4163-B9ED-20E3D212555C}"/>
    <cellStyle name="Normal 2 4 2 3 2 3 4 2 2 3" xfId="33393" xr:uid="{2C0E1B91-F28F-4189-94A1-F8063532E19B}"/>
    <cellStyle name="Normal 2 4 2 3 2 3 4 2 2 4" xfId="16506" xr:uid="{FAB1C113-0557-488A-8FAE-2A6C4AED9D73}"/>
    <cellStyle name="Normal 2 4 2 3 2 3 4 2 3" xfId="20729" xr:uid="{43FD34E7-C8F9-4661-BC27-F283240CC389}"/>
    <cellStyle name="Normal 2 4 2 3 2 3 4 2 4" xfId="29176" xr:uid="{1FEE1E6C-0DEA-497D-B841-BDF8EBE7A348}"/>
    <cellStyle name="Normal 2 4 2 3 2 3 4 2 5" xfId="12288" xr:uid="{099BEEEC-3235-467B-B26E-DCCCAFE208D2}"/>
    <cellStyle name="Normal 2 4 2 3 2 3 4 3" xfId="5919" xr:uid="{00000000-0005-0000-0000-0000CD0E0000}"/>
    <cellStyle name="Normal 2 4 2 3 2 3 4 3 2" xfId="22802" xr:uid="{0CB66B58-770A-4D4A-99CD-7292051C72A0}"/>
    <cellStyle name="Normal 2 4 2 3 2 3 4 3 3" xfId="31248" xr:uid="{611B179F-7B33-471C-872E-75C0BC40DD15}"/>
    <cellStyle name="Normal 2 4 2 3 2 3 4 3 4" xfId="14361" xr:uid="{47D9A8DB-311A-49CB-8B2E-EF317E811002}"/>
    <cellStyle name="Normal 2 4 2 3 2 3 4 4" xfId="18584" xr:uid="{3DFD06D7-7DEC-4795-A23F-213045E6151C}"/>
    <cellStyle name="Normal 2 4 2 3 2 3 4 5" xfId="27029" xr:uid="{E0397204-0DA9-4933-BA5A-18C7EEA5C8B9}"/>
    <cellStyle name="Normal 2 4 2 3 2 3 4 6" xfId="10143" xr:uid="{9AF226C5-33A1-4D7E-A310-F40EE55671B3}"/>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25360" xr:uid="{668DF251-4B07-4D95-B0CE-B788339D5B8B}"/>
    <cellStyle name="Normal 2 4 2 3 2 3 5 2 2 3" xfId="33806" xr:uid="{64F5331A-9FF1-418D-AEE0-20F261D6E07F}"/>
    <cellStyle name="Normal 2 4 2 3 2 3 5 2 2 4" xfId="16919" xr:uid="{7EF839FB-6471-4A55-91EE-82F55F99F622}"/>
    <cellStyle name="Normal 2 4 2 3 2 3 5 2 3" xfId="21142" xr:uid="{F21F6A75-3166-47BA-BC71-207CB5B65AAB}"/>
    <cellStyle name="Normal 2 4 2 3 2 3 5 2 4" xfId="29589" xr:uid="{D166DC73-606C-41CC-B9BA-310E3A2D09F0}"/>
    <cellStyle name="Normal 2 4 2 3 2 3 5 2 5" xfId="12701" xr:uid="{AFE47018-0607-47F7-82EA-E5BC13D8022B}"/>
    <cellStyle name="Normal 2 4 2 3 2 3 5 3" xfId="6332" xr:uid="{00000000-0005-0000-0000-0000D10E0000}"/>
    <cellStyle name="Normal 2 4 2 3 2 3 5 3 2" xfId="23215" xr:uid="{2015E609-D662-435E-8DF5-C65181EE5375}"/>
    <cellStyle name="Normal 2 4 2 3 2 3 5 3 3" xfId="31661" xr:uid="{DB1BF8CC-92C4-4379-BB58-BECD7189F967}"/>
    <cellStyle name="Normal 2 4 2 3 2 3 5 3 4" xfId="14774" xr:uid="{53A3CD04-53F0-4CCC-A27A-B7CC6E892082}"/>
    <cellStyle name="Normal 2 4 2 3 2 3 5 4" xfId="18997" xr:uid="{93C8F3D3-759B-4558-BCDB-2B64F7F3022C}"/>
    <cellStyle name="Normal 2 4 2 3 2 3 5 5" xfId="27442" xr:uid="{3707F524-7A85-4F77-8091-66868649A162}"/>
    <cellStyle name="Normal 2 4 2 3 2 3 5 6" xfId="10556" xr:uid="{B30E80D3-1327-4E07-9B20-162F0B425827}"/>
    <cellStyle name="Normal 2 4 2 3 2 3 6" xfId="2461" xr:uid="{00000000-0005-0000-0000-0000D20E0000}"/>
    <cellStyle name="Normal 2 4 2 3 2 3 6 2" xfId="6745" xr:uid="{00000000-0005-0000-0000-0000D30E0000}"/>
    <cellStyle name="Normal 2 4 2 3 2 3 6 2 2" xfId="23628" xr:uid="{62E09D61-CBB7-4C52-8F67-72F7ABE2E2F9}"/>
    <cellStyle name="Normal 2 4 2 3 2 3 6 2 3" xfId="32074" xr:uid="{7FB0EFA5-0006-4545-892D-ED4B32513F68}"/>
    <cellStyle name="Normal 2 4 2 3 2 3 6 2 4" xfId="15187" xr:uid="{6ED3537C-97E5-4A9E-A472-6031A55D2F9D}"/>
    <cellStyle name="Normal 2 4 2 3 2 3 6 3" xfId="19410" xr:uid="{D3B0AE33-5AE0-4057-9264-81C35B4A18A9}"/>
    <cellStyle name="Normal 2 4 2 3 2 3 6 4" xfId="27855" xr:uid="{B261E4D9-CA85-43A4-8DD7-6B92461EBB0D}"/>
    <cellStyle name="Normal 2 4 2 3 2 3 6 5" xfId="10969" xr:uid="{BAECFFA2-6008-481E-837E-5746BDE4E38E}"/>
    <cellStyle name="Normal 2 4 2 3 2 3 7" xfId="4679" xr:uid="{00000000-0005-0000-0000-0000D40E0000}"/>
    <cellStyle name="Normal 2 4 2 3 2 3 7 2" xfId="21562" xr:uid="{3897F67E-175F-4097-A662-45D0B801B32B}"/>
    <cellStyle name="Normal 2 4 2 3 2 3 7 3" xfId="30008" xr:uid="{53F64096-599B-4BE2-AFF4-D660108B05D0}"/>
    <cellStyle name="Normal 2 4 2 3 2 3 7 4" xfId="13121" xr:uid="{DDCB47E3-9E60-4313-8C8C-3A6C657A0EEB}"/>
    <cellStyle name="Normal 2 4 2 3 2 3 8" xfId="17344" xr:uid="{D848D336-D608-4A83-8B0A-27DB957AFA02}"/>
    <cellStyle name="Normal 2 4 2 3 2 3 9" xfId="25788" xr:uid="{C1EFA34E-A8A0-46B9-9CE3-B1F95EA2E6AC}"/>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24118" xr:uid="{911DCFE7-E476-4F61-96EC-6C6F2898D6C3}"/>
    <cellStyle name="Normal 2 4 2 3 2 4 2 2 3" xfId="32564" xr:uid="{248CCAD3-8F56-4748-A2CC-EFD3FA11B059}"/>
    <cellStyle name="Normal 2 4 2 3 2 4 2 2 4" xfId="15677" xr:uid="{CA827DFF-3354-48C1-A012-02C109376D19}"/>
    <cellStyle name="Normal 2 4 2 3 2 4 2 3" xfId="19900" xr:uid="{74CBC71F-4ABB-47EA-9263-2FE773537B6B}"/>
    <cellStyle name="Normal 2 4 2 3 2 4 2 4" xfId="28347" xr:uid="{CA18AF63-C712-47E2-9919-15C70738C46B}"/>
    <cellStyle name="Normal 2 4 2 3 2 4 2 5" xfId="11459" xr:uid="{BBCF7EE0-C457-493C-8481-04357872631B}"/>
    <cellStyle name="Normal 2 4 2 3 2 4 3" xfId="5090" xr:uid="{00000000-0005-0000-0000-0000D80E0000}"/>
    <cellStyle name="Normal 2 4 2 3 2 4 3 2" xfId="21973" xr:uid="{6C9450BF-95BE-4C6C-A37A-C8C4739A78E8}"/>
    <cellStyle name="Normal 2 4 2 3 2 4 3 3" xfId="30419" xr:uid="{64CC9181-0172-4C68-A27D-BA553D2FEB14}"/>
    <cellStyle name="Normal 2 4 2 3 2 4 3 4" xfId="13532" xr:uid="{E44F7D46-840A-4117-AC8F-4EDD45CD197D}"/>
    <cellStyle name="Normal 2 4 2 3 2 4 4" xfId="17755" xr:uid="{55A70CDF-869B-4D1D-B5C5-CCE9EEC2AD59}"/>
    <cellStyle name="Normal 2 4 2 3 2 4 5" xfId="26200" xr:uid="{DC3C6371-0C56-4FCA-A8BC-1F0D2BF73402}"/>
    <cellStyle name="Normal 2 4 2 3 2 4 6" xfId="9314" xr:uid="{5F41DCEB-C8FE-4366-858F-4B3B3A4F151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24531" xr:uid="{33D11E46-D935-4206-B8E0-A42E0C63B00C}"/>
    <cellStyle name="Normal 2 4 2 3 2 5 2 2 3" xfId="32977" xr:uid="{41D2A897-D197-48FF-9D01-F796258E29C6}"/>
    <cellStyle name="Normal 2 4 2 3 2 5 2 2 4" xfId="16090" xr:uid="{DB36823C-A820-4EFF-B0E5-8A6BFCDDE482}"/>
    <cellStyle name="Normal 2 4 2 3 2 5 2 3" xfId="20313" xr:uid="{A71351E4-DBBF-4197-8692-9D75F76524D3}"/>
    <cellStyle name="Normal 2 4 2 3 2 5 2 4" xfId="28760" xr:uid="{58FB3555-5CB5-4683-B6F6-A896C36C84B3}"/>
    <cellStyle name="Normal 2 4 2 3 2 5 2 5" xfId="11872" xr:uid="{97F8EC03-98EE-466B-BC5C-081BB91BC430}"/>
    <cellStyle name="Normal 2 4 2 3 2 5 3" xfId="5503" xr:uid="{00000000-0005-0000-0000-0000DC0E0000}"/>
    <cellStyle name="Normal 2 4 2 3 2 5 3 2" xfId="22386" xr:uid="{A0C88796-A8C3-44E4-90BB-52520025022F}"/>
    <cellStyle name="Normal 2 4 2 3 2 5 3 3" xfId="30832" xr:uid="{B7154E8E-D4EB-438E-87BC-86F7913A4A74}"/>
    <cellStyle name="Normal 2 4 2 3 2 5 3 4" xfId="13945" xr:uid="{2827C836-F089-4762-9B82-CC5A7C172337}"/>
    <cellStyle name="Normal 2 4 2 3 2 5 4" xfId="18168" xr:uid="{9EFCACBD-C347-4D66-A0C7-2A473D1ADB84}"/>
    <cellStyle name="Normal 2 4 2 3 2 5 5" xfId="26613" xr:uid="{919F63DE-66EB-4350-A033-38C35ADDF1DC}"/>
    <cellStyle name="Normal 2 4 2 3 2 5 6" xfId="9727" xr:uid="{1C3BA671-55C2-4EAE-AFEC-34574520D558}"/>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24944" xr:uid="{49BC789E-DCA7-4939-8B55-338121230745}"/>
    <cellStyle name="Normal 2 4 2 3 2 6 2 2 3" xfId="33390" xr:uid="{404B8B06-1009-409F-9D45-2A13CCF3FD1C}"/>
    <cellStyle name="Normal 2 4 2 3 2 6 2 2 4" xfId="16503" xr:uid="{9FDF89DD-2CC7-41FF-8CA6-39D8AB0B3966}"/>
    <cellStyle name="Normal 2 4 2 3 2 6 2 3" xfId="20726" xr:uid="{14C54A63-9FE0-4F2E-86D5-78D7E05E2E58}"/>
    <cellStyle name="Normal 2 4 2 3 2 6 2 4" xfId="29173" xr:uid="{6AB0E9A1-6AD3-4344-B176-11CE8F43094D}"/>
    <cellStyle name="Normal 2 4 2 3 2 6 2 5" xfId="12285" xr:uid="{20F142FF-619C-4D5C-9CA7-13CF0B7C2D49}"/>
    <cellStyle name="Normal 2 4 2 3 2 6 3" xfId="5916" xr:uid="{00000000-0005-0000-0000-0000E00E0000}"/>
    <cellStyle name="Normal 2 4 2 3 2 6 3 2" xfId="22799" xr:uid="{FCD4F18F-9196-4EB5-96D0-7285887F3496}"/>
    <cellStyle name="Normal 2 4 2 3 2 6 3 3" xfId="31245" xr:uid="{C9E95F25-47B4-4AD5-B19E-B8416F887639}"/>
    <cellStyle name="Normal 2 4 2 3 2 6 3 4" xfId="14358" xr:uid="{E7E27B6F-6946-4F9D-9189-9F30230B6151}"/>
    <cellStyle name="Normal 2 4 2 3 2 6 4" xfId="18581" xr:uid="{6E931E5C-3C05-4948-84FB-6BB92C566196}"/>
    <cellStyle name="Normal 2 4 2 3 2 6 5" xfId="27026" xr:uid="{FA800F59-EFB0-43C8-8FE1-695FF0810847}"/>
    <cellStyle name="Normal 2 4 2 3 2 6 6" xfId="10140" xr:uid="{E4DB1D8D-56C3-41F2-B085-4F249D5DF612}"/>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25357" xr:uid="{D5856588-12A3-4E81-B92D-5B10FAA89B64}"/>
    <cellStyle name="Normal 2 4 2 3 2 7 2 2 3" xfId="33803" xr:uid="{12ABE7DA-9053-4E7C-99FF-0B6F31986EED}"/>
    <cellStyle name="Normal 2 4 2 3 2 7 2 2 4" xfId="16916" xr:uid="{9C64590F-E5C2-44A5-B587-79C82B38E247}"/>
    <cellStyle name="Normal 2 4 2 3 2 7 2 3" xfId="21139" xr:uid="{D29BA0E8-5865-4A63-AE3C-8E0FCB4B1993}"/>
    <cellStyle name="Normal 2 4 2 3 2 7 2 4" xfId="29586" xr:uid="{75039B08-21D1-4E63-95DE-AD7F8C0E34D2}"/>
    <cellStyle name="Normal 2 4 2 3 2 7 2 5" xfId="12698" xr:uid="{B894760A-37AE-47E1-B28C-DE9B9E89F668}"/>
    <cellStyle name="Normal 2 4 2 3 2 7 3" xfId="6329" xr:uid="{00000000-0005-0000-0000-0000E40E0000}"/>
    <cellStyle name="Normal 2 4 2 3 2 7 3 2" xfId="23212" xr:uid="{9533DA0F-3C89-48DF-B1D3-DD2E48AD9D47}"/>
    <cellStyle name="Normal 2 4 2 3 2 7 3 3" xfId="31658" xr:uid="{7679D73C-1D41-46B7-AA97-CF643DEC846D}"/>
    <cellStyle name="Normal 2 4 2 3 2 7 3 4" xfId="14771" xr:uid="{05A149B2-BA58-432E-84B3-FA800E8E3577}"/>
    <cellStyle name="Normal 2 4 2 3 2 7 4" xfId="18994" xr:uid="{946F9738-7F44-4C2C-BD65-F312C4BA449F}"/>
    <cellStyle name="Normal 2 4 2 3 2 7 5" xfId="27439" xr:uid="{FECE0DBB-8123-400D-A14E-75E62E09A06F}"/>
    <cellStyle name="Normal 2 4 2 3 2 7 6" xfId="10553" xr:uid="{062E74DD-5ADC-4EE0-BC22-FEC893BA5A6E}"/>
    <cellStyle name="Normal 2 4 2 3 2 8" xfId="2458" xr:uid="{00000000-0005-0000-0000-0000E50E0000}"/>
    <cellStyle name="Normal 2 4 2 3 2 8 2" xfId="6742" xr:uid="{00000000-0005-0000-0000-0000E60E0000}"/>
    <cellStyle name="Normal 2 4 2 3 2 8 2 2" xfId="23625" xr:uid="{BE42D78F-D7B2-4BAD-B483-EEF697FAB0B1}"/>
    <cellStyle name="Normal 2 4 2 3 2 8 2 3" xfId="32071" xr:uid="{B08424D3-776D-47B5-920C-A3B6CE5BBE8F}"/>
    <cellStyle name="Normal 2 4 2 3 2 8 2 4" xfId="15184" xr:uid="{3D275783-5829-4568-846A-E2B78801F358}"/>
    <cellStyle name="Normal 2 4 2 3 2 8 3" xfId="19407" xr:uid="{04EFA4E9-60A9-4539-857D-B50430C51E6B}"/>
    <cellStyle name="Normal 2 4 2 3 2 8 4" xfId="27852" xr:uid="{B2B75CA0-85A0-4951-8801-215422AC85C5}"/>
    <cellStyle name="Normal 2 4 2 3 2 8 5" xfId="10966" xr:uid="{E6B9E296-9374-4308-9420-9F55206F061D}"/>
    <cellStyle name="Normal 2 4 2 3 2 9" xfId="4676" xr:uid="{00000000-0005-0000-0000-0000E70E0000}"/>
    <cellStyle name="Normal 2 4 2 3 2 9 2" xfId="21559" xr:uid="{297FEDAC-8B5A-4310-9F8C-5BEE32B631EF}"/>
    <cellStyle name="Normal 2 4 2 3 2 9 3" xfId="30005" xr:uid="{A9311AC4-7483-4753-B9EF-10CF38E9151A}"/>
    <cellStyle name="Normal 2 4 2 3 2 9 4" xfId="13118" xr:uid="{A5CB5021-6966-429B-BE9F-188FE9A15730}"/>
    <cellStyle name="Normal 2 4 2 3 3" xfId="286" xr:uid="{00000000-0005-0000-0000-0000E80E0000}"/>
    <cellStyle name="Normal 2 4 2 3 3 10" xfId="25789" xr:uid="{90E3669D-50D4-4DC9-A82D-1C9C2D66A8F8}"/>
    <cellStyle name="Normal 2 4 2 3 3 11" xfId="8904" xr:uid="{D32714B7-3892-4C31-9FCF-CFDFB408D82F}"/>
    <cellStyle name="Normal 2 4 2 3 3 2" xfId="287" xr:uid="{00000000-0005-0000-0000-0000E90E0000}"/>
    <cellStyle name="Normal 2 4 2 3 3 2 10" xfId="8905" xr:uid="{678A494B-0EBB-45E5-95A3-0EAC51CF9276}"/>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24123" xr:uid="{6218773F-B927-4D06-9091-3B0A9F53D4F8}"/>
    <cellStyle name="Normal 2 4 2 3 3 2 2 2 2 3" xfId="32569" xr:uid="{144D0920-298C-4291-99A0-F029040F2926}"/>
    <cellStyle name="Normal 2 4 2 3 3 2 2 2 2 4" xfId="15682" xr:uid="{B80E85D2-100A-498B-84EA-19DE58183828}"/>
    <cellStyle name="Normal 2 4 2 3 3 2 2 2 3" xfId="19905" xr:uid="{55957C22-0875-4851-AE60-CDED7E9B39EC}"/>
    <cellStyle name="Normal 2 4 2 3 3 2 2 2 4" xfId="28352" xr:uid="{F4147F2D-6FB4-4C58-BF58-B27E85080EAA}"/>
    <cellStyle name="Normal 2 4 2 3 3 2 2 2 5" xfId="11464" xr:uid="{4AD5D148-11E7-40A5-9CF1-2E80DF6FBEDD}"/>
    <cellStyle name="Normal 2 4 2 3 3 2 2 3" xfId="5095" xr:uid="{00000000-0005-0000-0000-0000ED0E0000}"/>
    <cellStyle name="Normal 2 4 2 3 3 2 2 3 2" xfId="21978" xr:uid="{0F87FDDD-4634-4486-8175-AE312DF49478}"/>
    <cellStyle name="Normal 2 4 2 3 3 2 2 3 3" xfId="30424" xr:uid="{F7C8937E-4778-4186-8366-C11652A10983}"/>
    <cellStyle name="Normal 2 4 2 3 3 2 2 3 4" xfId="13537" xr:uid="{D83F0E90-AFA7-4AC2-BDEF-9EEBC29BEFE0}"/>
    <cellStyle name="Normal 2 4 2 3 3 2 2 4" xfId="17760" xr:uid="{AAA1B09E-AE0E-4049-9249-EFFD13228ACF}"/>
    <cellStyle name="Normal 2 4 2 3 3 2 2 5" xfId="26205" xr:uid="{C88CB97D-EDEF-4BF8-A28B-88C58A1A7721}"/>
    <cellStyle name="Normal 2 4 2 3 3 2 2 6" xfId="9319" xr:uid="{59092C11-C5EB-4A60-973C-B16CFC0AE073}"/>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24536" xr:uid="{1B90929C-5D25-4AF3-9720-B05A32AD8E5B}"/>
    <cellStyle name="Normal 2 4 2 3 3 2 3 2 2 3" xfId="32982" xr:uid="{EA90A1DE-0589-4E2D-867D-87B488013FB2}"/>
    <cellStyle name="Normal 2 4 2 3 3 2 3 2 2 4" xfId="16095" xr:uid="{30CDCCB6-4767-4DEC-8BE1-4695FF2650F8}"/>
    <cellStyle name="Normal 2 4 2 3 3 2 3 2 3" xfId="20318" xr:uid="{58C841F6-BDD1-47AE-BEE3-5B3F90C105DF}"/>
    <cellStyle name="Normal 2 4 2 3 3 2 3 2 4" xfId="28765" xr:uid="{26CE4851-5744-4145-8306-E3D190E90010}"/>
    <cellStyle name="Normal 2 4 2 3 3 2 3 2 5" xfId="11877" xr:uid="{30885487-6ED0-49C0-9ABB-8AAB2086A2F2}"/>
    <cellStyle name="Normal 2 4 2 3 3 2 3 3" xfId="5508" xr:uid="{00000000-0005-0000-0000-0000F10E0000}"/>
    <cellStyle name="Normal 2 4 2 3 3 2 3 3 2" xfId="22391" xr:uid="{53DB555A-A7D6-4115-B3A4-F5715FEEEEDB}"/>
    <cellStyle name="Normal 2 4 2 3 3 2 3 3 3" xfId="30837" xr:uid="{687DA7B3-A0F6-4969-A705-934023FCEB81}"/>
    <cellStyle name="Normal 2 4 2 3 3 2 3 3 4" xfId="13950" xr:uid="{2DDAC6FD-34D9-4520-ADF4-F6B6F6FDA6C7}"/>
    <cellStyle name="Normal 2 4 2 3 3 2 3 4" xfId="18173" xr:uid="{143A564E-8713-487C-818B-91E8C127ED93}"/>
    <cellStyle name="Normal 2 4 2 3 3 2 3 5" xfId="26618" xr:uid="{92D1C072-864F-49AC-83E0-F516E6984551}"/>
    <cellStyle name="Normal 2 4 2 3 3 2 3 6" xfId="9732" xr:uid="{AD9E52C3-E7D1-4769-9087-4D7FD0E0A24E}"/>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24949" xr:uid="{34168228-94E9-45F1-8CD5-03A0AFF7D9E0}"/>
    <cellStyle name="Normal 2 4 2 3 3 2 4 2 2 3" xfId="33395" xr:uid="{DB556015-CB1C-432C-94D5-AAC6C0A96256}"/>
    <cellStyle name="Normal 2 4 2 3 3 2 4 2 2 4" xfId="16508" xr:uid="{E2F796DD-195B-40D0-BD21-F07CAA7DC0AB}"/>
    <cellStyle name="Normal 2 4 2 3 3 2 4 2 3" xfId="20731" xr:uid="{21C9F627-078D-44E2-9EC2-AFA851E2B696}"/>
    <cellStyle name="Normal 2 4 2 3 3 2 4 2 4" xfId="29178" xr:uid="{CAFBD1EE-83B8-4367-8AA4-71FDEE9BB19E}"/>
    <cellStyle name="Normal 2 4 2 3 3 2 4 2 5" xfId="12290" xr:uid="{C3FE6D55-ED1B-41E0-82D6-54634B19E433}"/>
    <cellStyle name="Normal 2 4 2 3 3 2 4 3" xfId="5921" xr:uid="{00000000-0005-0000-0000-0000F50E0000}"/>
    <cellStyle name="Normal 2 4 2 3 3 2 4 3 2" xfId="22804" xr:uid="{4303D56B-08AD-41A2-AFFE-8002C51CFB00}"/>
    <cellStyle name="Normal 2 4 2 3 3 2 4 3 3" xfId="31250" xr:uid="{13644BA5-5DAF-43D8-8938-C50642DA277C}"/>
    <cellStyle name="Normal 2 4 2 3 3 2 4 3 4" xfId="14363" xr:uid="{B9B7A8F1-41B6-4937-BB1D-A011A11CBA3B}"/>
    <cellStyle name="Normal 2 4 2 3 3 2 4 4" xfId="18586" xr:uid="{8BABE73C-C8FF-44D1-8BB0-8205D1CBA02A}"/>
    <cellStyle name="Normal 2 4 2 3 3 2 4 5" xfId="27031" xr:uid="{C5B8C7DF-1B9B-4492-9592-AEB753D3955E}"/>
    <cellStyle name="Normal 2 4 2 3 3 2 4 6" xfId="10145" xr:uid="{C3439CA5-304A-443F-A47E-F57CAE0056C3}"/>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25362" xr:uid="{41D48168-DDCF-4392-96C2-E69099746BC4}"/>
    <cellStyle name="Normal 2 4 2 3 3 2 5 2 2 3" xfId="33808" xr:uid="{46552F06-DCAB-4549-A3A6-A0A4ECDAF50E}"/>
    <cellStyle name="Normal 2 4 2 3 3 2 5 2 2 4" xfId="16921" xr:uid="{B67DCEE4-02FC-4AF7-8F77-AD651187C73B}"/>
    <cellStyle name="Normal 2 4 2 3 3 2 5 2 3" xfId="21144" xr:uid="{5CD574B5-CCA2-41C2-91BF-0A5F452EDE89}"/>
    <cellStyle name="Normal 2 4 2 3 3 2 5 2 4" xfId="29591" xr:uid="{26348746-6D5A-4509-8F72-29B9474B5FE3}"/>
    <cellStyle name="Normal 2 4 2 3 3 2 5 2 5" xfId="12703" xr:uid="{51DAB10F-54AC-495B-B698-B0289B10EF75}"/>
    <cellStyle name="Normal 2 4 2 3 3 2 5 3" xfId="6334" xr:uid="{00000000-0005-0000-0000-0000F90E0000}"/>
    <cellStyle name="Normal 2 4 2 3 3 2 5 3 2" xfId="23217" xr:uid="{F3081DEB-B0D0-4CF0-8334-CA71D22F97B4}"/>
    <cellStyle name="Normal 2 4 2 3 3 2 5 3 3" xfId="31663" xr:uid="{0E5ADE88-0FA4-4838-95F5-3D11618EAC61}"/>
    <cellStyle name="Normal 2 4 2 3 3 2 5 3 4" xfId="14776" xr:uid="{5FDBFF14-B9C7-4322-8E18-D8FFEA2A6B58}"/>
    <cellStyle name="Normal 2 4 2 3 3 2 5 4" xfId="18999" xr:uid="{7D31C4C7-4827-4F3E-A98C-2911401DFA5A}"/>
    <cellStyle name="Normal 2 4 2 3 3 2 5 5" xfId="27444" xr:uid="{8CEFC4CA-E814-4A51-8DAF-AD28F0AA1930}"/>
    <cellStyle name="Normal 2 4 2 3 3 2 5 6" xfId="10558" xr:uid="{F40FE133-DB61-414B-8C53-5502681F6951}"/>
    <cellStyle name="Normal 2 4 2 3 3 2 6" xfId="2463" xr:uid="{00000000-0005-0000-0000-0000FA0E0000}"/>
    <cellStyle name="Normal 2 4 2 3 3 2 6 2" xfId="6747" xr:uid="{00000000-0005-0000-0000-0000FB0E0000}"/>
    <cellStyle name="Normal 2 4 2 3 3 2 6 2 2" xfId="23630" xr:uid="{32AADAA2-1971-4E62-AEF2-77C3ECAC606D}"/>
    <cellStyle name="Normal 2 4 2 3 3 2 6 2 3" xfId="32076" xr:uid="{9444630C-95DA-4952-94A5-56B420EDEF5D}"/>
    <cellStyle name="Normal 2 4 2 3 3 2 6 2 4" xfId="15189" xr:uid="{448F76E9-B149-4091-8D03-2DAD4A6D60FA}"/>
    <cellStyle name="Normal 2 4 2 3 3 2 6 3" xfId="19412" xr:uid="{6B392EF5-AAB3-4A81-B087-044AD5746B22}"/>
    <cellStyle name="Normal 2 4 2 3 3 2 6 4" xfId="27857" xr:uid="{8ADA91AD-FE58-46EA-97F5-5C14D4E5D949}"/>
    <cellStyle name="Normal 2 4 2 3 3 2 6 5" xfId="10971" xr:uid="{31724CB2-AA4C-46EA-8AE8-4A0590121E15}"/>
    <cellStyle name="Normal 2 4 2 3 3 2 7" xfId="4681" xr:uid="{00000000-0005-0000-0000-0000FC0E0000}"/>
    <cellStyle name="Normal 2 4 2 3 3 2 7 2" xfId="21564" xr:uid="{058D2666-F907-44DC-BCC0-A64467315068}"/>
    <cellStyle name="Normal 2 4 2 3 3 2 7 3" xfId="30010" xr:uid="{BD1E2147-877D-4DF0-9FC0-6A5B538D0DE7}"/>
    <cellStyle name="Normal 2 4 2 3 3 2 7 4" xfId="13123" xr:uid="{2A552351-5761-49A5-8203-5167B61EF395}"/>
    <cellStyle name="Normal 2 4 2 3 3 2 8" xfId="17346" xr:uid="{B8CB2855-AF4E-4FDB-8E67-676D1691C7ED}"/>
    <cellStyle name="Normal 2 4 2 3 3 2 9" xfId="25790" xr:uid="{C2454C7C-9511-4BEC-BAA5-2937E6A803F2}"/>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24122" xr:uid="{935CD365-AB28-40CF-81A2-D83398F49966}"/>
    <cellStyle name="Normal 2 4 2 3 3 3 2 2 3" xfId="32568" xr:uid="{0F7481C6-0DDA-4A05-AB60-D007E0E2EEEC}"/>
    <cellStyle name="Normal 2 4 2 3 3 3 2 2 4" xfId="15681" xr:uid="{D2C467B2-6083-4B3F-AA59-153E392BB37E}"/>
    <cellStyle name="Normal 2 4 2 3 3 3 2 3" xfId="19904" xr:uid="{F2BD1DB7-0EC4-4774-BD4D-1C9FCFB80EAD}"/>
    <cellStyle name="Normal 2 4 2 3 3 3 2 4" xfId="28351" xr:uid="{DCFC67A0-2AAD-4D54-882E-84D750A5C644}"/>
    <cellStyle name="Normal 2 4 2 3 3 3 2 5" xfId="11463" xr:uid="{FA01EA72-7478-44E2-8506-42658E70DF52}"/>
    <cellStyle name="Normal 2 4 2 3 3 3 3" xfId="5094" xr:uid="{00000000-0005-0000-0000-0000000F0000}"/>
    <cellStyle name="Normal 2 4 2 3 3 3 3 2" xfId="21977" xr:uid="{C0511A48-5354-489D-93F4-A0EB6F813991}"/>
    <cellStyle name="Normal 2 4 2 3 3 3 3 3" xfId="30423" xr:uid="{0DAD0AD0-D173-4257-B842-ACD5431EABC9}"/>
    <cellStyle name="Normal 2 4 2 3 3 3 3 4" xfId="13536" xr:uid="{B16F8AD5-2633-4377-98D7-FF751B554F96}"/>
    <cellStyle name="Normal 2 4 2 3 3 3 4" xfId="17759" xr:uid="{60574859-0D9D-4EB9-BE76-5407645A3DBC}"/>
    <cellStyle name="Normal 2 4 2 3 3 3 5" xfId="26204" xr:uid="{1B37D0DC-E92A-4B98-AF8B-2A2AF20F4E0F}"/>
    <cellStyle name="Normal 2 4 2 3 3 3 6" xfId="9318" xr:uid="{39DF35B2-AEB8-4E2F-B77B-C215204ED8BD}"/>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24535" xr:uid="{417E29DA-CFBA-48F5-8320-BDD19FCBFA18}"/>
    <cellStyle name="Normal 2 4 2 3 3 4 2 2 3" xfId="32981" xr:uid="{FDD712D8-2F88-4C49-92D2-0BA2255F621C}"/>
    <cellStyle name="Normal 2 4 2 3 3 4 2 2 4" xfId="16094" xr:uid="{9FE0225F-BC2B-4EBF-B47D-3041E9BDB5A9}"/>
    <cellStyle name="Normal 2 4 2 3 3 4 2 3" xfId="20317" xr:uid="{435B1E60-452B-4E03-A53A-E381AF8C2955}"/>
    <cellStyle name="Normal 2 4 2 3 3 4 2 4" xfId="28764" xr:uid="{79578292-30E1-452B-BB5A-1C9E3BEE963A}"/>
    <cellStyle name="Normal 2 4 2 3 3 4 2 5" xfId="11876" xr:uid="{1EF622DB-65B9-4C8C-960E-45CCBC831CD3}"/>
    <cellStyle name="Normal 2 4 2 3 3 4 3" xfId="5507" xr:uid="{00000000-0005-0000-0000-0000040F0000}"/>
    <cellStyle name="Normal 2 4 2 3 3 4 3 2" xfId="22390" xr:uid="{381B4793-754A-42A7-8160-8D58D1F9DE08}"/>
    <cellStyle name="Normal 2 4 2 3 3 4 3 3" xfId="30836" xr:uid="{F6EA92B2-C95C-461C-9F3A-5BF517711274}"/>
    <cellStyle name="Normal 2 4 2 3 3 4 3 4" xfId="13949" xr:uid="{6E7A3F51-49B0-4E08-94C4-F90DA23BB045}"/>
    <cellStyle name="Normal 2 4 2 3 3 4 4" xfId="18172" xr:uid="{4B42F88B-F5AE-4192-AEB1-BA93EC0DFA98}"/>
    <cellStyle name="Normal 2 4 2 3 3 4 5" xfId="26617" xr:uid="{14D71571-5FB2-44CB-9073-F90A6A7DD3F7}"/>
    <cellStyle name="Normal 2 4 2 3 3 4 6" xfId="9731" xr:uid="{BF5C3E80-118C-4E3B-B5B7-FC9DB83B051A}"/>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24948" xr:uid="{CFC2BBD5-9836-4060-A825-3A100BD0261A}"/>
    <cellStyle name="Normal 2 4 2 3 3 5 2 2 3" xfId="33394" xr:uid="{12950958-5D8B-48E9-9BAA-8C2FF688BD23}"/>
    <cellStyle name="Normal 2 4 2 3 3 5 2 2 4" xfId="16507" xr:uid="{2E68601C-E8BA-4DD8-BCBB-7F0D78F8B1FF}"/>
    <cellStyle name="Normal 2 4 2 3 3 5 2 3" xfId="20730" xr:uid="{70F18AC4-035D-4BBB-AA1F-29854276E32C}"/>
    <cellStyle name="Normal 2 4 2 3 3 5 2 4" xfId="29177" xr:uid="{48958AFA-06C5-4DA8-91DE-76604D809311}"/>
    <cellStyle name="Normal 2 4 2 3 3 5 2 5" xfId="12289" xr:uid="{BA95A736-FC5A-4E8A-9C13-254AB225931E}"/>
    <cellStyle name="Normal 2 4 2 3 3 5 3" xfId="5920" xr:uid="{00000000-0005-0000-0000-0000080F0000}"/>
    <cellStyle name="Normal 2 4 2 3 3 5 3 2" xfId="22803" xr:uid="{FC48FD32-3514-4DF6-ACFE-88BCCC095425}"/>
    <cellStyle name="Normal 2 4 2 3 3 5 3 3" xfId="31249" xr:uid="{10FC9858-1C43-4CD0-8EE2-4A3FE751EE64}"/>
    <cellStyle name="Normal 2 4 2 3 3 5 3 4" xfId="14362" xr:uid="{D8C64D8D-4D9E-476F-B4E3-3DFBF21A726E}"/>
    <cellStyle name="Normal 2 4 2 3 3 5 4" xfId="18585" xr:uid="{193953FE-5D2F-4780-8366-89B69BBC63F2}"/>
    <cellStyle name="Normal 2 4 2 3 3 5 5" xfId="27030" xr:uid="{38C94993-9ADE-452B-969B-F395271F0D68}"/>
    <cellStyle name="Normal 2 4 2 3 3 5 6" xfId="10144" xr:uid="{3C6A1E57-6C00-4890-B1DF-1DCB597DE811}"/>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25361" xr:uid="{DBC785D9-89B6-4E54-9326-2386ADBEAAED}"/>
    <cellStyle name="Normal 2 4 2 3 3 6 2 2 3" xfId="33807" xr:uid="{681E74E7-9AE1-49CF-9A50-83624E3A60E2}"/>
    <cellStyle name="Normal 2 4 2 3 3 6 2 2 4" xfId="16920" xr:uid="{80C9080D-587E-4D26-8EF8-CEA44B29C0E1}"/>
    <cellStyle name="Normal 2 4 2 3 3 6 2 3" xfId="21143" xr:uid="{D3F6B646-4F7A-41D5-879D-510189014E5A}"/>
    <cellStyle name="Normal 2 4 2 3 3 6 2 4" xfId="29590" xr:uid="{9B156CFF-F372-461A-91DD-F7B8AE0FA857}"/>
    <cellStyle name="Normal 2 4 2 3 3 6 2 5" xfId="12702" xr:uid="{F5C02DFF-2658-4D20-AAD0-1266FF390B80}"/>
    <cellStyle name="Normal 2 4 2 3 3 6 3" xfId="6333" xr:uid="{00000000-0005-0000-0000-00000C0F0000}"/>
    <cellStyle name="Normal 2 4 2 3 3 6 3 2" xfId="23216" xr:uid="{A916C9CB-8446-4E18-B78A-6EF43D208C8A}"/>
    <cellStyle name="Normal 2 4 2 3 3 6 3 3" xfId="31662" xr:uid="{873635EA-2E29-4913-851E-912F490D8549}"/>
    <cellStyle name="Normal 2 4 2 3 3 6 3 4" xfId="14775" xr:uid="{AD9F5573-89B9-4279-A7F5-1C76C524954E}"/>
    <cellStyle name="Normal 2 4 2 3 3 6 4" xfId="18998" xr:uid="{3F878B71-346D-4B9D-BE8F-B01A85834083}"/>
    <cellStyle name="Normal 2 4 2 3 3 6 5" xfId="27443" xr:uid="{2D5CFAA6-F044-4A4A-9228-DB850A66EDCC}"/>
    <cellStyle name="Normal 2 4 2 3 3 6 6" xfId="10557" xr:uid="{E2A3D73D-BD43-44BD-8DB5-D09163C4C1D9}"/>
    <cellStyle name="Normal 2 4 2 3 3 7" xfId="2462" xr:uid="{00000000-0005-0000-0000-00000D0F0000}"/>
    <cellStyle name="Normal 2 4 2 3 3 7 2" xfId="6746" xr:uid="{00000000-0005-0000-0000-00000E0F0000}"/>
    <cellStyle name="Normal 2 4 2 3 3 7 2 2" xfId="23629" xr:uid="{5B94DDCF-92B7-4126-A615-3FE8E483DF5D}"/>
    <cellStyle name="Normal 2 4 2 3 3 7 2 3" xfId="32075" xr:uid="{46001B1A-DFB4-4392-86F6-1399CBE9F6AC}"/>
    <cellStyle name="Normal 2 4 2 3 3 7 2 4" xfId="15188" xr:uid="{398DF742-698C-453E-ADFC-62472F52146D}"/>
    <cellStyle name="Normal 2 4 2 3 3 7 3" xfId="19411" xr:uid="{3780A6F0-DE94-4DDF-AF4C-3AAAFF3D79BA}"/>
    <cellStyle name="Normal 2 4 2 3 3 7 4" xfId="27856" xr:uid="{653492EF-489E-45CF-834B-3E9862C1B9C4}"/>
    <cellStyle name="Normal 2 4 2 3 3 7 5" xfId="10970" xr:uid="{9D995FE9-C067-4DFF-8854-8CCF49BCC8A7}"/>
    <cellStyle name="Normal 2 4 2 3 3 8" xfId="4680" xr:uid="{00000000-0005-0000-0000-00000F0F0000}"/>
    <cellStyle name="Normal 2 4 2 3 3 8 2" xfId="21563" xr:uid="{8742EBC0-5B29-4567-B399-A3D4ACE0C79F}"/>
    <cellStyle name="Normal 2 4 2 3 3 8 3" xfId="30009" xr:uid="{6D83E060-CE81-4017-9F3D-192DC9FC3900}"/>
    <cellStyle name="Normal 2 4 2 3 3 8 4" xfId="13122" xr:uid="{F2CFA733-BE60-43D7-80D0-6AB46D85E714}"/>
    <cellStyle name="Normal 2 4 2 3 3 9" xfId="17345" xr:uid="{BA1A61CD-B00A-4CDA-81F1-BFF9DE85E296}"/>
    <cellStyle name="Normal 2 4 2 3 4" xfId="288" xr:uid="{00000000-0005-0000-0000-0000100F0000}"/>
    <cellStyle name="Normal 2 4 2 3 4 10" xfId="8906" xr:uid="{4DE3B875-101A-4E31-95BE-86628FFE85F8}"/>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24124" xr:uid="{63D1C4ED-A78B-45FF-9566-E80DDA7D02DF}"/>
    <cellStyle name="Normal 2 4 2 3 4 2 2 2 3" xfId="32570" xr:uid="{7DAE6943-5B64-41F3-940B-3D6C5EC42E3E}"/>
    <cellStyle name="Normal 2 4 2 3 4 2 2 2 4" xfId="15683" xr:uid="{0D241B0F-0630-415D-BAFC-30A5D7FD4831}"/>
    <cellStyle name="Normal 2 4 2 3 4 2 2 3" xfId="19906" xr:uid="{98CE17D6-5B54-40FD-868A-2125ADF20C28}"/>
    <cellStyle name="Normal 2 4 2 3 4 2 2 4" xfId="28353" xr:uid="{5D787550-5366-4A7D-98D4-ECE345048492}"/>
    <cellStyle name="Normal 2 4 2 3 4 2 2 5" xfId="11465" xr:uid="{0FD15CBF-3E85-4144-ADD8-A30C82EF2A6A}"/>
    <cellStyle name="Normal 2 4 2 3 4 2 3" xfId="5096" xr:uid="{00000000-0005-0000-0000-0000140F0000}"/>
    <cellStyle name="Normal 2 4 2 3 4 2 3 2" xfId="21979" xr:uid="{7F2EF6BE-8672-4CEF-8AEE-EE1052C6F186}"/>
    <cellStyle name="Normal 2 4 2 3 4 2 3 3" xfId="30425" xr:uid="{EA7C4F5B-49EF-4B00-B45D-C69CEBA30215}"/>
    <cellStyle name="Normal 2 4 2 3 4 2 3 4" xfId="13538" xr:uid="{91E920DA-B6AC-4FB3-926F-CAE01806919A}"/>
    <cellStyle name="Normal 2 4 2 3 4 2 4" xfId="17761" xr:uid="{FAB3497C-1677-4897-BD36-2A8C5287C687}"/>
    <cellStyle name="Normal 2 4 2 3 4 2 5" xfId="26206" xr:uid="{FFE90A8D-226D-4F9E-B5CC-12F1C6C3BED4}"/>
    <cellStyle name="Normal 2 4 2 3 4 2 6" xfId="9320" xr:uid="{03A8F2BE-7930-4807-A131-874D811A4DDC}"/>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24537" xr:uid="{B4F2E08C-55D5-4184-9DB4-23B17B7F6FD7}"/>
    <cellStyle name="Normal 2 4 2 3 4 3 2 2 3" xfId="32983" xr:uid="{0A18ABF0-D7C2-4030-BF2F-76B1E69713B5}"/>
    <cellStyle name="Normal 2 4 2 3 4 3 2 2 4" xfId="16096" xr:uid="{3CBDF65F-472E-4152-BD49-3EEDD46A3431}"/>
    <cellStyle name="Normal 2 4 2 3 4 3 2 3" xfId="20319" xr:uid="{E493C0FB-6534-44F6-B7CE-6C070C479F42}"/>
    <cellStyle name="Normal 2 4 2 3 4 3 2 4" xfId="28766" xr:uid="{46211105-0F98-4159-AD6C-79ABD8F49B18}"/>
    <cellStyle name="Normal 2 4 2 3 4 3 2 5" xfId="11878" xr:uid="{A2E24266-8C5A-411E-BF17-E44665938B9B}"/>
    <cellStyle name="Normal 2 4 2 3 4 3 3" xfId="5509" xr:uid="{00000000-0005-0000-0000-0000180F0000}"/>
    <cellStyle name="Normal 2 4 2 3 4 3 3 2" xfId="22392" xr:uid="{A79E413E-77D4-4D4D-A328-1E31A5F9F006}"/>
    <cellStyle name="Normal 2 4 2 3 4 3 3 3" xfId="30838" xr:uid="{CA131FD3-5984-4940-9089-5D24030AFB5E}"/>
    <cellStyle name="Normal 2 4 2 3 4 3 3 4" xfId="13951" xr:uid="{9AE42F4C-422A-4DC7-B762-887E63DB26BE}"/>
    <cellStyle name="Normal 2 4 2 3 4 3 4" xfId="18174" xr:uid="{032E338D-5784-4D4D-AA4E-FC0F63012FD2}"/>
    <cellStyle name="Normal 2 4 2 3 4 3 5" xfId="26619" xr:uid="{D82FA8BB-8D89-4FE3-B6B7-E669119EF015}"/>
    <cellStyle name="Normal 2 4 2 3 4 3 6" xfId="9733" xr:uid="{D1954082-E041-49E2-9FAC-3F176F95400E}"/>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24950" xr:uid="{6669C32C-E83E-413D-A6BE-00037CDA51BD}"/>
    <cellStyle name="Normal 2 4 2 3 4 4 2 2 3" xfId="33396" xr:uid="{E980FC4F-D2AB-4942-85FE-8FF4F56812CC}"/>
    <cellStyle name="Normal 2 4 2 3 4 4 2 2 4" xfId="16509" xr:uid="{27885A38-1412-48A8-87B3-F02EF6271EC9}"/>
    <cellStyle name="Normal 2 4 2 3 4 4 2 3" xfId="20732" xr:uid="{D5B6EEAB-16C4-4015-AD3C-C2183657953C}"/>
    <cellStyle name="Normal 2 4 2 3 4 4 2 4" xfId="29179" xr:uid="{D8D40809-EBA0-490C-A3D7-E98F2960E635}"/>
    <cellStyle name="Normal 2 4 2 3 4 4 2 5" xfId="12291" xr:uid="{ED9B2143-34BC-4969-93B4-B71859CE2B4F}"/>
    <cellStyle name="Normal 2 4 2 3 4 4 3" xfId="5922" xr:uid="{00000000-0005-0000-0000-00001C0F0000}"/>
    <cellStyle name="Normal 2 4 2 3 4 4 3 2" xfId="22805" xr:uid="{159529E6-EEA0-482E-827B-D723C7AB2667}"/>
    <cellStyle name="Normal 2 4 2 3 4 4 3 3" xfId="31251" xr:uid="{837B01ED-D659-477B-852C-055FECD91246}"/>
    <cellStyle name="Normal 2 4 2 3 4 4 3 4" xfId="14364" xr:uid="{A08BCC0B-3964-463D-B84F-7D9A7F7E0318}"/>
    <cellStyle name="Normal 2 4 2 3 4 4 4" xfId="18587" xr:uid="{C95C49B4-591D-4717-BE0B-D541AA8A0489}"/>
    <cellStyle name="Normal 2 4 2 3 4 4 5" xfId="27032" xr:uid="{E28B382C-4BEC-411D-A365-D121913B7A66}"/>
    <cellStyle name="Normal 2 4 2 3 4 4 6" xfId="10146" xr:uid="{329C83F5-1464-47F8-992A-929AC4600BD6}"/>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25363" xr:uid="{5629EF75-867B-4C58-B130-10C7E40C485E}"/>
    <cellStyle name="Normal 2 4 2 3 4 5 2 2 3" xfId="33809" xr:uid="{31898E56-5F2B-4FE8-9F57-84C6CA6C1E86}"/>
    <cellStyle name="Normal 2 4 2 3 4 5 2 2 4" xfId="16922" xr:uid="{AD2D59AB-BBD3-48ED-81D7-B6E8540D09E9}"/>
    <cellStyle name="Normal 2 4 2 3 4 5 2 3" xfId="21145" xr:uid="{C8C16BA0-BE0F-4946-95E4-667CA9CA446D}"/>
    <cellStyle name="Normal 2 4 2 3 4 5 2 4" xfId="29592" xr:uid="{B7B67765-9BDF-4C9A-813F-7DDB6E2020CF}"/>
    <cellStyle name="Normal 2 4 2 3 4 5 2 5" xfId="12704" xr:uid="{51333300-8936-4FE6-83C9-0DE3F237C2E4}"/>
    <cellStyle name="Normal 2 4 2 3 4 5 3" xfId="6335" xr:uid="{00000000-0005-0000-0000-0000200F0000}"/>
    <cellStyle name="Normal 2 4 2 3 4 5 3 2" xfId="23218" xr:uid="{4DAC5894-F73B-43D1-8499-A97FD4DEBE04}"/>
    <cellStyle name="Normal 2 4 2 3 4 5 3 3" xfId="31664" xr:uid="{A78FB6D5-1B4A-4CE6-AE4C-3DCF8E18867A}"/>
    <cellStyle name="Normal 2 4 2 3 4 5 3 4" xfId="14777" xr:uid="{359E78C8-B78E-4198-8A58-5BF41710A831}"/>
    <cellStyle name="Normal 2 4 2 3 4 5 4" xfId="19000" xr:uid="{A4C8A829-7160-442A-BCD7-186C7D0FC186}"/>
    <cellStyle name="Normal 2 4 2 3 4 5 5" xfId="27445" xr:uid="{93BA7A4C-E46A-4516-8C9E-DC14AB64CA54}"/>
    <cellStyle name="Normal 2 4 2 3 4 5 6" xfId="10559" xr:uid="{A1C530D1-5C06-4A91-87B4-07CE0661206F}"/>
    <cellStyle name="Normal 2 4 2 3 4 6" xfId="2464" xr:uid="{00000000-0005-0000-0000-0000210F0000}"/>
    <cellStyle name="Normal 2 4 2 3 4 6 2" xfId="6748" xr:uid="{00000000-0005-0000-0000-0000220F0000}"/>
    <cellStyle name="Normal 2 4 2 3 4 6 2 2" xfId="23631" xr:uid="{01B6D0DB-B9B4-4C68-8FFF-2323A14A2FB6}"/>
    <cellStyle name="Normal 2 4 2 3 4 6 2 3" xfId="32077" xr:uid="{1480AEA2-5C57-4C28-9E0B-ED48D0D3A05A}"/>
    <cellStyle name="Normal 2 4 2 3 4 6 2 4" xfId="15190" xr:uid="{092671C9-AB3F-48EB-9C37-C32F00AD2B39}"/>
    <cellStyle name="Normal 2 4 2 3 4 6 3" xfId="19413" xr:uid="{F700F62C-5CF0-4074-AD80-DABE3C232EA7}"/>
    <cellStyle name="Normal 2 4 2 3 4 6 4" xfId="27858" xr:uid="{0748B616-46D9-42E6-BC2C-503A0A8833F7}"/>
    <cellStyle name="Normal 2 4 2 3 4 6 5" xfId="10972" xr:uid="{919E184C-27B0-4DF0-8A0B-4A848949B548}"/>
    <cellStyle name="Normal 2 4 2 3 4 7" xfId="4682" xr:uid="{00000000-0005-0000-0000-0000230F0000}"/>
    <cellStyle name="Normal 2 4 2 3 4 7 2" xfId="21565" xr:uid="{4612F20E-2C42-4979-9EBF-057052579AD9}"/>
    <cellStyle name="Normal 2 4 2 3 4 7 3" xfId="30011" xr:uid="{581157E3-E13E-4558-A6D4-FA97C7EEFE6C}"/>
    <cellStyle name="Normal 2 4 2 3 4 7 4" xfId="13124" xr:uid="{DDB907E2-C153-41D3-A946-5B698CBA5381}"/>
    <cellStyle name="Normal 2 4 2 3 4 8" xfId="17347" xr:uid="{1A9ECBD2-2EBB-40D8-8905-F122856F5B4E}"/>
    <cellStyle name="Normal 2 4 2 3 4 9" xfId="25791" xr:uid="{6B591CB2-7C16-48B2-994E-16CF7AB98CD6}"/>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24117" xr:uid="{91CF6C49-E2F9-4F38-B0E5-B80F0670FBC9}"/>
    <cellStyle name="Normal 2 4 2 3 5 2 2 3" xfId="32563" xr:uid="{82F621C2-8D68-44A3-B4DE-8A2899E76BE0}"/>
    <cellStyle name="Normal 2 4 2 3 5 2 2 4" xfId="15676" xr:uid="{972A0E39-2E07-4B6A-8DFD-C9FE6B6341CF}"/>
    <cellStyle name="Normal 2 4 2 3 5 2 3" xfId="19899" xr:uid="{0765F2D9-DF42-485F-B06F-BC0B226F1786}"/>
    <cellStyle name="Normal 2 4 2 3 5 2 4" xfId="28346" xr:uid="{66B75AAC-3229-47C6-B8A7-6768BDD6311A}"/>
    <cellStyle name="Normal 2 4 2 3 5 2 5" xfId="11458" xr:uid="{69E8A84C-C3D6-44CD-9525-98A95202E2A5}"/>
    <cellStyle name="Normal 2 4 2 3 5 3" xfId="5089" xr:uid="{00000000-0005-0000-0000-0000270F0000}"/>
    <cellStyle name="Normal 2 4 2 3 5 3 2" xfId="21972" xr:uid="{7EB70CA7-EEAA-4F31-A40A-4C4FD682BB24}"/>
    <cellStyle name="Normal 2 4 2 3 5 3 3" xfId="30418" xr:uid="{5F8232EF-3975-4398-8C06-2AC0CE37A469}"/>
    <cellStyle name="Normal 2 4 2 3 5 3 4" xfId="13531" xr:uid="{62A4B697-08F5-4B68-B015-8878711F82DA}"/>
    <cellStyle name="Normal 2 4 2 3 5 4" xfId="17754" xr:uid="{4523E8A1-7E9D-4D9C-816B-2733CB0DB669}"/>
    <cellStyle name="Normal 2 4 2 3 5 5" xfId="26199" xr:uid="{3A2B537A-B023-4AB6-9DED-4EB11CC77E35}"/>
    <cellStyle name="Normal 2 4 2 3 5 6" xfId="9313" xr:uid="{D199377A-3106-4F12-81CC-7B8D7FF62E36}"/>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24530" xr:uid="{0A480A5D-7D20-47D8-AE01-A8ECCF4752FB}"/>
    <cellStyle name="Normal 2 4 2 3 6 2 2 3" xfId="32976" xr:uid="{31C5E9C8-2EEC-46E8-9FCF-05998A6A031D}"/>
    <cellStyle name="Normal 2 4 2 3 6 2 2 4" xfId="16089" xr:uid="{AAFDF9A8-FE50-47FF-9EED-3CBF70C4914A}"/>
    <cellStyle name="Normal 2 4 2 3 6 2 3" xfId="20312" xr:uid="{D048F998-586D-402E-9D74-ED39D0F20CA7}"/>
    <cellStyle name="Normal 2 4 2 3 6 2 4" xfId="28759" xr:uid="{6BBD19D7-836C-42B2-802C-F0DBE07FE018}"/>
    <cellStyle name="Normal 2 4 2 3 6 2 5" xfId="11871" xr:uid="{705C6EF6-137B-4333-A0E2-49CFCB9A5B2A}"/>
    <cellStyle name="Normal 2 4 2 3 6 3" xfId="5502" xr:uid="{00000000-0005-0000-0000-00002B0F0000}"/>
    <cellStyle name="Normal 2 4 2 3 6 3 2" xfId="22385" xr:uid="{077BF052-CD88-4B36-84F1-4CB15BFED391}"/>
    <cellStyle name="Normal 2 4 2 3 6 3 3" xfId="30831" xr:uid="{EBAC3A7A-C739-40EE-AA2B-EEEE31B1037B}"/>
    <cellStyle name="Normal 2 4 2 3 6 3 4" xfId="13944" xr:uid="{5B6A9848-81D8-44B4-AB81-5E35149DB1B2}"/>
    <cellStyle name="Normal 2 4 2 3 6 4" xfId="18167" xr:uid="{72859BC1-29BF-4DC3-8452-6F4F4F0D815D}"/>
    <cellStyle name="Normal 2 4 2 3 6 5" xfId="26612" xr:uid="{5EDE210E-425C-40FB-AD36-0C91F7DF9BA5}"/>
    <cellStyle name="Normal 2 4 2 3 6 6" xfId="9726" xr:uid="{C576AA4F-4B9B-46E5-8E80-7A126FBB2B7E}"/>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24943" xr:uid="{4C472540-2AFC-4664-9C0E-7B674EF95798}"/>
    <cellStyle name="Normal 2 4 2 3 7 2 2 3" xfId="33389" xr:uid="{854B5219-8E4E-4FD6-B0C9-2D85F6AAB073}"/>
    <cellStyle name="Normal 2 4 2 3 7 2 2 4" xfId="16502" xr:uid="{0AE6AE51-1ABA-44D0-AEF5-9AD61B145E6B}"/>
    <cellStyle name="Normal 2 4 2 3 7 2 3" xfId="20725" xr:uid="{C0E16CF8-A4E0-49A1-ACCC-D2C6E48C7F9B}"/>
    <cellStyle name="Normal 2 4 2 3 7 2 4" xfId="29172" xr:uid="{E7596C3A-ECC4-4B72-8614-894AE08E6F38}"/>
    <cellStyle name="Normal 2 4 2 3 7 2 5" xfId="12284" xr:uid="{459F50DC-9CEC-4CE8-B42E-2811680491B4}"/>
    <cellStyle name="Normal 2 4 2 3 7 3" xfId="5915" xr:uid="{00000000-0005-0000-0000-00002F0F0000}"/>
    <cellStyle name="Normal 2 4 2 3 7 3 2" xfId="22798" xr:uid="{C0EC08D8-DFED-4DF9-A520-E0492BC36A94}"/>
    <cellStyle name="Normal 2 4 2 3 7 3 3" xfId="31244" xr:uid="{ECEDFA24-2FE2-4C36-9A6E-E39742671308}"/>
    <cellStyle name="Normal 2 4 2 3 7 3 4" xfId="14357" xr:uid="{97456DF4-3E08-43DD-9E9D-FC06A99566A3}"/>
    <cellStyle name="Normal 2 4 2 3 7 4" xfId="18580" xr:uid="{DE248F4C-6003-48BC-821F-7761173959A9}"/>
    <cellStyle name="Normal 2 4 2 3 7 5" xfId="27025" xr:uid="{AB176D59-A3CD-4E78-AAE8-7AAAF7214132}"/>
    <cellStyle name="Normal 2 4 2 3 7 6" xfId="10139" xr:uid="{A5D17824-4C83-454F-80FA-BB7654512B27}"/>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25356" xr:uid="{757FB49F-BEBC-4110-B5E6-9C65E069B4DA}"/>
    <cellStyle name="Normal 2 4 2 3 8 2 2 3" xfId="33802" xr:uid="{8347E024-25D8-4B1F-819A-F29D61340C37}"/>
    <cellStyle name="Normal 2 4 2 3 8 2 2 4" xfId="16915" xr:uid="{D5E0045D-5273-46B3-B690-01D71B2E6FD0}"/>
    <cellStyle name="Normal 2 4 2 3 8 2 3" xfId="21138" xr:uid="{84D581CD-0ECC-4FD2-B89D-3772A7DD1632}"/>
    <cellStyle name="Normal 2 4 2 3 8 2 4" xfId="29585" xr:uid="{5133EB08-F282-4222-908A-2E46C69B03BF}"/>
    <cellStyle name="Normal 2 4 2 3 8 2 5" xfId="12697" xr:uid="{AD851B57-F7F4-47A8-91A2-8012114FE4DD}"/>
    <cellStyle name="Normal 2 4 2 3 8 3" xfId="6328" xr:uid="{00000000-0005-0000-0000-0000330F0000}"/>
    <cellStyle name="Normal 2 4 2 3 8 3 2" xfId="23211" xr:uid="{1063AF90-41ED-4490-9C81-7557489F2E58}"/>
    <cellStyle name="Normal 2 4 2 3 8 3 3" xfId="31657" xr:uid="{700B88B3-449B-48BD-B12D-4E6FCD3CE306}"/>
    <cellStyle name="Normal 2 4 2 3 8 3 4" xfId="14770" xr:uid="{7C8B6766-54B8-4B44-8C39-DFF78B3F39ED}"/>
    <cellStyle name="Normal 2 4 2 3 8 4" xfId="18993" xr:uid="{2754B96B-CF66-4D0E-9436-9727F9E594C6}"/>
    <cellStyle name="Normal 2 4 2 3 8 5" xfId="27438" xr:uid="{A114F310-6EB2-417D-A12C-367126E59301}"/>
    <cellStyle name="Normal 2 4 2 3 8 6" xfId="10552" xr:uid="{46F1650C-05C0-484B-A846-30EBEA6A0640}"/>
    <cellStyle name="Normal 2 4 2 3 9" xfId="2457" xr:uid="{00000000-0005-0000-0000-0000340F0000}"/>
    <cellStyle name="Normal 2 4 2 3 9 2" xfId="6741" xr:uid="{00000000-0005-0000-0000-0000350F0000}"/>
    <cellStyle name="Normal 2 4 2 3 9 2 2" xfId="23624" xr:uid="{8238B9FE-AA3B-4EB5-A27C-950FF7C9E87A}"/>
    <cellStyle name="Normal 2 4 2 3 9 2 3" xfId="32070" xr:uid="{6279D77A-E277-4BA3-A3AC-182D00EB45DD}"/>
    <cellStyle name="Normal 2 4 2 3 9 2 4" xfId="15183" xr:uid="{0865888F-1BA1-4A8B-9C6A-B999F0F7B037}"/>
    <cellStyle name="Normal 2 4 2 3 9 3" xfId="19406" xr:uid="{FFEDE180-452A-4012-A6C0-A95144EF0A5C}"/>
    <cellStyle name="Normal 2 4 2 3 9 4" xfId="27851" xr:uid="{17F10FD7-9942-41D8-A12C-DE7A5DFA15D8}"/>
    <cellStyle name="Normal 2 4 2 3 9 5" xfId="10965" xr:uid="{10480DDF-E2F5-4A85-AC8A-A9E7878DC1AB}"/>
    <cellStyle name="Normal 2 4 2 4" xfId="289" xr:uid="{00000000-0005-0000-0000-0000360F0000}"/>
    <cellStyle name="Normal 2 4 2 4 10" xfId="17348" xr:uid="{54D2D74D-90A7-43EB-833A-A4AFA21D01A3}"/>
    <cellStyle name="Normal 2 4 2 4 11" xfId="25792" xr:uid="{D03E4EDE-6665-4AA0-B71B-D9ED8252420B}"/>
    <cellStyle name="Normal 2 4 2 4 12" xfId="8907" xr:uid="{A1ED3C0B-5E07-4A39-89BB-A015CEE87D96}"/>
    <cellStyle name="Normal 2 4 2 4 2" xfId="290" xr:uid="{00000000-0005-0000-0000-0000370F0000}"/>
    <cellStyle name="Normal 2 4 2 4 2 10" xfId="25793" xr:uid="{D6683D0F-3A8B-4D41-997D-62C4DD6EBCE4}"/>
    <cellStyle name="Normal 2 4 2 4 2 11" xfId="8908" xr:uid="{35B0FE4E-384A-4178-8664-C6B6FCAE807D}"/>
    <cellStyle name="Normal 2 4 2 4 2 2" xfId="291" xr:uid="{00000000-0005-0000-0000-0000380F0000}"/>
    <cellStyle name="Normal 2 4 2 4 2 2 10" xfId="8909" xr:uid="{B767B7C9-BC99-4D14-970C-7E3D9707323B}"/>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24127" xr:uid="{AA24A6D9-4DB6-4656-8F8F-D5591126F13F}"/>
    <cellStyle name="Normal 2 4 2 4 2 2 2 2 2 3" xfId="32573" xr:uid="{E8CB36B5-B640-4011-B628-C1D999E4D031}"/>
    <cellStyle name="Normal 2 4 2 4 2 2 2 2 2 4" xfId="15686" xr:uid="{26B3BBD3-28DA-4ECC-B866-9CE393F52CC8}"/>
    <cellStyle name="Normal 2 4 2 4 2 2 2 2 3" xfId="19909" xr:uid="{04F5B592-C720-480D-941E-0BD0BF0DC8A1}"/>
    <cellStyle name="Normal 2 4 2 4 2 2 2 2 4" xfId="28356" xr:uid="{26F0C3D5-6446-4F0D-834D-7517704CECBF}"/>
    <cellStyle name="Normal 2 4 2 4 2 2 2 2 5" xfId="11468" xr:uid="{ACF099FC-1C79-4AC8-910A-DD11EB279FA6}"/>
    <cellStyle name="Normal 2 4 2 4 2 2 2 3" xfId="5099" xr:uid="{00000000-0005-0000-0000-00003C0F0000}"/>
    <cellStyle name="Normal 2 4 2 4 2 2 2 3 2" xfId="21982" xr:uid="{A4AC1255-8963-4073-BB33-62C98016AB08}"/>
    <cellStyle name="Normal 2 4 2 4 2 2 2 3 3" xfId="30428" xr:uid="{ABD48A8E-E6B3-45D2-A6CF-E512ACEAC816}"/>
    <cellStyle name="Normal 2 4 2 4 2 2 2 3 4" xfId="13541" xr:uid="{93C7A719-8C39-4F4F-AA53-F8E30151D019}"/>
    <cellStyle name="Normal 2 4 2 4 2 2 2 4" xfId="17764" xr:uid="{30FAF329-FE07-41FB-B5D5-AC0B21A7672A}"/>
    <cellStyle name="Normal 2 4 2 4 2 2 2 5" xfId="26209" xr:uid="{6E83B9FF-C3A4-48FB-9CD3-67BB2BB7371F}"/>
    <cellStyle name="Normal 2 4 2 4 2 2 2 6" xfId="9323" xr:uid="{1C69114E-77EA-4A73-ACC4-E0BCECCAC58F}"/>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24540" xr:uid="{C1FC31B8-0A18-488E-B958-7A6AD1725707}"/>
    <cellStyle name="Normal 2 4 2 4 2 2 3 2 2 3" xfId="32986" xr:uid="{AA2BD310-3134-425C-9A8B-99C1C8DC13AE}"/>
    <cellStyle name="Normal 2 4 2 4 2 2 3 2 2 4" xfId="16099" xr:uid="{59EF7B55-F370-4884-B537-651FD6CBFB0A}"/>
    <cellStyle name="Normal 2 4 2 4 2 2 3 2 3" xfId="20322" xr:uid="{9B771307-B5BD-490A-AF5B-01A738959B13}"/>
    <cellStyle name="Normal 2 4 2 4 2 2 3 2 4" xfId="28769" xr:uid="{EF39032E-FC71-4D78-8C9B-09A377EACEC0}"/>
    <cellStyle name="Normal 2 4 2 4 2 2 3 2 5" xfId="11881" xr:uid="{D97A108F-DE50-4620-90B3-A0E7D085FA67}"/>
    <cellStyle name="Normal 2 4 2 4 2 2 3 3" xfId="5512" xr:uid="{00000000-0005-0000-0000-0000400F0000}"/>
    <cellStyle name="Normal 2 4 2 4 2 2 3 3 2" xfId="22395" xr:uid="{F8F69806-2002-44E7-B4F4-E70B62DB983D}"/>
    <cellStyle name="Normal 2 4 2 4 2 2 3 3 3" xfId="30841" xr:uid="{3411F865-BABC-4AA7-9525-E899C70B61F7}"/>
    <cellStyle name="Normal 2 4 2 4 2 2 3 3 4" xfId="13954" xr:uid="{DD76C4D1-C836-4DC8-9397-328D64FAEF89}"/>
    <cellStyle name="Normal 2 4 2 4 2 2 3 4" xfId="18177" xr:uid="{B5339071-552C-4877-A988-E1518AD789E8}"/>
    <cellStyle name="Normal 2 4 2 4 2 2 3 5" xfId="26622" xr:uid="{7389A7BF-390B-45E0-B21D-070421782EC6}"/>
    <cellStyle name="Normal 2 4 2 4 2 2 3 6" xfId="9736" xr:uid="{48CC5455-9A95-485E-9CD1-AFCF7072E47C}"/>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24953" xr:uid="{205A7DA1-E847-494F-A3DB-B0F30638106B}"/>
    <cellStyle name="Normal 2 4 2 4 2 2 4 2 2 3" xfId="33399" xr:uid="{EFC848DE-8E0A-47C7-BE11-E844D8939E58}"/>
    <cellStyle name="Normal 2 4 2 4 2 2 4 2 2 4" xfId="16512" xr:uid="{FB9993EA-2B66-4EED-B129-1632DC78A1D4}"/>
    <cellStyle name="Normal 2 4 2 4 2 2 4 2 3" xfId="20735" xr:uid="{959369D0-9618-42E5-9FD5-EA973EEA5BC8}"/>
    <cellStyle name="Normal 2 4 2 4 2 2 4 2 4" xfId="29182" xr:uid="{0CFD7838-60D3-4BE8-B63B-6FF8266FC1E4}"/>
    <cellStyle name="Normal 2 4 2 4 2 2 4 2 5" xfId="12294" xr:uid="{8A114FE1-C192-4ABD-AAAA-77F7816ABE23}"/>
    <cellStyle name="Normal 2 4 2 4 2 2 4 3" xfId="5925" xr:uid="{00000000-0005-0000-0000-0000440F0000}"/>
    <cellStyle name="Normal 2 4 2 4 2 2 4 3 2" xfId="22808" xr:uid="{A8DC445B-6EAA-41E7-ACCB-4EFB7806735A}"/>
    <cellStyle name="Normal 2 4 2 4 2 2 4 3 3" xfId="31254" xr:uid="{8CDA2E32-FD46-4A77-9D7A-900EB193DC31}"/>
    <cellStyle name="Normal 2 4 2 4 2 2 4 3 4" xfId="14367" xr:uid="{E99A24D5-7DA4-48C1-89DB-8FCE36D766E9}"/>
    <cellStyle name="Normal 2 4 2 4 2 2 4 4" xfId="18590" xr:uid="{1E701FD2-76B0-4F73-9DA3-642584D872C8}"/>
    <cellStyle name="Normal 2 4 2 4 2 2 4 5" xfId="27035" xr:uid="{D6F0BF71-732B-41C6-B564-4DD7EEFCDA68}"/>
    <cellStyle name="Normal 2 4 2 4 2 2 4 6" xfId="10149" xr:uid="{FF6EC694-EA0D-4E30-B500-8D0DC72D286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25366" xr:uid="{7DBED475-ECAB-4728-8540-7A04AE2243F7}"/>
    <cellStyle name="Normal 2 4 2 4 2 2 5 2 2 3" xfId="33812" xr:uid="{339511E0-646C-4623-B3B3-818693BFE978}"/>
    <cellStyle name="Normal 2 4 2 4 2 2 5 2 2 4" xfId="16925" xr:uid="{BB5439A1-2021-40A4-B28F-8BB40452B406}"/>
    <cellStyle name="Normal 2 4 2 4 2 2 5 2 3" xfId="21148" xr:uid="{78246D08-1D87-44BF-9BF4-442242824017}"/>
    <cellStyle name="Normal 2 4 2 4 2 2 5 2 4" xfId="29595" xr:uid="{0B9462B6-851C-4AFF-BE72-BC4DFBE5EAC2}"/>
    <cellStyle name="Normal 2 4 2 4 2 2 5 2 5" xfId="12707" xr:uid="{90639355-F88B-4758-887B-5C0E1DF94E5E}"/>
    <cellStyle name="Normal 2 4 2 4 2 2 5 3" xfId="6338" xr:uid="{00000000-0005-0000-0000-0000480F0000}"/>
    <cellStyle name="Normal 2 4 2 4 2 2 5 3 2" xfId="23221" xr:uid="{ACB3A69D-9A50-4DF9-8672-EBB48869C6B7}"/>
    <cellStyle name="Normal 2 4 2 4 2 2 5 3 3" xfId="31667" xr:uid="{E8249020-5485-482E-8763-7785E20F4E70}"/>
    <cellStyle name="Normal 2 4 2 4 2 2 5 3 4" xfId="14780" xr:uid="{1682EC9E-44B6-4DDE-A49B-7F296989D321}"/>
    <cellStyle name="Normal 2 4 2 4 2 2 5 4" xfId="19003" xr:uid="{074F74E6-C53D-4671-AC65-6DF95609F64E}"/>
    <cellStyle name="Normal 2 4 2 4 2 2 5 5" xfId="27448" xr:uid="{33D23722-164A-4A0D-9B1D-CAAEBC7ECE2C}"/>
    <cellStyle name="Normal 2 4 2 4 2 2 5 6" xfId="10562" xr:uid="{147258F8-E64F-4FD5-A446-37B95E173E2F}"/>
    <cellStyle name="Normal 2 4 2 4 2 2 6" xfId="2467" xr:uid="{00000000-0005-0000-0000-0000490F0000}"/>
    <cellStyle name="Normal 2 4 2 4 2 2 6 2" xfId="6751" xr:uid="{00000000-0005-0000-0000-00004A0F0000}"/>
    <cellStyle name="Normal 2 4 2 4 2 2 6 2 2" xfId="23634" xr:uid="{FC96E803-872D-49C1-B860-C2268082BE14}"/>
    <cellStyle name="Normal 2 4 2 4 2 2 6 2 3" xfId="32080" xr:uid="{CC2C1F5E-F5EC-4F9C-9FA9-D79E612C0E84}"/>
    <cellStyle name="Normal 2 4 2 4 2 2 6 2 4" xfId="15193" xr:uid="{9F92616D-4DA0-45EC-A6B5-CEA82BCB0DD7}"/>
    <cellStyle name="Normal 2 4 2 4 2 2 6 3" xfId="19416" xr:uid="{C56E9067-A326-4A65-BBD2-8E3562DD92DD}"/>
    <cellStyle name="Normal 2 4 2 4 2 2 6 4" xfId="27861" xr:uid="{F569E202-A9F4-4B48-8E3F-3521DF69A63F}"/>
    <cellStyle name="Normal 2 4 2 4 2 2 6 5" xfId="10975" xr:uid="{D7523EAA-459C-4777-85E9-CC9735D27F94}"/>
    <cellStyle name="Normal 2 4 2 4 2 2 7" xfId="4685" xr:uid="{00000000-0005-0000-0000-00004B0F0000}"/>
    <cellStyle name="Normal 2 4 2 4 2 2 7 2" xfId="21568" xr:uid="{FC97977B-9A97-4A66-A1FF-781BEC2D75BF}"/>
    <cellStyle name="Normal 2 4 2 4 2 2 7 3" xfId="30014" xr:uid="{58286DD8-88BF-4463-A258-B55CEDF6E661}"/>
    <cellStyle name="Normal 2 4 2 4 2 2 7 4" xfId="13127" xr:uid="{11C56102-5805-4C0D-B2AF-2E1AB500CF79}"/>
    <cellStyle name="Normal 2 4 2 4 2 2 8" xfId="17350" xr:uid="{8B6C0B85-DC15-45B6-A891-E419E972E62E}"/>
    <cellStyle name="Normal 2 4 2 4 2 2 9" xfId="25794" xr:uid="{D1BF753B-9FDE-4B36-BFA6-0D53ED58404B}"/>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24126" xr:uid="{7E7921B1-5012-46A6-AA88-51710226B03B}"/>
    <cellStyle name="Normal 2 4 2 4 2 3 2 2 3" xfId="32572" xr:uid="{84EBA7DF-72E3-43A4-884A-1009C10B5A6E}"/>
    <cellStyle name="Normal 2 4 2 4 2 3 2 2 4" xfId="15685" xr:uid="{CF3B37D8-266C-4433-9CBC-3643B993E725}"/>
    <cellStyle name="Normal 2 4 2 4 2 3 2 3" xfId="19908" xr:uid="{E121D14D-07C9-4889-97A3-65CA628A1438}"/>
    <cellStyle name="Normal 2 4 2 4 2 3 2 4" xfId="28355" xr:uid="{CC950A98-635F-4A82-A56F-6C952CFBED20}"/>
    <cellStyle name="Normal 2 4 2 4 2 3 2 5" xfId="11467" xr:uid="{898CFE02-9931-4B29-86FE-502EC0CAB141}"/>
    <cellStyle name="Normal 2 4 2 4 2 3 3" xfId="5098" xr:uid="{00000000-0005-0000-0000-00004F0F0000}"/>
    <cellStyle name="Normal 2 4 2 4 2 3 3 2" xfId="21981" xr:uid="{1A3A9650-8142-45FC-BDAC-01BE1933617A}"/>
    <cellStyle name="Normal 2 4 2 4 2 3 3 3" xfId="30427" xr:uid="{99B308A3-FCAA-43DD-9C09-146E84FB8103}"/>
    <cellStyle name="Normal 2 4 2 4 2 3 3 4" xfId="13540" xr:uid="{36F1FA4D-7511-4272-8695-3FD3496CA5E7}"/>
    <cellStyle name="Normal 2 4 2 4 2 3 4" xfId="17763" xr:uid="{D184772F-62EF-48D1-9298-EF24A9C8602A}"/>
    <cellStyle name="Normal 2 4 2 4 2 3 5" xfId="26208" xr:uid="{6EFF33C1-9CA4-4820-A2CF-E25DF36CE60E}"/>
    <cellStyle name="Normal 2 4 2 4 2 3 6" xfId="9322" xr:uid="{4150B500-8EAD-4883-8B99-3B3D5D2F0D49}"/>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24539" xr:uid="{09DFE56A-9A5F-4494-862E-C219544EBE80}"/>
    <cellStyle name="Normal 2 4 2 4 2 4 2 2 3" xfId="32985" xr:uid="{43AA30DA-E2DF-4D6A-8E78-91EDD48E4634}"/>
    <cellStyle name="Normal 2 4 2 4 2 4 2 2 4" xfId="16098" xr:uid="{B7ADD8B1-7F0F-4A6F-86D0-21DCCA533994}"/>
    <cellStyle name="Normal 2 4 2 4 2 4 2 3" xfId="20321" xr:uid="{041927F7-86B8-4E9B-83A7-FC8781B0F077}"/>
    <cellStyle name="Normal 2 4 2 4 2 4 2 4" xfId="28768" xr:uid="{9E606C34-84C8-45C2-82EE-4616FB041D4D}"/>
    <cellStyle name="Normal 2 4 2 4 2 4 2 5" xfId="11880" xr:uid="{00334A29-9E79-4BFE-866C-558F447EDB96}"/>
    <cellStyle name="Normal 2 4 2 4 2 4 3" xfId="5511" xr:uid="{00000000-0005-0000-0000-0000530F0000}"/>
    <cellStyle name="Normal 2 4 2 4 2 4 3 2" xfId="22394" xr:uid="{B36DC058-8BC5-4A20-B4A5-2DE744A7188B}"/>
    <cellStyle name="Normal 2 4 2 4 2 4 3 3" xfId="30840" xr:uid="{E1623AAE-7C6B-4622-BD11-4F5D9923B3E9}"/>
    <cellStyle name="Normal 2 4 2 4 2 4 3 4" xfId="13953" xr:uid="{E845E331-2D90-46F2-8619-0123BC395CEA}"/>
    <cellStyle name="Normal 2 4 2 4 2 4 4" xfId="18176" xr:uid="{C745985A-2810-4C1D-AEA5-7FE887E42FEA}"/>
    <cellStyle name="Normal 2 4 2 4 2 4 5" xfId="26621" xr:uid="{0FC50848-4CCA-4B4D-95C0-29984F632C7A}"/>
    <cellStyle name="Normal 2 4 2 4 2 4 6" xfId="9735" xr:uid="{7A1217F2-B645-417F-A076-ADAE658AF7C9}"/>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24952" xr:uid="{4E977AE8-8CB4-4071-BCB6-1146C9B76370}"/>
    <cellStyle name="Normal 2 4 2 4 2 5 2 2 3" xfId="33398" xr:uid="{8AC631E8-816F-4D0F-A9E1-161ED75831E8}"/>
    <cellStyle name="Normal 2 4 2 4 2 5 2 2 4" xfId="16511" xr:uid="{9FD0A178-963D-4B41-8B43-65B09B1687FB}"/>
    <cellStyle name="Normal 2 4 2 4 2 5 2 3" xfId="20734" xr:uid="{7D0A794A-110B-4980-B0A6-42CE22642A16}"/>
    <cellStyle name="Normal 2 4 2 4 2 5 2 4" xfId="29181" xr:uid="{6993F992-1B7D-41CC-924B-A4E3E50E0ED1}"/>
    <cellStyle name="Normal 2 4 2 4 2 5 2 5" xfId="12293" xr:uid="{4EE6E37C-E3F9-48A3-A8A6-99215CB24D23}"/>
    <cellStyle name="Normal 2 4 2 4 2 5 3" xfId="5924" xr:uid="{00000000-0005-0000-0000-0000570F0000}"/>
    <cellStyle name="Normal 2 4 2 4 2 5 3 2" xfId="22807" xr:uid="{798A6D27-A21E-4CC9-A474-4EBD51E3C28F}"/>
    <cellStyle name="Normal 2 4 2 4 2 5 3 3" xfId="31253" xr:uid="{003E7F21-E3B4-480D-8F82-E1073F4150F0}"/>
    <cellStyle name="Normal 2 4 2 4 2 5 3 4" xfId="14366" xr:uid="{EEE47BF7-F0B4-42B5-BE14-D8FC44DD203A}"/>
    <cellStyle name="Normal 2 4 2 4 2 5 4" xfId="18589" xr:uid="{96DA9A93-1B4D-4DA1-8EB5-E20A7377D2F2}"/>
    <cellStyle name="Normal 2 4 2 4 2 5 5" xfId="27034" xr:uid="{A2F70E22-E667-4F19-9C57-F33B0D343B4B}"/>
    <cellStyle name="Normal 2 4 2 4 2 5 6" xfId="10148" xr:uid="{3DD0A4C2-DB7F-443C-B9D8-A472D74621D1}"/>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25365" xr:uid="{F60F036A-9D83-406A-8292-8187022D8C5C}"/>
    <cellStyle name="Normal 2 4 2 4 2 6 2 2 3" xfId="33811" xr:uid="{B937D3CC-3F8E-4063-8EA9-E68B1E5343C6}"/>
    <cellStyle name="Normal 2 4 2 4 2 6 2 2 4" xfId="16924" xr:uid="{0D05E819-FC6D-44C5-BC71-1DB916B8ECC6}"/>
    <cellStyle name="Normal 2 4 2 4 2 6 2 3" xfId="21147" xr:uid="{EB630AAF-22EC-495A-B2BA-3FEE2F71C070}"/>
    <cellStyle name="Normal 2 4 2 4 2 6 2 4" xfId="29594" xr:uid="{9AAD45AC-C8E7-4656-81F6-3994B1E696E6}"/>
    <cellStyle name="Normal 2 4 2 4 2 6 2 5" xfId="12706" xr:uid="{C9731433-716F-423B-9142-FCDD96D7F657}"/>
    <cellStyle name="Normal 2 4 2 4 2 6 3" xfId="6337" xr:uid="{00000000-0005-0000-0000-00005B0F0000}"/>
    <cellStyle name="Normal 2 4 2 4 2 6 3 2" xfId="23220" xr:uid="{5F5C4006-2F1F-44E4-A4A1-77FBEB57F60E}"/>
    <cellStyle name="Normal 2 4 2 4 2 6 3 3" xfId="31666" xr:uid="{6F604E72-CB37-40C5-937B-C7402730A46E}"/>
    <cellStyle name="Normal 2 4 2 4 2 6 3 4" xfId="14779" xr:uid="{79B424F9-5C5A-4B12-B5E7-FB29DF4B154A}"/>
    <cellStyle name="Normal 2 4 2 4 2 6 4" xfId="19002" xr:uid="{60953523-164E-4259-AECC-ADAA1811FA4B}"/>
    <cellStyle name="Normal 2 4 2 4 2 6 5" xfId="27447" xr:uid="{11E29D63-B53A-42EB-A4A0-ADE5182368E6}"/>
    <cellStyle name="Normal 2 4 2 4 2 6 6" xfId="10561" xr:uid="{DC5493AD-E547-4F52-867F-C8E9484001E9}"/>
    <cellStyle name="Normal 2 4 2 4 2 7" xfId="2466" xr:uid="{00000000-0005-0000-0000-00005C0F0000}"/>
    <cellStyle name="Normal 2 4 2 4 2 7 2" xfId="6750" xr:uid="{00000000-0005-0000-0000-00005D0F0000}"/>
    <cellStyle name="Normal 2 4 2 4 2 7 2 2" xfId="23633" xr:uid="{1404BC56-A326-4191-801B-2209B4DF6BB7}"/>
    <cellStyle name="Normal 2 4 2 4 2 7 2 3" xfId="32079" xr:uid="{64201A4D-670C-47D0-81E5-BC1093B077F8}"/>
    <cellStyle name="Normal 2 4 2 4 2 7 2 4" xfId="15192" xr:uid="{DE9DD11E-8875-47DF-9561-9BE2246EB3A3}"/>
    <cellStyle name="Normal 2 4 2 4 2 7 3" xfId="19415" xr:uid="{1945B122-397F-4FFD-9FEF-659D72AB260E}"/>
    <cellStyle name="Normal 2 4 2 4 2 7 4" xfId="27860" xr:uid="{712B0439-75EF-4EEA-9EC4-44ABA80FD03F}"/>
    <cellStyle name="Normal 2 4 2 4 2 7 5" xfId="10974" xr:uid="{689E1DC8-76AD-4632-8058-1DEB04793651}"/>
    <cellStyle name="Normal 2 4 2 4 2 8" xfId="4684" xr:uid="{00000000-0005-0000-0000-00005E0F0000}"/>
    <cellStyle name="Normal 2 4 2 4 2 8 2" xfId="21567" xr:uid="{B12D03B6-7B3B-4706-ABED-1E68DAE1A5EC}"/>
    <cellStyle name="Normal 2 4 2 4 2 8 3" xfId="30013" xr:uid="{7D8DBD6F-12D4-4AEA-9D5C-302BDF895D79}"/>
    <cellStyle name="Normal 2 4 2 4 2 8 4" xfId="13126" xr:uid="{E75C5C39-1E85-4ED4-8643-5E5DFEEEDBC5}"/>
    <cellStyle name="Normal 2 4 2 4 2 9" xfId="17349" xr:uid="{E077857F-851F-4B9B-A27C-71040BC5CECA}"/>
    <cellStyle name="Normal 2 4 2 4 3" xfId="292" xr:uid="{00000000-0005-0000-0000-00005F0F0000}"/>
    <cellStyle name="Normal 2 4 2 4 3 10" xfId="8910" xr:uid="{7FF05E58-48B4-4254-9D6B-DB8E75672A4C}"/>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24128" xr:uid="{953BA26A-BEEA-42EF-B5AF-3CB06263C6F1}"/>
    <cellStyle name="Normal 2 4 2 4 3 2 2 2 3" xfId="32574" xr:uid="{15A015FC-3C8F-465A-9B04-42DEC039961C}"/>
    <cellStyle name="Normal 2 4 2 4 3 2 2 2 4" xfId="15687" xr:uid="{247AEF3E-2888-49EE-A1E4-211CFBB4F508}"/>
    <cellStyle name="Normal 2 4 2 4 3 2 2 3" xfId="19910" xr:uid="{88984A48-3C5F-49F2-9EE9-F359B73A2E3E}"/>
    <cellStyle name="Normal 2 4 2 4 3 2 2 4" xfId="28357" xr:uid="{7E0D31A5-A47A-4384-AD0F-DEC7C82C2A20}"/>
    <cellStyle name="Normal 2 4 2 4 3 2 2 5" xfId="11469" xr:uid="{CAB42A44-F24A-4FC7-8D9C-A482BC3FB475}"/>
    <cellStyle name="Normal 2 4 2 4 3 2 3" xfId="5100" xr:uid="{00000000-0005-0000-0000-0000630F0000}"/>
    <cellStyle name="Normal 2 4 2 4 3 2 3 2" xfId="21983" xr:uid="{9661FDFF-979B-4BD0-A01E-67B481156A12}"/>
    <cellStyle name="Normal 2 4 2 4 3 2 3 3" xfId="30429" xr:uid="{C39EC9FB-93ED-4462-B759-D7AB9A2FA6C6}"/>
    <cellStyle name="Normal 2 4 2 4 3 2 3 4" xfId="13542" xr:uid="{27B28205-C135-4A4C-AD16-DE0039F22781}"/>
    <cellStyle name="Normal 2 4 2 4 3 2 4" xfId="17765" xr:uid="{C7791AF8-2630-4C03-B12A-3C5A6B52CCC9}"/>
    <cellStyle name="Normal 2 4 2 4 3 2 5" xfId="26210" xr:uid="{F545BD75-79A7-475C-8167-012992E42CCB}"/>
    <cellStyle name="Normal 2 4 2 4 3 2 6" xfId="9324" xr:uid="{1F718C7B-4045-4D1D-9F2B-E98CB5C09CAE}"/>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24541" xr:uid="{18866D22-2F13-4522-889C-D1FD088056D8}"/>
    <cellStyle name="Normal 2 4 2 4 3 3 2 2 3" xfId="32987" xr:uid="{2AA52D86-32EA-487C-AB27-8ACC0E5C5F3C}"/>
    <cellStyle name="Normal 2 4 2 4 3 3 2 2 4" xfId="16100" xr:uid="{F78A9F01-EED0-4D90-A580-DD5F2694EDE1}"/>
    <cellStyle name="Normal 2 4 2 4 3 3 2 3" xfId="20323" xr:uid="{10A674F2-9392-4C6E-BB41-9E290706C642}"/>
    <cellStyle name="Normal 2 4 2 4 3 3 2 4" xfId="28770" xr:uid="{E1819D25-D9B9-48C1-A9A3-362C63605176}"/>
    <cellStyle name="Normal 2 4 2 4 3 3 2 5" xfId="11882" xr:uid="{92B8521E-18D2-42F1-957C-9C33D0136455}"/>
    <cellStyle name="Normal 2 4 2 4 3 3 3" xfId="5513" xr:uid="{00000000-0005-0000-0000-0000670F0000}"/>
    <cellStyle name="Normal 2 4 2 4 3 3 3 2" xfId="22396" xr:uid="{E5DEE9C9-E6FC-4B18-B243-98A68E660115}"/>
    <cellStyle name="Normal 2 4 2 4 3 3 3 3" xfId="30842" xr:uid="{E410B9B4-B85B-4557-AF55-172880CCFAE2}"/>
    <cellStyle name="Normal 2 4 2 4 3 3 3 4" xfId="13955" xr:uid="{AA772255-0863-45DE-9BB4-CAADD279FD2C}"/>
    <cellStyle name="Normal 2 4 2 4 3 3 4" xfId="18178" xr:uid="{6FB4A54F-3EF2-4425-B010-7E8DF666EDCA}"/>
    <cellStyle name="Normal 2 4 2 4 3 3 5" xfId="26623" xr:uid="{307B9D02-A718-461F-862D-603E16C5AC70}"/>
    <cellStyle name="Normal 2 4 2 4 3 3 6" xfId="9737" xr:uid="{A0731CE0-5BD0-43B4-8C2B-27B53A64169A}"/>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24954" xr:uid="{E9770447-F3AC-43C2-888C-CA1D2AA6BFEB}"/>
    <cellStyle name="Normal 2 4 2 4 3 4 2 2 3" xfId="33400" xr:uid="{FED842B9-2CC0-4AAE-B4AE-10712A4C1194}"/>
    <cellStyle name="Normal 2 4 2 4 3 4 2 2 4" xfId="16513" xr:uid="{11124B7E-0D5B-499B-9810-1A99DB833D3C}"/>
    <cellStyle name="Normal 2 4 2 4 3 4 2 3" xfId="20736" xr:uid="{B8E71F6F-3CB9-4215-8C0A-A26F19C6BB70}"/>
    <cellStyle name="Normal 2 4 2 4 3 4 2 4" xfId="29183" xr:uid="{793A5B46-8542-4B64-BD80-38D7F0AA96E5}"/>
    <cellStyle name="Normal 2 4 2 4 3 4 2 5" xfId="12295" xr:uid="{8E903B64-4C3C-4658-B799-130811566122}"/>
    <cellStyle name="Normal 2 4 2 4 3 4 3" xfId="5926" xr:uid="{00000000-0005-0000-0000-00006B0F0000}"/>
    <cellStyle name="Normal 2 4 2 4 3 4 3 2" xfId="22809" xr:uid="{D2CF9491-3A31-4B36-BBA7-92274C7A6974}"/>
    <cellStyle name="Normal 2 4 2 4 3 4 3 3" xfId="31255" xr:uid="{0D1882AF-C6EB-4E81-82BC-C26E6047FB61}"/>
    <cellStyle name="Normal 2 4 2 4 3 4 3 4" xfId="14368" xr:uid="{C9953876-4B1D-4976-8367-0011FC946848}"/>
    <cellStyle name="Normal 2 4 2 4 3 4 4" xfId="18591" xr:uid="{60E42A8C-AAD3-4788-8FF6-6D4DE0388B53}"/>
    <cellStyle name="Normal 2 4 2 4 3 4 5" xfId="27036" xr:uid="{7A9DB8C7-CF6F-4857-A654-4F70F19311E4}"/>
    <cellStyle name="Normal 2 4 2 4 3 4 6" xfId="10150" xr:uid="{9A79E67D-567D-4411-873F-A02E4A4565EA}"/>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25367" xr:uid="{9D27FAB0-874B-4140-BC62-1B8BF0B62D81}"/>
    <cellStyle name="Normal 2 4 2 4 3 5 2 2 3" xfId="33813" xr:uid="{5338B8CA-36D4-47BA-9DB7-F3E225723C21}"/>
    <cellStyle name="Normal 2 4 2 4 3 5 2 2 4" xfId="16926" xr:uid="{B2A52411-1102-4056-85F4-1DDE7AE9CEAC}"/>
    <cellStyle name="Normal 2 4 2 4 3 5 2 3" xfId="21149" xr:uid="{1D5BE9B7-9E01-4816-AEA5-6B31C7DC5FBA}"/>
    <cellStyle name="Normal 2 4 2 4 3 5 2 4" xfId="29596" xr:uid="{9B41F4AB-4B9E-4533-A146-305907294A42}"/>
    <cellStyle name="Normal 2 4 2 4 3 5 2 5" xfId="12708" xr:uid="{F857A174-D723-4597-AB36-A3F292727977}"/>
    <cellStyle name="Normal 2 4 2 4 3 5 3" xfId="6339" xr:uid="{00000000-0005-0000-0000-00006F0F0000}"/>
    <cellStyle name="Normal 2 4 2 4 3 5 3 2" xfId="23222" xr:uid="{B8CC4239-052D-4F3A-908A-33FF8B1FB1BD}"/>
    <cellStyle name="Normal 2 4 2 4 3 5 3 3" xfId="31668" xr:uid="{48E473A2-5456-4105-BAA2-DF4EF8864F92}"/>
    <cellStyle name="Normal 2 4 2 4 3 5 3 4" xfId="14781" xr:uid="{0993C43E-F46F-4F09-A580-183E8F5BD11F}"/>
    <cellStyle name="Normal 2 4 2 4 3 5 4" xfId="19004" xr:uid="{8D326024-204C-4AEB-BC11-967898E08CB8}"/>
    <cellStyle name="Normal 2 4 2 4 3 5 5" xfId="27449" xr:uid="{B678D7B6-655C-4FAF-8420-5114ED81E542}"/>
    <cellStyle name="Normal 2 4 2 4 3 5 6" xfId="10563" xr:uid="{0079F9F2-C89D-4915-95F5-48CDC526A5C0}"/>
    <cellStyle name="Normal 2 4 2 4 3 6" xfId="2468" xr:uid="{00000000-0005-0000-0000-0000700F0000}"/>
    <cellStyle name="Normal 2 4 2 4 3 6 2" xfId="6752" xr:uid="{00000000-0005-0000-0000-0000710F0000}"/>
    <cellStyle name="Normal 2 4 2 4 3 6 2 2" xfId="23635" xr:uid="{E5417F52-346C-49C0-87D4-7800D738633F}"/>
    <cellStyle name="Normal 2 4 2 4 3 6 2 3" xfId="32081" xr:uid="{F5D0D2EE-198C-4D4E-9E43-995DF8067EF3}"/>
    <cellStyle name="Normal 2 4 2 4 3 6 2 4" xfId="15194" xr:uid="{594BC72D-5A5E-4369-B170-9B527D574BB4}"/>
    <cellStyle name="Normal 2 4 2 4 3 6 3" xfId="19417" xr:uid="{90E74D7A-3469-463D-BD35-169185C964A2}"/>
    <cellStyle name="Normal 2 4 2 4 3 6 4" xfId="27862" xr:uid="{A51DA499-587D-4CB8-B556-82AB01642EEE}"/>
    <cellStyle name="Normal 2 4 2 4 3 6 5" xfId="10976" xr:uid="{3AB8A521-454F-45C3-96CC-2FF0F9877E70}"/>
    <cellStyle name="Normal 2 4 2 4 3 7" xfId="4686" xr:uid="{00000000-0005-0000-0000-0000720F0000}"/>
    <cellStyle name="Normal 2 4 2 4 3 7 2" xfId="21569" xr:uid="{8D9DE6A1-39AC-4B56-AC2D-32AC894129EF}"/>
    <cellStyle name="Normal 2 4 2 4 3 7 3" xfId="30015" xr:uid="{76F7505B-908F-4332-BC22-D8B3439FFA56}"/>
    <cellStyle name="Normal 2 4 2 4 3 7 4" xfId="13128" xr:uid="{33DB03AB-CDF7-4810-8F76-1F52C9C22EEF}"/>
    <cellStyle name="Normal 2 4 2 4 3 8" xfId="17351" xr:uid="{74052113-2A1B-4626-B1DF-244D3C50C766}"/>
    <cellStyle name="Normal 2 4 2 4 3 9" xfId="25795" xr:uid="{A69CECC5-A37E-47E8-BDFA-A479C872DC5E}"/>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24125" xr:uid="{277D5B01-5015-47E0-A7B6-F5ECD9749124}"/>
    <cellStyle name="Normal 2 4 2 4 4 2 2 3" xfId="32571" xr:uid="{E53CAADB-06CA-4DAF-B3F8-26362CE2D996}"/>
    <cellStyle name="Normal 2 4 2 4 4 2 2 4" xfId="15684" xr:uid="{9B2048F8-0F10-4A2F-9FD2-163F58CE4CCF}"/>
    <cellStyle name="Normal 2 4 2 4 4 2 3" xfId="19907" xr:uid="{AC4E37BA-3E51-4F81-968C-DF2D7D1218B0}"/>
    <cellStyle name="Normal 2 4 2 4 4 2 4" xfId="28354" xr:uid="{E8D8BE0F-C602-4E69-84AF-EEBFD20FF3B3}"/>
    <cellStyle name="Normal 2 4 2 4 4 2 5" xfId="11466" xr:uid="{483ACAF3-E384-45D0-A67F-EFDADCDA98D6}"/>
    <cellStyle name="Normal 2 4 2 4 4 3" xfId="5097" xr:uid="{00000000-0005-0000-0000-0000760F0000}"/>
    <cellStyle name="Normal 2 4 2 4 4 3 2" xfId="21980" xr:uid="{A42E9A09-2004-4EAD-AD71-48DE12007D29}"/>
    <cellStyle name="Normal 2 4 2 4 4 3 3" xfId="30426" xr:uid="{EE1FBE2A-8922-43E1-82B9-376A09EC40A5}"/>
    <cellStyle name="Normal 2 4 2 4 4 3 4" xfId="13539" xr:uid="{A4F3EF0F-71B8-43C6-A2DC-6AD07D0CD606}"/>
    <cellStyle name="Normal 2 4 2 4 4 4" xfId="17762" xr:uid="{45CCCC26-19E6-44E7-88F9-2C4394F50FA8}"/>
    <cellStyle name="Normal 2 4 2 4 4 5" xfId="26207" xr:uid="{5AD28531-FB96-4E8F-AD10-85945C8A6C9E}"/>
    <cellStyle name="Normal 2 4 2 4 4 6" xfId="9321" xr:uid="{522DCA61-FB5A-4980-8201-C2F80BD30837}"/>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24538" xr:uid="{1A8CE4D2-43F8-4935-B07D-36EE4EE06E2A}"/>
    <cellStyle name="Normal 2 4 2 4 5 2 2 3" xfId="32984" xr:uid="{5CBB9EC4-6B2C-4F0B-A0DF-EA04B63322E2}"/>
    <cellStyle name="Normal 2 4 2 4 5 2 2 4" xfId="16097" xr:uid="{2E66A32D-755D-438D-9405-86D3C08417EC}"/>
    <cellStyle name="Normal 2 4 2 4 5 2 3" xfId="20320" xr:uid="{0B0B3768-B320-4DB2-B94B-F5B0C65A47EA}"/>
    <cellStyle name="Normal 2 4 2 4 5 2 4" xfId="28767" xr:uid="{3C3D9ECB-7BA4-406D-A358-4DD0E87EC859}"/>
    <cellStyle name="Normal 2 4 2 4 5 2 5" xfId="11879" xr:uid="{1BCB8BA8-EFE0-4A44-A61F-4229138243BD}"/>
    <cellStyle name="Normal 2 4 2 4 5 3" xfId="5510" xr:uid="{00000000-0005-0000-0000-00007A0F0000}"/>
    <cellStyle name="Normal 2 4 2 4 5 3 2" xfId="22393" xr:uid="{AF38FDF8-76B8-4149-90A5-68FE55F9B98C}"/>
    <cellStyle name="Normal 2 4 2 4 5 3 3" xfId="30839" xr:uid="{E2F20828-D35C-4B94-A02C-028FF0028802}"/>
    <cellStyle name="Normal 2 4 2 4 5 3 4" xfId="13952" xr:uid="{3D26671B-D5E1-4241-9AC7-64C8044D0715}"/>
    <cellStyle name="Normal 2 4 2 4 5 4" xfId="18175" xr:uid="{61D45D4F-30F2-49E1-9717-4A78E9F993BD}"/>
    <cellStyle name="Normal 2 4 2 4 5 5" xfId="26620" xr:uid="{78209BB9-6DF6-417E-8344-26A857F77D58}"/>
    <cellStyle name="Normal 2 4 2 4 5 6" xfId="9734" xr:uid="{EAA447EA-EBE8-4C70-B785-A68D84282FCD}"/>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24951" xr:uid="{2457CAA0-AC67-4784-B152-9B2723D3FA6F}"/>
    <cellStyle name="Normal 2 4 2 4 6 2 2 3" xfId="33397" xr:uid="{A32446C5-6B3B-4024-BC25-27E583AF0C22}"/>
    <cellStyle name="Normal 2 4 2 4 6 2 2 4" xfId="16510" xr:uid="{126C717B-453F-43B5-BF91-882147911808}"/>
    <cellStyle name="Normal 2 4 2 4 6 2 3" xfId="20733" xr:uid="{552BCF6D-B42B-4582-B363-5639DEEE0DA9}"/>
    <cellStyle name="Normal 2 4 2 4 6 2 4" xfId="29180" xr:uid="{4F97932B-9D12-4B3B-BE16-C12824F06BCD}"/>
    <cellStyle name="Normal 2 4 2 4 6 2 5" xfId="12292" xr:uid="{137A71EF-A129-46AB-AA74-294BD50C453E}"/>
    <cellStyle name="Normal 2 4 2 4 6 3" xfId="5923" xr:uid="{00000000-0005-0000-0000-00007E0F0000}"/>
    <cellStyle name="Normal 2 4 2 4 6 3 2" xfId="22806" xr:uid="{E7860B27-DFE5-4CE0-983E-A96EEFFC1DE8}"/>
    <cellStyle name="Normal 2 4 2 4 6 3 3" xfId="31252" xr:uid="{B7378829-3EE3-489F-A3EF-0E09AB22473C}"/>
    <cellStyle name="Normal 2 4 2 4 6 3 4" xfId="14365" xr:uid="{DE7BFEE7-6C44-4D7F-B7CA-904ABDC8DA4C}"/>
    <cellStyle name="Normal 2 4 2 4 6 4" xfId="18588" xr:uid="{24F9E7F1-BA16-451B-A158-3D41EAF95C13}"/>
    <cellStyle name="Normal 2 4 2 4 6 5" xfId="27033" xr:uid="{5998E35B-5BB5-442E-B3B3-DBD93A9E45DC}"/>
    <cellStyle name="Normal 2 4 2 4 6 6" xfId="10147" xr:uid="{1103411E-D6F0-4C93-AA1E-2BBBE69DEB95}"/>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25364" xr:uid="{4DC475A8-37D3-43D7-94DE-6E07491381FF}"/>
    <cellStyle name="Normal 2 4 2 4 7 2 2 3" xfId="33810" xr:uid="{9F39AA39-A220-421D-AB99-980CA122F343}"/>
    <cellStyle name="Normal 2 4 2 4 7 2 2 4" xfId="16923" xr:uid="{9A977549-4EA4-4186-ABAE-AEC1B246F66E}"/>
    <cellStyle name="Normal 2 4 2 4 7 2 3" xfId="21146" xr:uid="{804F3F95-AAC9-4CF5-ACDF-552C8FAF6CC1}"/>
    <cellStyle name="Normal 2 4 2 4 7 2 4" xfId="29593" xr:uid="{37486680-4D37-4CF9-A5C8-F6C943D2FE2C}"/>
    <cellStyle name="Normal 2 4 2 4 7 2 5" xfId="12705" xr:uid="{88C50855-0B11-4557-95F6-D036483C7691}"/>
    <cellStyle name="Normal 2 4 2 4 7 3" xfId="6336" xr:uid="{00000000-0005-0000-0000-0000820F0000}"/>
    <cellStyle name="Normal 2 4 2 4 7 3 2" xfId="23219" xr:uid="{62CA4CA1-CB21-4F2D-8FF0-8C2DC1BAF0E9}"/>
    <cellStyle name="Normal 2 4 2 4 7 3 3" xfId="31665" xr:uid="{722FBE18-C70C-4D39-AEBF-09BA82FCDAD3}"/>
    <cellStyle name="Normal 2 4 2 4 7 3 4" xfId="14778" xr:uid="{5534DE8A-D19B-4556-9258-9F61412D09EE}"/>
    <cellStyle name="Normal 2 4 2 4 7 4" xfId="19001" xr:uid="{C4C3428A-3F0D-4B72-B749-166B258AE8FF}"/>
    <cellStyle name="Normal 2 4 2 4 7 5" xfId="27446" xr:uid="{47CAB058-1EB8-4E31-8BB8-2624634811A1}"/>
    <cellStyle name="Normal 2 4 2 4 7 6" xfId="10560" xr:uid="{0A340A60-0ED2-490D-82F8-422A7C142A6B}"/>
    <cellStyle name="Normal 2 4 2 4 8" xfId="2465" xr:uid="{00000000-0005-0000-0000-0000830F0000}"/>
    <cellStyle name="Normal 2 4 2 4 8 2" xfId="6749" xr:uid="{00000000-0005-0000-0000-0000840F0000}"/>
    <cellStyle name="Normal 2 4 2 4 8 2 2" xfId="23632" xr:uid="{F7B58FE7-F4FD-4140-9A56-A4A6CC9C3D69}"/>
    <cellStyle name="Normal 2 4 2 4 8 2 3" xfId="32078" xr:uid="{8C86C9C9-AAC3-41AA-B4C8-B041AF07D642}"/>
    <cellStyle name="Normal 2 4 2 4 8 2 4" xfId="15191" xr:uid="{9516CA64-02CC-40B5-865B-3DA1A6B565B6}"/>
    <cellStyle name="Normal 2 4 2 4 8 3" xfId="19414" xr:uid="{7FE495E3-1A7E-4B0B-97DB-73673EAFEF77}"/>
    <cellStyle name="Normal 2 4 2 4 8 4" xfId="27859" xr:uid="{3C5938D1-25A6-4F58-8532-072751BD9548}"/>
    <cellStyle name="Normal 2 4 2 4 8 5" xfId="10973" xr:uid="{D5690CDE-1D60-40E1-A8F0-2A22AD7534FC}"/>
    <cellStyle name="Normal 2 4 2 4 9" xfId="4683" xr:uid="{00000000-0005-0000-0000-0000850F0000}"/>
    <cellStyle name="Normal 2 4 2 4 9 2" xfId="21566" xr:uid="{36D313B3-5B98-4F4B-90E1-1E33038BDC51}"/>
    <cellStyle name="Normal 2 4 2 4 9 3" xfId="30012" xr:uid="{6B7ABF17-2E76-4F69-BADF-A185A6044ED0}"/>
    <cellStyle name="Normal 2 4 2 4 9 4" xfId="13125" xr:uid="{982A6EA1-E8A0-4FB8-A79E-7E554FFD9DC3}"/>
    <cellStyle name="Normal 2 4 2 5" xfId="293" xr:uid="{00000000-0005-0000-0000-0000860F0000}"/>
    <cellStyle name="Normal 2 4 2 5 10" xfId="25796" xr:uid="{6DF7E662-CDBF-479D-A2B4-7626402A1F61}"/>
    <cellStyle name="Normal 2 4 2 5 11" xfId="8911" xr:uid="{19AE028A-1E3B-462A-917F-F95F37412A04}"/>
    <cellStyle name="Normal 2 4 2 5 2" xfId="294" xr:uid="{00000000-0005-0000-0000-0000870F0000}"/>
    <cellStyle name="Normal 2 4 2 5 2 10" xfId="8912" xr:uid="{29011036-F386-4400-A191-CEAB074C0F53}"/>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24130" xr:uid="{725F2389-B18E-4C7E-967A-2FB6995FE353}"/>
    <cellStyle name="Normal 2 4 2 5 2 2 2 2 3" xfId="32576" xr:uid="{7E1D51B0-2C8B-41D3-84B4-48FA5D76AF9C}"/>
    <cellStyle name="Normal 2 4 2 5 2 2 2 2 4" xfId="15689" xr:uid="{18F94884-DD7A-44D2-8800-B0990B12548A}"/>
    <cellStyle name="Normal 2 4 2 5 2 2 2 3" xfId="19912" xr:uid="{35545C2D-67DA-494A-88F4-EA3B2082097C}"/>
    <cellStyle name="Normal 2 4 2 5 2 2 2 4" xfId="28359" xr:uid="{EBBE34EF-4B14-48EF-A672-FB1BF4613440}"/>
    <cellStyle name="Normal 2 4 2 5 2 2 2 5" xfId="11471" xr:uid="{698634F0-1DDB-4A33-A0C9-19F2897C8B75}"/>
    <cellStyle name="Normal 2 4 2 5 2 2 3" xfId="5102" xr:uid="{00000000-0005-0000-0000-00008B0F0000}"/>
    <cellStyle name="Normal 2 4 2 5 2 2 3 2" xfId="21985" xr:uid="{8FCAABB2-9188-46D2-B7D6-5EDA7229EC21}"/>
    <cellStyle name="Normal 2 4 2 5 2 2 3 3" xfId="30431" xr:uid="{37B4DDD2-9FB8-45DC-A970-30C014E70D5F}"/>
    <cellStyle name="Normal 2 4 2 5 2 2 3 4" xfId="13544" xr:uid="{2B78FDD1-A8EE-4255-BC50-3D2B462EAD4A}"/>
    <cellStyle name="Normal 2 4 2 5 2 2 4" xfId="17767" xr:uid="{D19D5765-78D8-4393-8992-F390AFF46188}"/>
    <cellStyle name="Normal 2 4 2 5 2 2 5" xfId="26212" xr:uid="{D3EAEB7E-2657-47BC-9BA5-D6CF6778A57D}"/>
    <cellStyle name="Normal 2 4 2 5 2 2 6" xfId="9326" xr:uid="{4FB7012A-31D8-4650-943C-E4A134ADF734}"/>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24543" xr:uid="{086FA322-C7F1-4250-9FD6-C54B9C0992D3}"/>
    <cellStyle name="Normal 2 4 2 5 2 3 2 2 3" xfId="32989" xr:uid="{B08B4BA2-E7B8-44AF-8B67-0F8C897113FB}"/>
    <cellStyle name="Normal 2 4 2 5 2 3 2 2 4" xfId="16102" xr:uid="{E03C8C48-3554-495A-B0E8-DC3FC988B042}"/>
    <cellStyle name="Normal 2 4 2 5 2 3 2 3" xfId="20325" xr:uid="{1E1230FF-6174-47B1-934E-56F56DA0C861}"/>
    <cellStyle name="Normal 2 4 2 5 2 3 2 4" xfId="28772" xr:uid="{7CDFAB3B-F1AA-4990-949B-353489E76BB1}"/>
    <cellStyle name="Normal 2 4 2 5 2 3 2 5" xfId="11884" xr:uid="{CDEDB63A-49B1-4091-8C3C-5B97D13B348E}"/>
    <cellStyle name="Normal 2 4 2 5 2 3 3" xfId="5515" xr:uid="{00000000-0005-0000-0000-00008F0F0000}"/>
    <cellStyle name="Normal 2 4 2 5 2 3 3 2" xfId="22398" xr:uid="{44155DDC-B41C-45B8-96AB-F1FB646915EF}"/>
    <cellStyle name="Normal 2 4 2 5 2 3 3 3" xfId="30844" xr:uid="{67F0A5DC-999A-48EC-B25A-C4C347ADCD7F}"/>
    <cellStyle name="Normal 2 4 2 5 2 3 3 4" xfId="13957" xr:uid="{FBDE11A3-569F-42B4-88A3-B438819DDF11}"/>
    <cellStyle name="Normal 2 4 2 5 2 3 4" xfId="18180" xr:uid="{F6237286-7442-4592-A408-F280BEC2AD77}"/>
    <cellStyle name="Normal 2 4 2 5 2 3 5" xfId="26625" xr:uid="{AC6AAC49-E3A5-4336-B7E2-8C2E46230EFC}"/>
    <cellStyle name="Normal 2 4 2 5 2 3 6" xfId="9739" xr:uid="{0126938F-6FA3-4EE1-85F5-A8EF04516FF1}"/>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24956" xr:uid="{E363FEF8-40B2-404B-912C-DFC02CE9EE06}"/>
    <cellStyle name="Normal 2 4 2 5 2 4 2 2 3" xfId="33402" xr:uid="{E0782974-2BD5-42CD-9C6B-B2365C3B9CAA}"/>
    <cellStyle name="Normal 2 4 2 5 2 4 2 2 4" xfId="16515" xr:uid="{FC135B5A-328F-40D0-93F0-088D266C126F}"/>
    <cellStyle name="Normal 2 4 2 5 2 4 2 3" xfId="20738" xr:uid="{FCC668C7-D384-4DA8-BA9C-063CBC5A1AE7}"/>
    <cellStyle name="Normal 2 4 2 5 2 4 2 4" xfId="29185" xr:uid="{A76279F6-90A0-4358-93A8-A5E5761264B1}"/>
    <cellStyle name="Normal 2 4 2 5 2 4 2 5" xfId="12297" xr:uid="{F5BB45E4-5DBF-4D13-9653-60EE919D7896}"/>
    <cellStyle name="Normal 2 4 2 5 2 4 3" xfId="5928" xr:uid="{00000000-0005-0000-0000-0000930F0000}"/>
    <cellStyle name="Normal 2 4 2 5 2 4 3 2" xfId="22811" xr:uid="{35A9C2DB-CEC1-4F01-AFFD-8329E6163580}"/>
    <cellStyle name="Normal 2 4 2 5 2 4 3 3" xfId="31257" xr:uid="{1DB33433-342B-4BBB-A2C1-5651349EFEF5}"/>
    <cellStyle name="Normal 2 4 2 5 2 4 3 4" xfId="14370" xr:uid="{59A68A3E-AC06-4AE9-86EF-668789A46DAC}"/>
    <cellStyle name="Normal 2 4 2 5 2 4 4" xfId="18593" xr:uid="{F1C2D117-0DDF-4D58-9885-3D4BC9B34426}"/>
    <cellStyle name="Normal 2 4 2 5 2 4 5" xfId="27038" xr:uid="{C0F40DC3-9D6C-4AC5-81FC-06F96E13A264}"/>
    <cellStyle name="Normal 2 4 2 5 2 4 6" xfId="10152" xr:uid="{9D66DEE3-F47B-4134-AF27-0825807EB127}"/>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25369" xr:uid="{6F979FC2-1A05-4AB6-BDAB-A084F25ADBB0}"/>
    <cellStyle name="Normal 2 4 2 5 2 5 2 2 3" xfId="33815" xr:uid="{357EBB35-75D1-458F-9620-209D73BF8131}"/>
    <cellStyle name="Normal 2 4 2 5 2 5 2 2 4" xfId="16928" xr:uid="{2A5E09D2-DE6C-4805-99A5-2D3914A8C9C1}"/>
    <cellStyle name="Normal 2 4 2 5 2 5 2 3" xfId="21151" xr:uid="{3CBC384E-AA4A-45AA-AA83-FC788835C348}"/>
    <cellStyle name="Normal 2 4 2 5 2 5 2 4" xfId="29598" xr:uid="{015259B7-F820-42E4-94E7-40CAC2190421}"/>
    <cellStyle name="Normal 2 4 2 5 2 5 2 5" xfId="12710" xr:uid="{1FDF6EA6-F858-47BB-A6E9-DB1ABB7378D0}"/>
    <cellStyle name="Normal 2 4 2 5 2 5 3" xfId="6341" xr:uid="{00000000-0005-0000-0000-0000970F0000}"/>
    <cellStyle name="Normal 2 4 2 5 2 5 3 2" xfId="23224" xr:uid="{1588D307-208E-4096-9D8C-17911AE3F50E}"/>
    <cellStyle name="Normal 2 4 2 5 2 5 3 3" xfId="31670" xr:uid="{3F407A0A-8E46-44A4-BA5E-E3C57539ABF2}"/>
    <cellStyle name="Normal 2 4 2 5 2 5 3 4" xfId="14783" xr:uid="{C43817C2-FE97-40ED-A65B-C8207525561C}"/>
    <cellStyle name="Normal 2 4 2 5 2 5 4" xfId="19006" xr:uid="{ACCCCD81-FC1E-4353-A8CF-440A407C4DD1}"/>
    <cellStyle name="Normal 2 4 2 5 2 5 5" xfId="27451" xr:uid="{5111AACE-B7D4-4EB6-8E75-BD5AFB8A5E22}"/>
    <cellStyle name="Normal 2 4 2 5 2 5 6" xfId="10565" xr:uid="{CD99003C-4EE2-425F-A38A-EC67B7B4D2E9}"/>
    <cellStyle name="Normal 2 4 2 5 2 6" xfId="2470" xr:uid="{00000000-0005-0000-0000-0000980F0000}"/>
    <cellStyle name="Normal 2 4 2 5 2 6 2" xfId="6754" xr:uid="{00000000-0005-0000-0000-0000990F0000}"/>
    <cellStyle name="Normal 2 4 2 5 2 6 2 2" xfId="23637" xr:uid="{A6F2AB20-F6DF-45F9-BDAA-885ED5483379}"/>
    <cellStyle name="Normal 2 4 2 5 2 6 2 3" xfId="32083" xr:uid="{EF05F235-6158-4884-B596-08D4EF72EE4F}"/>
    <cellStyle name="Normal 2 4 2 5 2 6 2 4" xfId="15196" xr:uid="{D1A1CFAA-A069-4599-823D-566B03F62649}"/>
    <cellStyle name="Normal 2 4 2 5 2 6 3" xfId="19419" xr:uid="{AF014B9E-B2D4-4E56-A968-FF072CCC8C56}"/>
    <cellStyle name="Normal 2 4 2 5 2 6 4" xfId="27864" xr:uid="{E5D38079-6281-4E15-88BA-6E56EF02ECED}"/>
    <cellStyle name="Normal 2 4 2 5 2 6 5" xfId="10978" xr:uid="{04F13285-BCD0-4AE2-9F3F-C921A6934725}"/>
    <cellStyle name="Normal 2 4 2 5 2 7" xfId="4688" xr:uid="{00000000-0005-0000-0000-00009A0F0000}"/>
    <cellStyle name="Normal 2 4 2 5 2 7 2" xfId="21571" xr:uid="{F470F98B-8A0C-4439-ADD7-FEDB88CABA3A}"/>
    <cellStyle name="Normal 2 4 2 5 2 7 3" xfId="30017" xr:uid="{2C1689E3-0341-4745-BE13-4DDA2A2F747B}"/>
    <cellStyle name="Normal 2 4 2 5 2 7 4" xfId="13130" xr:uid="{2AF64167-57ED-47A0-96F2-93D5AA980C22}"/>
    <cellStyle name="Normal 2 4 2 5 2 8" xfId="17353" xr:uid="{D49D81F4-59A5-4B5C-BF87-00B846B5E11F}"/>
    <cellStyle name="Normal 2 4 2 5 2 9" xfId="25797" xr:uid="{57C004C4-33D9-4282-B951-4C43CE519FD9}"/>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24129" xr:uid="{6F19420B-4773-40EB-A03E-5919FEC3BEBA}"/>
    <cellStyle name="Normal 2 4 2 5 3 2 2 3" xfId="32575" xr:uid="{603E2F15-EBBF-4504-BADA-754C65AEA771}"/>
    <cellStyle name="Normal 2 4 2 5 3 2 2 4" xfId="15688" xr:uid="{B6A665FF-C5B9-4BD7-BC22-92A40A92FCEB}"/>
    <cellStyle name="Normal 2 4 2 5 3 2 3" xfId="19911" xr:uid="{2EEC6498-8557-45FD-A4F4-FE660B54534D}"/>
    <cellStyle name="Normal 2 4 2 5 3 2 4" xfId="28358" xr:uid="{B0973318-18EB-43A0-8405-C75C5089DD9C}"/>
    <cellStyle name="Normal 2 4 2 5 3 2 5" xfId="11470" xr:uid="{0355A2E6-B712-4728-985D-AFC75019AE92}"/>
    <cellStyle name="Normal 2 4 2 5 3 3" xfId="5101" xr:uid="{00000000-0005-0000-0000-00009E0F0000}"/>
    <cellStyle name="Normal 2 4 2 5 3 3 2" xfId="21984" xr:uid="{8AF9437E-CBD0-44B6-A82C-688856C9A6E5}"/>
    <cellStyle name="Normal 2 4 2 5 3 3 3" xfId="30430" xr:uid="{2EB2A1FC-BDCB-43FB-AB8D-D88923E3BC8D}"/>
    <cellStyle name="Normal 2 4 2 5 3 3 4" xfId="13543" xr:uid="{DA153291-B3C4-4082-AB54-23D0BDF40AE2}"/>
    <cellStyle name="Normal 2 4 2 5 3 4" xfId="17766" xr:uid="{75A64B7F-2C6B-4816-8794-26544C99940D}"/>
    <cellStyle name="Normal 2 4 2 5 3 5" xfId="26211" xr:uid="{B51A2FFB-74C9-4DC7-AF70-C291889AF6DF}"/>
    <cellStyle name="Normal 2 4 2 5 3 6" xfId="9325" xr:uid="{D367C7C3-70CD-4DEF-B876-1700284FC15C}"/>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24542" xr:uid="{DB1A2B02-A579-460F-B2CD-B68EC9AD6B01}"/>
    <cellStyle name="Normal 2 4 2 5 4 2 2 3" xfId="32988" xr:uid="{B46E12AE-A30A-4236-A782-09A7A1C21557}"/>
    <cellStyle name="Normal 2 4 2 5 4 2 2 4" xfId="16101" xr:uid="{420DD85A-8364-4112-9148-010B0B24C4CA}"/>
    <cellStyle name="Normal 2 4 2 5 4 2 3" xfId="20324" xr:uid="{7FF2001B-68EC-4B10-A176-5C297A1F9B31}"/>
    <cellStyle name="Normal 2 4 2 5 4 2 4" xfId="28771" xr:uid="{91B0BF23-7984-4B14-8B5F-7884034B2077}"/>
    <cellStyle name="Normal 2 4 2 5 4 2 5" xfId="11883" xr:uid="{DF7AD568-48B8-4DCE-B44A-3D5FCD71941D}"/>
    <cellStyle name="Normal 2 4 2 5 4 3" xfId="5514" xr:uid="{00000000-0005-0000-0000-0000A20F0000}"/>
    <cellStyle name="Normal 2 4 2 5 4 3 2" xfId="22397" xr:uid="{0301B373-E6B2-4564-A57C-3FBB559E0896}"/>
    <cellStyle name="Normal 2 4 2 5 4 3 3" xfId="30843" xr:uid="{CE544EFB-EA1A-4B75-AE73-C85CB91A26DE}"/>
    <cellStyle name="Normal 2 4 2 5 4 3 4" xfId="13956" xr:uid="{87424BFA-5B44-4C81-9AFC-B85D779506BA}"/>
    <cellStyle name="Normal 2 4 2 5 4 4" xfId="18179" xr:uid="{0F03EFFE-2178-4145-8886-9D923BE30F30}"/>
    <cellStyle name="Normal 2 4 2 5 4 5" xfId="26624" xr:uid="{A6A2B785-7CFE-4549-9264-031E0CA6A2CB}"/>
    <cellStyle name="Normal 2 4 2 5 4 6" xfId="9738" xr:uid="{98D71500-F458-47DF-9FF9-3685AA95CA9A}"/>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24955" xr:uid="{D4A8E980-B9E4-46C3-AE4D-687C476EA01E}"/>
    <cellStyle name="Normal 2 4 2 5 5 2 2 3" xfId="33401" xr:uid="{7E6787E3-C98B-4A41-B4E0-4308562538D9}"/>
    <cellStyle name="Normal 2 4 2 5 5 2 2 4" xfId="16514" xr:uid="{36F4070B-E83B-4055-A5AE-2D9DA9747BB2}"/>
    <cellStyle name="Normal 2 4 2 5 5 2 3" xfId="20737" xr:uid="{15EA8B2E-DF15-4B7B-A0EB-2F94162424D5}"/>
    <cellStyle name="Normal 2 4 2 5 5 2 4" xfId="29184" xr:uid="{8EE619AF-E3ED-4C81-AF82-B56801F54727}"/>
    <cellStyle name="Normal 2 4 2 5 5 2 5" xfId="12296" xr:uid="{B56E990A-C56E-4EDC-996E-43FEDB117484}"/>
    <cellStyle name="Normal 2 4 2 5 5 3" xfId="5927" xr:uid="{00000000-0005-0000-0000-0000A60F0000}"/>
    <cellStyle name="Normal 2 4 2 5 5 3 2" xfId="22810" xr:uid="{5370FAD8-8A08-4D77-9323-ADC27951D5CE}"/>
    <cellStyle name="Normal 2 4 2 5 5 3 3" xfId="31256" xr:uid="{2DD1F3BD-86D8-4B13-834B-6198B7B7D5C2}"/>
    <cellStyle name="Normal 2 4 2 5 5 3 4" xfId="14369" xr:uid="{548A02ED-7D46-46AA-97AB-BAADE128474C}"/>
    <cellStyle name="Normal 2 4 2 5 5 4" xfId="18592" xr:uid="{14FDD21E-E653-48EC-A65E-128AAFE12663}"/>
    <cellStyle name="Normal 2 4 2 5 5 5" xfId="27037" xr:uid="{9FF12CCD-3C3D-4944-B43F-C5474C3111AC}"/>
    <cellStyle name="Normal 2 4 2 5 5 6" xfId="10151" xr:uid="{8B7FE07D-C84C-4C18-A307-7415449F9782}"/>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25368" xr:uid="{7A6BE13C-5291-487A-A6E6-D93DC63B6CCD}"/>
    <cellStyle name="Normal 2 4 2 5 6 2 2 3" xfId="33814" xr:uid="{CB7C3412-ACDD-4B85-A41D-A5C4C3881A92}"/>
    <cellStyle name="Normal 2 4 2 5 6 2 2 4" xfId="16927" xr:uid="{08DE9DED-DB31-40D0-BE72-2CCE42916E1C}"/>
    <cellStyle name="Normal 2 4 2 5 6 2 3" xfId="21150" xr:uid="{EEADAD22-A7F1-4AAE-96CF-B2AF25EB80C8}"/>
    <cellStyle name="Normal 2 4 2 5 6 2 4" xfId="29597" xr:uid="{0D710739-D18D-4F0C-AF50-04BF76AA8657}"/>
    <cellStyle name="Normal 2 4 2 5 6 2 5" xfId="12709" xr:uid="{41F3DA2B-3319-4A9B-BAE6-4BF260A1F872}"/>
    <cellStyle name="Normal 2 4 2 5 6 3" xfId="6340" xr:uid="{00000000-0005-0000-0000-0000AA0F0000}"/>
    <cellStyle name="Normal 2 4 2 5 6 3 2" xfId="23223" xr:uid="{DB1EE015-4F6C-4D00-93E5-039946371EE2}"/>
    <cellStyle name="Normal 2 4 2 5 6 3 3" xfId="31669" xr:uid="{0C99E9BD-EAA4-47DA-B57E-59C073A7B9FF}"/>
    <cellStyle name="Normal 2 4 2 5 6 3 4" xfId="14782" xr:uid="{328F6201-71CA-4B90-87C6-57728473B474}"/>
    <cellStyle name="Normal 2 4 2 5 6 4" xfId="19005" xr:uid="{E1D03D52-6DF8-41AD-972E-E7150ADA18C8}"/>
    <cellStyle name="Normal 2 4 2 5 6 5" xfId="27450" xr:uid="{B46FC6BA-E040-426D-BDAB-2B3E49B85143}"/>
    <cellStyle name="Normal 2 4 2 5 6 6" xfId="10564" xr:uid="{337BC05B-C984-48BE-B284-438078F7223C}"/>
    <cellStyle name="Normal 2 4 2 5 7" xfId="2469" xr:uid="{00000000-0005-0000-0000-0000AB0F0000}"/>
    <cellStyle name="Normal 2 4 2 5 7 2" xfId="6753" xr:uid="{00000000-0005-0000-0000-0000AC0F0000}"/>
    <cellStyle name="Normal 2 4 2 5 7 2 2" xfId="23636" xr:uid="{41F887D8-66CB-4D3C-8C9B-D8EFC3DAD52A}"/>
    <cellStyle name="Normal 2 4 2 5 7 2 3" xfId="32082" xr:uid="{4AD5FE73-764C-4A2D-A2F8-7E08D7673500}"/>
    <cellStyle name="Normal 2 4 2 5 7 2 4" xfId="15195" xr:uid="{78FC13EA-EF9A-472A-A331-D1F9A802C48F}"/>
    <cellStyle name="Normal 2 4 2 5 7 3" xfId="19418" xr:uid="{C2C2CD76-CAB7-4566-842F-6D3B06261396}"/>
    <cellStyle name="Normal 2 4 2 5 7 4" xfId="27863" xr:uid="{386B2AF7-4792-4563-80EB-CC1C8EC12BE5}"/>
    <cellStyle name="Normal 2 4 2 5 7 5" xfId="10977" xr:uid="{5A4F6C21-CF39-4769-8B08-8AA0235A947A}"/>
    <cellStyle name="Normal 2 4 2 5 8" xfId="4687" xr:uid="{00000000-0005-0000-0000-0000AD0F0000}"/>
    <cellStyle name="Normal 2 4 2 5 8 2" xfId="21570" xr:uid="{369B6FB5-C6C8-47FB-B0A1-738E0927FC65}"/>
    <cellStyle name="Normal 2 4 2 5 8 3" xfId="30016" xr:uid="{416EC4ED-4239-44AD-9E25-7ED272FC33FC}"/>
    <cellStyle name="Normal 2 4 2 5 8 4" xfId="13129" xr:uid="{EF2FD84F-4C89-4C33-AAEF-72D14A692798}"/>
    <cellStyle name="Normal 2 4 2 5 9" xfId="17352" xr:uid="{2D9E5A7F-8FD1-4A32-BF6A-E804A1626814}"/>
    <cellStyle name="Normal 2 4 2 6" xfId="295" xr:uid="{00000000-0005-0000-0000-0000AE0F0000}"/>
    <cellStyle name="Normal 2 4 2 6 10" xfId="8913" xr:uid="{E1728A2B-062F-47AD-A491-CDDD4A840D7B}"/>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24131" xr:uid="{54150FD1-D3A0-4394-A93A-99D0CDCB4FD8}"/>
    <cellStyle name="Normal 2 4 2 6 2 2 2 3" xfId="32577" xr:uid="{99319606-378C-4756-BE07-217EABB980A2}"/>
    <cellStyle name="Normal 2 4 2 6 2 2 2 4" xfId="15690" xr:uid="{66414CE2-CDE7-4F0D-B9DE-C41DCF17F0AF}"/>
    <cellStyle name="Normal 2 4 2 6 2 2 3" xfId="19913" xr:uid="{E3D75F7A-5C61-46CF-8CC6-4BEBF624B42C}"/>
    <cellStyle name="Normal 2 4 2 6 2 2 4" xfId="28360" xr:uid="{DB9177F2-B577-4E4C-9C92-F8A0C650F09A}"/>
    <cellStyle name="Normal 2 4 2 6 2 2 5" xfId="11472" xr:uid="{06274F56-BB4B-4E8D-B95C-63BFBEE4694C}"/>
    <cellStyle name="Normal 2 4 2 6 2 3" xfId="5103" xr:uid="{00000000-0005-0000-0000-0000B20F0000}"/>
    <cellStyle name="Normal 2 4 2 6 2 3 2" xfId="21986" xr:uid="{770ABDEC-EA8A-48AD-ACF3-C4ADB5DA4D20}"/>
    <cellStyle name="Normal 2 4 2 6 2 3 3" xfId="30432" xr:uid="{8F0AC5D3-6647-4D70-99BB-FA319CD8C7D3}"/>
    <cellStyle name="Normal 2 4 2 6 2 3 4" xfId="13545" xr:uid="{FA68C8BF-3A2B-4B7C-B71E-26633310175E}"/>
    <cellStyle name="Normal 2 4 2 6 2 4" xfId="17768" xr:uid="{F4940D37-A9C0-44AC-9B9A-19243F93253D}"/>
    <cellStyle name="Normal 2 4 2 6 2 5" xfId="26213" xr:uid="{BF0F813F-49F1-4CE5-8756-EEC5670435FC}"/>
    <cellStyle name="Normal 2 4 2 6 2 6" xfId="9327" xr:uid="{C71DA78C-9056-40EA-B43D-02305FE431DC}"/>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24544" xr:uid="{E031F321-CAFD-41D9-8D9B-017D6A8C6FBA}"/>
    <cellStyle name="Normal 2 4 2 6 3 2 2 3" xfId="32990" xr:uid="{9F055FF1-53FB-43E5-BFFD-09E77CB10EE7}"/>
    <cellStyle name="Normal 2 4 2 6 3 2 2 4" xfId="16103" xr:uid="{9E6A9230-C3A8-483F-8563-36478623984E}"/>
    <cellStyle name="Normal 2 4 2 6 3 2 3" xfId="20326" xr:uid="{DD35831B-6341-43D7-ACE2-E71A8DD539F7}"/>
    <cellStyle name="Normal 2 4 2 6 3 2 4" xfId="28773" xr:uid="{DA6A4E8C-D810-47A4-8A99-361E4D1CA973}"/>
    <cellStyle name="Normal 2 4 2 6 3 2 5" xfId="11885" xr:uid="{5C47E3DF-E2F8-4175-A410-ED66B64CC034}"/>
    <cellStyle name="Normal 2 4 2 6 3 3" xfId="5516" xr:uid="{00000000-0005-0000-0000-0000B60F0000}"/>
    <cellStyle name="Normal 2 4 2 6 3 3 2" xfId="22399" xr:uid="{BAD6B3CB-F639-4051-98C3-E370E7471880}"/>
    <cellStyle name="Normal 2 4 2 6 3 3 3" xfId="30845" xr:uid="{80C0E187-5AA7-4238-B647-EFE82E840BC2}"/>
    <cellStyle name="Normal 2 4 2 6 3 3 4" xfId="13958" xr:uid="{2FB64D86-8BF9-46E9-AD6C-0EED8B06B251}"/>
    <cellStyle name="Normal 2 4 2 6 3 4" xfId="18181" xr:uid="{BF52E36C-3646-4C6E-AD57-4BBFCC7AF7F4}"/>
    <cellStyle name="Normal 2 4 2 6 3 5" xfId="26626" xr:uid="{C8E6329B-4441-46ED-A4BD-BAF640D73900}"/>
    <cellStyle name="Normal 2 4 2 6 3 6" xfId="9740" xr:uid="{ED9BC11F-F097-481A-B29A-3193D6E41336}"/>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24957" xr:uid="{6908E4C6-4A73-4534-BC6B-1B73ABF5D597}"/>
    <cellStyle name="Normal 2 4 2 6 4 2 2 3" xfId="33403" xr:uid="{2BC2BF86-1F48-48F7-BAF9-EE4B2B5FA593}"/>
    <cellStyle name="Normal 2 4 2 6 4 2 2 4" xfId="16516" xr:uid="{D14D7DBC-108B-4C65-970F-4E525C34BB54}"/>
    <cellStyle name="Normal 2 4 2 6 4 2 3" xfId="20739" xr:uid="{BBDD4ABA-C601-471E-B338-605FD685BF70}"/>
    <cellStyle name="Normal 2 4 2 6 4 2 4" xfId="29186" xr:uid="{32FFA9AD-323B-48C2-8087-0AD4FC595CE7}"/>
    <cellStyle name="Normal 2 4 2 6 4 2 5" xfId="12298" xr:uid="{80385794-89B9-4EBB-A045-59AE63BE093D}"/>
    <cellStyle name="Normal 2 4 2 6 4 3" xfId="5929" xr:uid="{00000000-0005-0000-0000-0000BA0F0000}"/>
    <cellStyle name="Normal 2 4 2 6 4 3 2" xfId="22812" xr:uid="{4F125ABA-42C2-45D5-87FD-AC996FFE6C2C}"/>
    <cellStyle name="Normal 2 4 2 6 4 3 3" xfId="31258" xr:uid="{9AC31E1A-6644-4989-BFF9-A8F56E36BF83}"/>
    <cellStyle name="Normal 2 4 2 6 4 3 4" xfId="14371" xr:uid="{04E9ACF5-6076-4978-8896-61E768BD2DA0}"/>
    <cellStyle name="Normal 2 4 2 6 4 4" xfId="18594" xr:uid="{A5E8DF4C-2F55-49DB-A65B-DF742FE5308E}"/>
    <cellStyle name="Normal 2 4 2 6 4 5" xfId="27039" xr:uid="{B4FD1FFE-6F43-4E4C-8031-22CA546E1F76}"/>
    <cellStyle name="Normal 2 4 2 6 4 6" xfId="10153" xr:uid="{59E1F6E9-6937-4B8C-B9BA-6AB5F25A9F13}"/>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25370" xr:uid="{A345A92E-58B8-4ECB-8C7A-66D509FC7AD5}"/>
    <cellStyle name="Normal 2 4 2 6 5 2 2 3" xfId="33816" xr:uid="{E95B4C6A-543A-41F9-961A-B191D8BAD011}"/>
    <cellStyle name="Normal 2 4 2 6 5 2 2 4" xfId="16929" xr:uid="{EBCE6912-4B89-4DAA-A233-9BD1F4924F51}"/>
    <cellStyle name="Normal 2 4 2 6 5 2 3" xfId="21152" xr:uid="{097C161D-1DB7-422A-8945-AC0BCE076EE9}"/>
    <cellStyle name="Normal 2 4 2 6 5 2 4" xfId="29599" xr:uid="{2A72743B-23DC-4FD9-B9F1-708E39A59105}"/>
    <cellStyle name="Normal 2 4 2 6 5 2 5" xfId="12711" xr:uid="{B6423F07-8495-4970-8340-F0609196DA33}"/>
    <cellStyle name="Normal 2 4 2 6 5 3" xfId="6342" xr:uid="{00000000-0005-0000-0000-0000BE0F0000}"/>
    <cellStyle name="Normal 2 4 2 6 5 3 2" xfId="23225" xr:uid="{D38C12E2-06AB-4343-B284-1069916F40F3}"/>
    <cellStyle name="Normal 2 4 2 6 5 3 3" xfId="31671" xr:uid="{3F1058AF-1F43-4B75-93D7-AB70A5043D17}"/>
    <cellStyle name="Normal 2 4 2 6 5 3 4" xfId="14784" xr:uid="{81F1EDFF-C9E3-455E-9380-B4C4E0C34C1F}"/>
    <cellStyle name="Normal 2 4 2 6 5 4" xfId="19007" xr:uid="{365F54DC-FB6C-4616-AFF6-8357269CD78F}"/>
    <cellStyle name="Normal 2 4 2 6 5 5" xfId="27452" xr:uid="{2C65D87F-13E6-4BE3-9E98-9D8D73D0D457}"/>
    <cellStyle name="Normal 2 4 2 6 5 6" xfId="10566" xr:uid="{0956E54A-A497-4864-9400-B1008079527B}"/>
    <cellStyle name="Normal 2 4 2 6 6" xfId="2471" xr:uid="{00000000-0005-0000-0000-0000BF0F0000}"/>
    <cellStyle name="Normal 2 4 2 6 6 2" xfId="6755" xr:uid="{00000000-0005-0000-0000-0000C00F0000}"/>
    <cellStyle name="Normal 2 4 2 6 6 2 2" xfId="23638" xr:uid="{CD6CEDF4-1D71-4832-8733-6099BCAE6312}"/>
    <cellStyle name="Normal 2 4 2 6 6 2 3" xfId="32084" xr:uid="{13B815DB-01DB-478A-A050-5AE2C5C15F11}"/>
    <cellStyle name="Normal 2 4 2 6 6 2 4" xfId="15197" xr:uid="{5BA2A1C9-FDB8-4044-BAD7-15A60E1DF87F}"/>
    <cellStyle name="Normal 2 4 2 6 6 3" xfId="19420" xr:uid="{BB0AA528-092D-487E-97F4-28D05DFBD0FA}"/>
    <cellStyle name="Normal 2 4 2 6 6 4" xfId="27865" xr:uid="{7C4ADD05-AFA7-4625-B31B-509BDCA06AF7}"/>
    <cellStyle name="Normal 2 4 2 6 6 5" xfId="10979" xr:uid="{C2B3F644-0529-4D00-B65D-C06D7049AAFD}"/>
    <cellStyle name="Normal 2 4 2 6 7" xfId="4689" xr:uid="{00000000-0005-0000-0000-0000C10F0000}"/>
    <cellStyle name="Normal 2 4 2 6 7 2" xfId="21572" xr:uid="{C6E868BB-E481-43AA-8288-34CACE741D24}"/>
    <cellStyle name="Normal 2 4 2 6 7 3" xfId="30018" xr:uid="{59173EFF-412B-4701-9A5A-16981E593ECF}"/>
    <cellStyle name="Normal 2 4 2 6 7 4" xfId="13131" xr:uid="{E175DB8F-C6B5-484A-8345-B6194637D320}"/>
    <cellStyle name="Normal 2 4 2 6 8" xfId="17354" xr:uid="{F5961B47-D44F-4BFB-A9C3-8FA77B357DB1}"/>
    <cellStyle name="Normal 2 4 2 6 9" xfId="25798" xr:uid="{71346019-E687-4415-A458-3671ABF252E9}"/>
    <cellStyle name="Normal 2 4 2 7" xfId="771" xr:uid="{00000000-0005-0000-0000-0000C20F0000}"/>
    <cellStyle name="Normal 2 4 2 7 2" xfId="3010" xr:uid="{00000000-0005-0000-0000-0000C30F0000}"/>
    <cellStyle name="Normal 2 4 2 7 2 2" xfId="7233" xr:uid="{00000000-0005-0000-0000-0000C40F0000}"/>
    <cellStyle name="Normal 2 4 2 7 2 2 2" xfId="24116" xr:uid="{2F5874C5-D4CF-4FF6-AAE7-BE070265ADDF}"/>
    <cellStyle name="Normal 2 4 2 7 2 2 3" xfId="32562" xr:uid="{851DC90E-2200-49F6-81E4-90E0C0ABA2B7}"/>
    <cellStyle name="Normal 2 4 2 7 2 2 4" xfId="15675" xr:uid="{056879C5-42C2-4B93-B773-E726411EBF41}"/>
    <cellStyle name="Normal 2 4 2 7 2 3" xfId="19898" xr:uid="{9AFD51F7-63B5-453C-9775-0A73FB7DE77F}"/>
    <cellStyle name="Normal 2 4 2 7 2 4" xfId="28345" xr:uid="{FC006743-A44C-4509-A5FD-38A5AC57F644}"/>
    <cellStyle name="Normal 2 4 2 7 2 5" xfId="11457" xr:uid="{F5DFE3D5-60B4-4D2E-A664-4CEEF7CE7106}"/>
    <cellStyle name="Normal 2 4 2 7 3" xfId="5088" xr:uid="{00000000-0005-0000-0000-0000C50F0000}"/>
    <cellStyle name="Normal 2 4 2 7 3 2" xfId="21971" xr:uid="{E4BA48D7-5284-4950-9421-FDCA81C2E220}"/>
    <cellStyle name="Normal 2 4 2 7 3 3" xfId="30417" xr:uid="{ADC54526-27B9-442D-8C45-F4138F39EA2D}"/>
    <cellStyle name="Normal 2 4 2 7 3 4" xfId="13530" xr:uid="{524748BD-9644-471A-BC92-CF618F0A17F6}"/>
    <cellStyle name="Normal 2 4 2 7 4" xfId="17753" xr:uid="{C0448BB9-D173-4072-A1E0-D22C7F9BDA4E}"/>
    <cellStyle name="Normal 2 4 2 7 5" xfId="26198" xr:uid="{24CBD635-C3B1-4118-83EF-6F75710EB3E7}"/>
    <cellStyle name="Normal 2 4 2 7 6" xfId="9312" xr:uid="{4222B89E-B7F4-454F-A7E1-D263883F5226}"/>
    <cellStyle name="Normal 2 4 2 8" xfId="1193" xr:uid="{00000000-0005-0000-0000-0000C60F0000}"/>
    <cellStyle name="Normal 2 4 2 8 2" xfId="3423" xr:uid="{00000000-0005-0000-0000-0000C70F0000}"/>
    <cellStyle name="Normal 2 4 2 8 2 2" xfId="7646" xr:uid="{00000000-0005-0000-0000-0000C80F0000}"/>
    <cellStyle name="Normal 2 4 2 8 2 2 2" xfId="24529" xr:uid="{22A22B46-54C0-4A1B-BFD4-7BA19E4E3938}"/>
    <cellStyle name="Normal 2 4 2 8 2 2 3" xfId="32975" xr:uid="{15960CF1-87BC-4594-AD4B-2DBB6EB9D17D}"/>
    <cellStyle name="Normal 2 4 2 8 2 2 4" xfId="16088" xr:uid="{0CDFB68A-CF91-4D89-A03B-168A1BC19A57}"/>
    <cellStyle name="Normal 2 4 2 8 2 3" xfId="20311" xr:uid="{7B1B6C69-ACB6-4ECB-9E30-33BF06E7882C}"/>
    <cellStyle name="Normal 2 4 2 8 2 4" xfId="28758" xr:uid="{B78E313A-83CE-46D7-90A1-5754DE648A14}"/>
    <cellStyle name="Normal 2 4 2 8 2 5" xfId="11870" xr:uid="{DBEC8BF0-325A-4E30-BB64-62905985B39C}"/>
    <cellStyle name="Normal 2 4 2 8 3" xfId="5501" xr:uid="{00000000-0005-0000-0000-0000C90F0000}"/>
    <cellStyle name="Normal 2 4 2 8 3 2" xfId="22384" xr:uid="{3676B3FC-7C78-434C-8E48-977401F856B5}"/>
    <cellStyle name="Normal 2 4 2 8 3 3" xfId="30830" xr:uid="{243ED151-9494-401A-ABDF-6A0E1CAA9DEA}"/>
    <cellStyle name="Normal 2 4 2 8 3 4" xfId="13943" xr:uid="{35A55F5C-471D-40DF-BDC0-F8D5EC626AE2}"/>
    <cellStyle name="Normal 2 4 2 8 4" xfId="18166" xr:uid="{95EE3F3B-9CE6-47F0-953F-89508FD85C98}"/>
    <cellStyle name="Normal 2 4 2 8 5" xfId="26611" xr:uid="{57C5DC56-22BE-4C7B-9293-5BAE53B5BFB6}"/>
    <cellStyle name="Normal 2 4 2 8 6" xfId="9725" xr:uid="{541A3398-C28C-47C2-A3C7-B0AC4739ABEF}"/>
    <cellStyle name="Normal 2 4 2 9" xfId="1606" xr:uid="{00000000-0005-0000-0000-0000CA0F0000}"/>
    <cellStyle name="Normal 2 4 2 9 2" xfId="3836" xr:uid="{00000000-0005-0000-0000-0000CB0F0000}"/>
    <cellStyle name="Normal 2 4 2 9 2 2" xfId="8059" xr:uid="{00000000-0005-0000-0000-0000CC0F0000}"/>
    <cellStyle name="Normal 2 4 2 9 2 2 2" xfId="24942" xr:uid="{B442C8A9-D6B5-4287-8343-24CC8A6CAD15}"/>
    <cellStyle name="Normal 2 4 2 9 2 2 3" xfId="33388" xr:uid="{554A42B7-AB56-4D06-A591-E6119331FE5B}"/>
    <cellStyle name="Normal 2 4 2 9 2 2 4" xfId="16501" xr:uid="{8FB2B6C9-1A8D-451C-A293-DE5557C448D4}"/>
    <cellStyle name="Normal 2 4 2 9 2 3" xfId="20724" xr:uid="{E50FB35F-95A0-4C4E-A67A-06F39F5C4D5D}"/>
    <cellStyle name="Normal 2 4 2 9 2 4" xfId="29171" xr:uid="{09A89F02-9211-4477-982E-02808D29F3A9}"/>
    <cellStyle name="Normal 2 4 2 9 2 5" xfId="12283" xr:uid="{E6CD2E2D-DFCA-4ED4-B95D-FA332A99C1D4}"/>
    <cellStyle name="Normal 2 4 2 9 3" xfId="5914" xr:uid="{00000000-0005-0000-0000-0000CD0F0000}"/>
    <cellStyle name="Normal 2 4 2 9 3 2" xfId="22797" xr:uid="{70DCD9AC-501D-42FB-978A-C5783035B119}"/>
    <cellStyle name="Normal 2 4 2 9 3 3" xfId="31243" xr:uid="{92082117-9C0D-4FA4-8CE8-67C1654D1023}"/>
    <cellStyle name="Normal 2 4 2 9 3 4" xfId="14356" xr:uid="{2D90237E-5C94-4D87-BD02-59E35624D66E}"/>
    <cellStyle name="Normal 2 4 2 9 4" xfId="18579" xr:uid="{E4EBC6DB-5648-4966-9F15-1A048A97C9F3}"/>
    <cellStyle name="Normal 2 4 2 9 5" xfId="27024" xr:uid="{D09B691A-4EB6-4B67-A41D-31160E634E89}"/>
    <cellStyle name="Normal 2 4 2 9 6" xfId="10138" xr:uid="{974C646E-953B-4B0C-8599-0CE2EB44FAF8}"/>
    <cellStyle name="Normal 2 4 3" xfId="296" xr:uid="{00000000-0005-0000-0000-0000CE0F0000}"/>
    <cellStyle name="Normal 2 4 3 10" xfId="17355" xr:uid="{E8BDFF1B-764A-4D98-9535-C139C0D53260}"/>
    <cellStyle name="Normal 2 4 3 11" xfId="25799" xr:uid="{C9EC2486-CF00-4B08-8B85-FEF6D1F3ED24}"/>
    <cellStyle name="Normal 2 4 3 12" xfId="8914" xr:uid="{6D0348A9-17F1-437F-ACB1-8BA3BF8C0B10}"/>
    <cellStyle name="Normal 2 4 3 2" xfId="297" xr:uid="{00000000-0005-0000-0000-0000CF0F0000}"/>
    <cellStyle name="Normal 2 4 3 3" xfId="298" xr:uid="{00000000-0005-0000-0000-0000D00F0000}"/>
    <cellStyle name="Normal 2 4 3 3 10" xfId="17356" xr:uid="{C1957953-2774-4ABD-B188-D3A336EB0C2C}"/>
    <cellStyle name="Normal 2 4 3 3 11" xfId="25800" xr:uid="{C507849D-6DDF-4054-87ED-54DBD9E852DB}"/>
    <cellStyle name="Normal 2 4 3 3 12" xfId="8915" xr:uid="{2441D378-C896-4C32-9796-08471E5FE8EF}"/>
    <cellStyle name="Normal 2 4 3 3 2" xfId="299" xr:uid="{00000000-0005-0000-0000-0000D10F0000}"/>
    <cellStyle name="Normal 2 4 3 3 2 10" xfId="25801" xr:uid="{46E059D3-C09B-476B-BCE8-D3348B4A4CCB}"/>
    <cellStyle name="Normal 2 4 3 3 2 11" xfId="8916" xr:uid="{C52644A8-EBE2-4763-A2E8-09CF89A549CA}"/>
    <cellStyle name="Normal 2 4 3 3 2 2" xfId="300" xr:uid="{00000000-0005-0000-0000-0000D20F0000}"/>
    <cellStyle name="Normal 2 4 3 3 2 2 10" xfId="8917" xr:uid="{8954D51A-CBF4-4A25-90F8-63E0ABC1A371}"/>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24135" xr:uid="{5BB20B7A-494E-4EF3-98D4-DD725FB094D3}"/>
    <cellStyle name="Normal 2 4 3 3 2 2 2 2 2 3" xfId="32581" xr:uid="{1538F88E-D176-436D-A806-771DE7EE635E}"/>
    <cellStyle name="Normal 2 4 3 3 2 2 2 2 2 4" xfId="15694" xr:uid="{C645929F-0EE1-4A68-A1D1-C7F04A11B6FD}"/>
    <cellStyle name="Normal 2 4 3 3 2 2 2 2 3" xfId="19917" xr:uid="{2CD6D65C-AE7C-4B5E-A258-19327F20C832}"/>
    <cellStyle name="Normal 2 4 3 3 2 2 2 2 4" xfId="28364" xr:uid="{B3A126D8-FC57-48BE-939A-7D8CF93B8DB5}"/>
    <cellStyle name="Normal 2 4 3 3 2 2 2 2 5" xfId="11476" xr:uid="{7AD886D8-2750-43BB-AFF8-E1C87B4C720A}"/>
    <cellStyle name="Normal 2 4 3 3 2 2 2 3" xfId="5107" xr:uid="{00000000-0005-0000-0000-0000D60F0000}"/>
    <cellStyle name="Normal 2 4 3 3 2 2 2 3 2" xfId="21990" xr:uid="{A862EB73-EB57-425E-9DC0-291E586DD628}"/>
    <cellStyle name="Normal 2 4 3 3 2 2 2 3 3" xfId="30436" xr:uid="{8A8FF790-ABA0-44FF-8C38-DF933AEF536E}"/>
    <cellStyle name="Normal 2 4 3 3 2 2 2 3 4" xfId="13549" xr:uid="{92E59E02-F683-49BE-B67D-CA80F1CBA357}"/>
    <cellStyle name="Normal 2 4 3 3 2 2 2 4" xfId="17772" xr:uid="{75875718-65FC-4656-8F85-B81F86B5075B}"/>
    <cellStyle name="Normal 2 4 3 3 2 2 2 5" xfId="26217" xr:uid="{F9C0BC9D-3072-48F1-98A1-5F7347AAEFE1}"/>
    <cellStyle name="Normal 2 4 3 3 2 2 2 6" xfId="9331" xr:uid="{650EA7D2-1CD6-472A-8A85-2298C18C53C7}"/>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24548" xr:uid="{8090DDD2-0633-4831-9EE2-3C7FE67F0CCB}"/>
    <cellStyle name="Normal 2 4 3 3 2 2 3 2 2 3" xfId="32994" xr:uid="{48113BAF-6ED4-4BF3-96A4-1E383ACA2098}"/>
    <cellStyle name="Normal 2 4 3 3 2 2 3 2 2 4" xfId="16107" xr:uid="{4E428DCC-6433-4B90-A395-C0AC20338A28}"/>
    <cellStyle name="Normal 2 4 3 3 2 2 3 2 3" xfId="20330" xr:uid="{C491CE42-F44E-474E-B380-FF800361596F}"/>
    <cellStyle name="Normal 2 4 3 3 2 2 3 2 4" xfId="28777" xr:uid="{235BC2B9-65C0-48B6-B894-D0FB772BF7E2}"/>
    <cellStyle name="Normal 2 4 3 3 2 2 3 2 5" xfId="11889" xr:uid="{5DD7339F-6555-4DCF-9736-4E31E2706ED4}"/>
    <cellStyle name="Normal 2 4 3 3 2 2 3 3" xfId="5520" xr:uid="{00000000-0005-0000-0000-0000DA0F0000}"/>
    <cellStyle name="Normal 2 4 3 3 2 2 3 3 2" xfId="22403" xr:uid="{62D93DCB-16C1-49C3-8B0A-8E4972F1D879}"/>
    <cellStyle name="Normal 2 4 3 3 2 2 3 3 3" xfId="30849" xr:uid="{C2AC2493-81BD-4887-8AB9-DC329BCDDDD6}"/>
    <cellStyle name="Normal 2 4 3 3 2 2 3 3 4" xfId="13962" xr:uid="{2B8CE1F4-7A5D-4164-9F73-CC28C86C32C7}"/>
    <cellStyle name="Normal 2 4 3 3 2 2 3 4" xfId="18185" xr:uid="{631FA760-2BC2-43F3-84EE-91168A124ED7}"/>
    <cellStyle name="Normal 2 4 3 3 2 2 3 5" xfId="26630" xr:uid="{A946AA25-2003-447D-A0F0-4FDDE3EBCCC3}"/>
    <cellStyle name="Normal 2 4 3 3 2 2 3 6" xfId="9744" xr:uid="{0F9A2C58-90B8-4111-81E9-6D5BBDE46FDC}"/>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24961" xr:uid="{69C4C3E5-DC52-4F83-A5E4-4A4FB2195575}"/>
    <cellStyle name="Normal 2 4 3 3 2 2 4 2 2 3" xfId="33407" xr:uid="{9E41B521-4DD7-465A-9153-7747FE0461D8}"/>
    <cellStyle name="Normal 2 4 3 3 2 2 4 2 2 4" xfId="16520" xr:uid="{E1F3B56B-29A2-4E7F-B294-C8DB37AF6330}"/>
    <cellStyle name="Normal 2 4 3 3 2 2 4 2 3" xfId="20743" xr:uid="{BE95109F-EA90-45BB-92AB-864C922BA975}"/>
    <cellStyle name="Normal 2 4 3 3 2 2 4 2 4" xfId="29190" xr:uid="{2C74282D-40BD-4EBF-B3D5-12A82232B13B}"/>
    <cellStyle name="Normal 2 4 3 3 2 2 4 2 5" xfId="12302" xr:uid="{94013E30-72BB-473E-A9AE-751744AA4C77}"/>
    <cellStyle name="Normal 2 4 3 3 2 2 4 3" xfId="5933" xr:uid="{00000000-0005-0000-0000-0000DE0F0000}"/>
    <cellStyle name="Normal 2 4 3 3 2 2 4 3 2" xfId="22816" xr:uid="{4A2D06F6-2076-49CC-9DD4-CCF0BA4E8180}"/>
    <cellStyle name="Normal 2 4 3 3 2 2 4 3 3" xfId="31262" xr:uid="{BAF3D4EC-005E-4F0E-8A7A-5C2268B73F94}"/>
    <cellStyle name="Normal 2 4 3 3 2 2 4 3 4" xfId="14375" xr:uid="{B437AAB7-D141-44ED-A0F7-C9985EBD4A6E}"/>
    <cellStyle name="Normal 2 4 3 3 2 2 4 4" xfId="18598" xr:uid="{ECABBD0D-8272-4C6F-9406-E145E6F2C47A}"/>
    <cellStyle name="Normal 2 4 3 3 2 2 4 5" xfId="27043" xr:uid="{BAC01425-6EA4-44DD-8B79-DAE636098365}"/>
    <cellStyle name="Normal 2 4 3 3 2 2 4 6" xfId="10157" xr:uid="{6E78B74E-B926-47FC-826C-8BC8BD70BD7D}"/>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25374" xr:uid="{530B2C57-F373-4102-BD91-C87573B2EBCB}"/>
    <cellStyle name="Normal 2 4 3 3 2 2 5 2 2 3" xfId="33820" xr:uid="{7DE3011F-103A-4A3E-9128-7330B402DE7D}"/>
    <cellStyle name="Normal 2 4 3 3 2 2 5 2 2 4" xfId="16933" xr:uid="{2C8F7E67-6125-4F54-A019-3C88AEE54A6C}"/>
    <cellStyle name="Normal 2 4 3 3 2 2 5 2 3" xfId="21156" xr:uid="{13AAE71A-A934-462D-B23C-02F249D495BD}"/>
    <cellStyle name="Normal 2 4 3 3 2 2 5 2 4" xfId="29603" xr:uid="{F81F43B8-4ADD-48B2-A81B-07E8A3FFE7A8}"/>
    <cellStyle name="Normal 2 4 3 3 2 2 5 2 5" xfId="12715" xr:uid="{8F9DFAF1-2481-420D-8589-84C91CEF9071}"/>
    <cellStyle name="Normal 2 4 3 3 2 2 5 3" xfId="6346" xr:uid="{00000000-0005-0000-0000-0000E20F0000}"/>
    <cellStyle name="Normal 2 4 3 3 2 2 5 3 2" xfId="23229" xr:uid="{294FD3A1-9214-4C63-B37B-FC4879DA0CFC}"/>
    <cellStyle name="Normal 2 4 3 3 2 2 5 3 3" xfId="31675" xr:uid="{50B32419-58CE-4839-94C6-946776421B4A}"/>
    <cellStyle name="Normal 2 4 3 3 2 2 5 3 4" xfId="14788" xr:uid="{63FF5DB6-2F00-4E89-8367-ECBA51775947}"/>
    <cellStyle name="Normal 2 4 3 3 2 2 5 4" xfId="19011" xr:uid="{8E43C83D-695A-40EE-88AC-9EEFCF80A904}"/>
    <cellStyle name="Normal 2 4 3 3 2 2 5 5" xfId="27456" xr:uid="{EF6E91FB-2C09-462B-90DF-936198B925C8}"/>
    <cellStyle name="Normal 2 4 3 3 2 2 5 6" xfId="10570" xr:uid="{F72BF1D8-97FB-43CE-BF32-C416230671BA}"/>
    <cellStyle name="Normal 2 4 3 3 2 2 6" xfId="2475" xr:uid="{00000000-0005-0000-0000-0000E30F0000}"/>
    <cellStyle name="Normal 2 4 3 3 2 2 6 2" xfId="6759" xr:uid="{00000000-0005-0000-0000-0000E40F0000}"/>
    <cellStyle name="Normal 2 4 3 3 2 2 6 2 2" xfId="23642" xr:uid="{C16BF1ED-1517-4E5B-A244-749DB53AF018}"/>
    <cellStyle name="Normal 2 4 3 3 2 2 6 2 3" xfId="32088" xr:uid="{A88F3C85-A1A5-4AF0-BC75-908AF6A6838E}"/>
    <cellStyle name="Normal 2 4 3 3 2 2 6 2 4" xfId="15201" xr:uid="{42B4E003-A7CA-4428-97DB-4D342C8D7B5C}"/>
    <cellStyle name="Normal 2 4 3 3 2 2 6 3" xfId="19424" xr:uid="{3895B7B4-33B3-4F60-B132-8CB3A503C225}"/>
    <cellStyle name="Normal 2 4 3 3 2 2 6 4" xfId="27869" xr:uid="{562BD04A-9531-4379-B731-A38F8190B76B}"/>
    <cellStyle name="Normal 2 4 3 3 2 2 6 5" xfId="10983" xr:uid="{9F8F1269-83CD-4BCC-9E8F-37199EB7E6CB}"/>
    <cellStyle name="Normal 2 4 3 3 2 2 7" xfId="4693" xr:uid="{00000000-0005-0000-0000-0000E50F0000}"/>
    <cellStyle name="Normal 2 4 3 3 2 2 7 2" xfId="21576" xr:uid="{42F5CC63-1F4F-47F7-9AF2-C38CDE177210}"/>
    <cellStyle name="Normal 2 4 3 3 2 2 7 3" xfId="30022" xr:uid="{8C4DF21E-211A-4098-AB2C-683B48501E5A}"/>
    <cellStyle name="Normal 2 4 3 3 2 2 7 4" xfId="13135" xr:uid="{0555F78A-6906-46E0-8998-5730D4B698AB}"/>
    <cellStyle name="Normal 2 4 3 3 2 2 8" xfId="17358" xr:uid="{2F59025D-3BB1-4D1B-9F74-0295E25C529D}"/>
    <cellStyle name="Normal 2 4 3 3 2 2 9" xfId="25802" xr:uid="{2DB65056-75F8-4425-A19F-2082F1480C6A}"/>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24134" xr:uid="{791F5877-4FE2-4A34-B5A5-DF90E6760F89}"/>
    <cellStyle name="Normal 2 4 3 3 2 3 2 2 3" xfId="32580" xr:uid="{16B42477-B4F0-4B35-B4B1-DEE0EB71CE35}"/>
    <cellStyle name="Normal 2 4 3 3 2 3 2 2 4" xfId="15693" xr:uid="{17A0DADE-B6EA-449B-8EE4-9899F4FD1B77}"/>
    <cellStyle name="Normal 2 4 3 3 2 3 2 3" xfId="19916" xr:uid="{F1765068-8863-4281-9309-FF7BC2B23731}"/>
    <cellStyle name="Normal 2 4 3 3 2 3 2 4" xfId="28363" xr:uid="{C49A92C1-CCA1-480D-A335-7A2EA011902D}"/>
    <cellStyle name="Normal 2 4 3 3 2 3 2 5" xfId="11475" xr:uid="{85CCBB1F-AA17-416A-BE73-7A9DA16CF1F3}"/>
    <cellStyle name="Normal 2 4 3 3 2 3 3" xfId="5106" xr:uid="{00000000-0005-0000-0000-0000E90F0000}"/>
    <cellStyle name="Normal 2 4 3 3 2 3 3 2" xfId="21989" xr:uid="{BE2F2018-23E9-4AD6-AB19-00638AB30C44}"/>
    <cellStyle name="Normal 2 4 3 3 2 3 3 3" xfId="30435" xr:uid="{6D679486-0F8D-4769-975C-AF8CB6D14C28}"/>
    <cellStyle name="Normal 2 4 3 3 2 3 3 4" xfId="13548" xr:uid="{FDC3B1F2-3A5B-4BE6-A12F-5C158F54F8A1}"/>
    <cellStyle name="Normal 2 4 3 3 2 3 4" xfId="17771" xr:uid="{58CA8094-199F-44B1-8CA1-24A34F12DACA}"/>
    <cellStyle name="Normal 2 4 3 3 2 3 5" xfId="26216" xr:uid="{62C2B0B3-0AE3-4D14-ADDF-A4822046E0FC}"/>
    <cellStyle name="Normal 2 4 3 3 2 3 6" xfId="9330" xr:uid="{F32E66A6-5286-412F-A1F6-40C160376DB2}"/>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24547" xr:uid="{23D28004-EBDB-4349-BCB1-ED54FBCFB2AE}"/>
    <cellStyle name="Normal 2 4 3 3 2 4 2 2 3" xfId="32993" xr:uid="{C8A8326C-2B7F-479C-B8DA-BA647AEFF3C5}"/>
    <cellStyle name="Normal 2 4 3 3 2 4 2 2 4" xfId="16106" xr:uid="{CCB661F3-6FA5-4F38-BAB2-0361A4FFF419}"/>
    <cellStyle name="Normal 2 4 3 3 2 4 2 3" xfId="20329" xr:uid="{6C7A9A6D-657B-40B0-9FCD-09587EF00931}"/>
    <cellStyle name="Normal 2 4 3 3 2 4 2 4" xfId="28776" xr:uid="{A0DB0F5F-70CA-4CCE-ABAC-6C08180A5465}"/>
    <cellStyle name="Normal 2 4 3 3 2 4 2 5" xfId="11888" xr:uid="{76743417-8702-493E-8FF0-DF33EB9CFCA8}"/>
    <cellStyle name="Normal 2 4 3 3 2 4 3" xfId="5519" xr:uid="{00000000-0005-0000-0000-0000ED0F0000}"/>
    <cellStyle name="Normal 2 4 3 3 2 4 3 2" xfId="22402" xr:uid="{FA376C9F-7722-4A7A-BCB7-CD426CA0687A}"/>
    <cellStyle name="Normal 2 4 3 3 2 4 3 3" xfId="30848" xr:uid="{ED633954-3D71-468F-BEEA-7303921C706B}"/>
    <cellStyle name="Normal 2 4 3 3 2 4 3 4" xfId="13961" xr:uid="{15A9A8F0-4335-4962-B1BE-AD191D7BC317}"/>
    <cellStyle name="Normal 2 4 3 3 2 4 4" xfId="18184" xr:uid="{81DCDDE7-32E3-4BDB-A123-F8439204920F}"/>
    <cellStyle name="Normal 2 4 3 3 2 4 5" xfId="26629" xr:uid="{0FF96686-86A0-4E42-8821-2F9E16EB2550}"/>
    <cellStyle name="Normal 2 4 3 3 2 4 6" xfId="9743" xr:uid="{640F577E-D386-4D64-A5D2-995CAD3D251E}"/>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24960" xr:uid="{BB3B5D6E-618F-422A-B4FF-EACB9730F213}"/>
    <cellStyle name="Normal 2 4 3 3 2 5 2 2 3" xfId="33406" xr:uid="{62C28208-4FC7-4BA2-8F2E-07B272351B47}"/>
    <cellStyle name="Normal 2 4 3 3 2 5 2 2 4" xfId="16519" xr:uid="{2DA0DFB9-2080-4842-9ADB-86FF61E1EBF1}"/>
    <cellStyle name="Normal 2 4 3 3 2 5 2 3" xfId="20742" xr:uid="{0FF04052-0893-42D3-BF65-5B10FCA00A50}"/>
    <cellStyle name="Normal 2 4 3 3 2 5 2 4" xfId="29189" xr:uid="{FF63DBDF-09C0-4805-AEF5-FE15E2BD4ED1}"/>
    <cellStyle name="Normal 2 4 3 3 2 5 2 5" xfId="12301" xr:uid="{4F1DBE50-B183-4EE1-8C1C-4B05BA4BF6A8}"/>
    <cellStyle name="Normal 2 4 3 3 2 5 3" xfId="5932" xr:uid="{00000000-0005-0000-0000-0000F10F0000}"/>
    <cellStyle name="Normal 2 4 3 3 2 5 3 2" xfId="22815" xr:uid="{07351C4F-3573-424C-8CAD-162277B33A9C}"/>
    <cellStyle name="Normal 2 4 3 3 2 5 3 3" xfId="31261" xr:uid="{5E8D42B5-5304-49A9-9233-D1058C94FAC8}"/>
    <cellStyle name="Normal 2 4 3 3 2 5 3 4" xfId="14374" xr:uid="{F0C3F9B9-EC31-460F-8491-F2C013FCC0B5}"/>
    <cellStyle name="Normal 2 4 3 3 2 5 4" xfId="18597" xr:uid="{5EB5D6CA-598A-4A28-BB8B-624617C924FA}"/>
    <cellStyle name="Normal 2 4 3 3 2 5 5" xfId="27042" xr:uid="{651F9714-B770-45D8-A3E1-D695D8772504}"/>
    <cellStyle name="Normal 2 4 3 3 2 5 6" xfId="10156" xr:uid="{ECA42F72-C053-43F5-9F68-5B9EA144F92A}"/>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25373" xr:uid="{A84856A2-E036-4BB6-9C10-2087091781DA}"/>
    <cellStyle name="Normal 2 4 3 3 2 6 2 2 3" xfId="33819" xr:uid="{0821EB0C-25AA-4151-9460-921C282D4989}"/>
    <cellStyle name="Normal 2 4 3 3 2 6 2 2 4" xfId="16932" xr:uid="{D50C6CE1-56E1-4EC5-BC5B-A8A6E63926FB}"/>
    <cellStyle name="Normal 2 4 3 3 2 6 2 3" xfId="21155" xr:uid="{58C6F5B6-2588-4D60-A7F6-A6C9D98D0871}"/>
    <cellStyle name="Normal 2 4 3 3 2 6 2 4" xfId="29602" xr:uid="{C41A52C6-9C36-469E-ACC4-BE8D27585DE3}"/>
    <cellStyle name="Normal 2 4 3 3 2 6 2 5" xfId="12714" xr:uid="{B1FB05AF-D2FA-4AE4-8FE3-21F0E725E653}"/>
    <cellStyle name="Normal 2 4 3 3 2 6 3" xfId="6345" xr:uid="{00000000-0005-0000-0000-0000F50F0000}"/>
    <cellStyle name="Normal 2 4 3 3 2 6 3 2" xfId="23228" xr:uid="{C950A21F-6381-42F9-B27C-6027BE2C0745}"/>
    <cellStyle name="Normal 2 4 3 3 2 6 3 3" xfId="31674" xr:uid="{2F987572-EB68-43B7-883B-71E6961B3496}"/>
    <cellStyle name="Normal 2 4 3 3 2 6 3 4" xfId="14787" xr:uid="{BADEB466-6423-47EE-87F5-FE0D95BA1F8B}"/>
    <cellStyle name="Normal 2 4 3 3 2 6 4" xfId="19010" xr:uid="{EB7557AA-6358-4AA3-84D5-BB66A6DC8BD7}"/>
    <cellStyle name="Normal 2 4 3 3 2 6 5" xfId="27455" xr:uid="{BF5B9E61-8E97-436D-8CAB-A5DBF74A83F5}"/>
    <cellStyle name="Normal 2 4 3 3 2 6 6" xfId="10569" xr:uid="{14C4BB92-EE42-41CF-B126-97AAC24BBE41}"/>
    <cellStyle name="Normal 2 4 3 3 2 7" xfId="2474" xr:uid="{00000000-0005-0000-0000-0000F60F0000}"/>
    <cellStyle name="Normal 2 4 3 3 2 7 2" xfId="6758" xr:uid="{00000000-0005-0000-0000-0000F70F0000}"/>
    <cellStyle name="Normal 2 4 3 3 2 7 2 2" xfId="23641" xr:uid="{CFEA17BF-227C-4E49-A45E-E7E375B511F9}"/>
    <cellStyle name="Normal 2 4 3 3 2 7 2 3" xfId="32087" xr:uid="{3B77776E-D507-4052-8C81-7F332BF37986}"/>
    <cellStyle name="Normal 2 4 3 3 2 7 2 4" xfId="15200" xr:uid="{F1192E0C-B228-440D-876C-71382E730CBA}"/>
    <cellStyle name="Normal 2 4 3 3 2 7 3" xfId="19423" xr:uid="{1390656F-346E-420E-AFA1-ED30E2A3B946}"/>
    <cellStyle name="Normal 2 4 3 3 2 7 4" xfId="27868" xr:uid="{52A6E384-C6BC-47AC-A70C-E17F9D19B99D}"/>
    <cellStyle name="Normal 2 4 3 3 2 7 5" xfId="10982" xr:uid="{592C1893-F995-4F39-8936-587157AE9F0A}"/>
    <cellStyle name="Normal 2 4 3 3 2 8" xfId="4692" xr:uid="{00000000-0005-0000-0000-0000F80F0000}"/>
    <cellStyle name="Normal 2 4 3 3 2 8 2" xfId="21575" xr:uid="{1AE42082-B1C1-477A-A7EC-EF3B7767EB77}"/>
    <cellStyle name="Normal 2 4 3 3 2 8 3" xfId="30021" xr:uid="{37AD0973-6DE0-4187-84FB-A447FB6DBA15}"/>
    <cellStyle name="Normal 2 4 3 3 2 8 4" xfId="13134" xr:uid="{1D216314-B722-4E69-9C87-CC3475E40000}"/>
    <cellStyle name="Normal 2 4 3 3 2 9" xfId="17357" xr:uid="{4AFE17B2-0CC1-430B-9182-5234325ED660}"/>
    <cellStyle name="Normal 2 4 3 3 3" xfId="301" xr:uid="{00000000-0005-0000-0000-0000F90F0000}"/>
    <cellStyle name="Normal 2 4 3 3 3 10" xfId="8918" xr:uid="{6E8DA23D-8A70-4D61-88B3-FA660EEFDDF7}"/>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24136" xr:uid="{F294752E-3892-4210-8A31-0892D75F4C73}"/>
    <cellStyle name="Normal 2 4 3 3 3 2 2 2 3" xfId="32582" xr:uid="{C9319576-B370-479C-946C-E13157A85410}"/>
    <cellStyle name="Normal 2 4 3 3 3 2 2 2 4" xfId="15695" xr:uid="{ACD0F088-B1A8-4532-8295-535C0BE47605}"/>
    <cellStyle name="Normal 2 4 3 3 3 2 2 3" xfId="19918" xr:uid="{4612CABF-0C0A-4465-9AED-D96C278358C3}"/>
    <cellStyle name="Normal 2 4 3 3 3 2 2 4" xfId="28365" xr:uid="{988A9E74-DA3C-4F01-8C5C-A3BF83EC3966}"/>
    <cellStyle name="Normal 2 4 3 3 3 2 2 5" xfId="11477" xr:uid="{D2C8F7ED-F027-4308-B6C2-4CDE1B83CADC}"/>
    <cellStyle name="Normal 2 4 3 3 3 2 3" xfId="5108" xr:uid="{00000000-0005-0000-0000-0000FD0F0000}"/>
    <cellStyle name="Normal 2 4 3 3 3 2 3 2" xfId="21991" xr:uid="{0893FC52-8FE6-4396-A50D-4BF5751F066A}"/>
    <cellStyle name="Normal 2 4 3 3 3 2 3 3" xfId="30437" xr:uid="{81A9011B-7205-4A32-99EF-F704BB17E111}"/>
    <cellStyle name="Normal 2 4 3 3 3 2 3 4" xfId="13550" xr:uid="{6A67E8C7-AD14-4C74-949D-9173D8A6BAE9}"/>
    <cellStyle name="Normal 2 4 3 3 3 2 4" xfId="17773" xr:uid="{BEDAA1D4-C1E2-459C-A1A5-BC4D5D1D2E78}"/>
    <cellStyle name="Normal 2 4 3 3 3 2 5" xfId="26218" xr:uid="{9DE83FA0-52A3-4FF8-8A3E-503D31199924}"/>
    <cellStyle name="Normal 2 4 3 3 3 2 6" xfId="9332" xr:uid="{09A2E96B-B441-4524-81BA-90AAA49D4EB6}"/>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24549" xr:uid="{DD76855B-26D8-48B9-885A-FC408AD76C46}"/>
    <cellStyle name="Normal 2 4 3 3 3 3 2 2 3" xfId="32995" xr:uid="{02A21779-9DC3-4BE2-8969-5C0591A8FE7F}"/>
    <cellStyle name="Normal 2 4 3 3 3 3 2 2 4" xfId="16108" xr:uid="{FEC1B25A-06C6-4AA2-AC43-15BC3F33E7E2}"/>
    <cellStyle name="Normal 2 4 3 3 3 3 2 3" xfId="20331" xr:uid="{067005FE-6ED4-421D-A2AB-D5FCB9662B1E}"/>
    <cellStyle name="Normal 2 4 3 3 3 3 2 4" xfId="28778" xr:uid="{6808AFA2-5C08-4E43-9CC4-482AF41AD095}"/>
    <cellStyle name="Normal 2 4 3 3 3 3 2 5" xfId="11890" xr:uid="{5634A873-466C-4264-9C34-9DBB0849DFAB}"/>
    <cellStyle name="Normal 2 4 3 3 3 3 3" xfId="5521" xr:uid="{00000000-0005-0000-0000-000001100000}"/>
    <cellStyle name="Normal 2 4 3 3 3 3 3 2" xfId="22404" xr:uid="{8B137C1D-FABF-4A00-B19D-6671E640C92F}"/>
    <cellStyle name="Normal 2 4 3 3 3 3 3 3" xfId="30850" xr:uid="{FCB44026-F011-456E-938A-1C9545D996F5}"/>
    <cellStyle name="Normal 2 4 3 3 3 3 3 4" xfId="13963" xr:uid="{8E33FD28-CB0F-4825-BC63-8E254DEDB3F0}"/>
    <cellStyle name="Normal 2 4 3 3 3 3 4" xfId="18186" xr:uid="{55C30482-BFCE-44AC-8C08-3AC8F03FAB3F}"/>
    <cellStyle name="Normal 2 4 3 3 3 3 5" xfId="26631" xr:uid="{0FE09E2C-9630-4712-92F3-B4EAEF353938}"/>
    <cellStyle name="Normal 2 4 3 3 3 3 6" xfId="9745" xr:uid="{6745AE09-9393-4521-BD10-27B5ED0D006A}"/>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24962" xr:uid="{6756FF0C-3D91-4568-96D8-0FEB112DDAD3}"/>
    <cellStyle name="Normal 2 4 3 3 3 4 2 2 3" xfId="33408" xr:uid="{96D053A1-B433-404C-BF10-4E7E3C6217E5}"/>
    <cellStyle name="Normal 2 4 3 3 3 4 2 2 4" xfId="16521" xr:uid="{ED8CBFF2-D565-48EA-A692-E74F7A06176C}"/>
    <cellStyle name="Normal 2 4 3 3 3 4 2 3" xfId="20744" xr:uid="{7B25B6C2-EF1B-4E0D-BCF4-EE5B16B22EC4}"/>
    <cellStyle name="Normal 2 4 3 3 3 4 2 4" xfId="29191" xr:uid="{9DA96DD5-D785-43A2-AEAF-22DE5797F0B4}"/>
    <cellStyle name="Normal 2 4 3 3 3 4 2 5" xfId="12303" xr:uid="{E1E17DCC-E1CA-464C-9E95-484C0295E5D2}"/>
    <cellStyle name="Normal 2 4 3 3 3 4 3" xfId="5934" xr:uid="{00000000-0005-0000-0000-000005100000}"/>
    <cellStyle name="Normal 2 4 3 3 3 4 3 2" xfId="22817" xr:uid="{3EBE7264-4B9C-4A7B-A06A-D5A57DF671D9}"/>
    <cellStyle name="Normal 2 4 3 3 3 4 3 3" xfId="31263" xr:uid="{32BD515C-667C-456A-A962-C9BC5F4E958F}"/>
    <cellStyle name="Normal 2 4 3 3 3 4 3 4" xfId="14376" xr:uid="{38314C7D-33CC-4969-ADB9-5C218C689D77}"/>
    <cellStyle name="Normal 2 4 3 3 3 4 4" xfId="18599" xr:uid="{F3E1AB8E-E041-4FC2-9843-BD485188FA73}"/>
    <cellStyle name="Normal 2 4 3 3 3 4 5" xfId="27044" xr:uid="{5CE8E4B1-EF7C-453C-B686-F15C77138BF5}"/>
    <cellStyle name="Normal 2 4 3 3 3 4 6" xfId="10158" xr:uid="{8A6129AA-3E01-4B3E-8A2B-40AA3953D4A4}"/>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25375" xr:uid="{5FB61A34-775F-4222-9867-503100FCB4CC}"/>
    <cellStyle name="Normal 2 4 3 3 3 5 2 2 3" xfId="33821" xr:uid="{EBDD5796-4805-4982-867F-B6D8927EC2A9}"/>
    <cellStyle name="Normal 2 4 3 3 3 5 2 2 4" xfId="16934" xr:uid="{5A3E8126-C61F-446D-BBF8-57B7F97EDF92}"/>
    <cellStyle name="Normal 2 4 3 3 3 5 2 3" xfId="21157" xr:uid="{25A26428-CB58-49B5-B75F-46063BBD013C}"/>
    <cellStyle name="Normal 2 4 3 3 3 5 2 4" xfId="29604" xr:uid="{67BDADDC-2AA1-4364-9BCB-804A42646776}"/>
    <cellStyle name="Normal 2 4 3 3 3 5 2 5" xfId="12716" xr:uid="{9B35F66F-4612-47DB-8384-70ED080ADDC3}"/>
    <cellStyle name="Normal 2 4 3 3 3 5 3" xfId="6347" xr:uid="{00000000-0005-0000-0000-000009100000}"/>
    <cellStyle name="Normal 2 4 3 3 3 5 3 2" xfId="23230" xr:uid="{54452A3B-FC85-4E5D-AB3D-4B4E55F9C6EF}"/>
    <cellStyle name="Normal 2 4 3 3 3 5 3 3" xfId="31676" xr:uid="{ED6883A2-F03D-4BB6-899F-2E2BEB99EFB8}"/>
    <cellStyle name="Normal 2 4 3 3 3 5 3 4" xfId="14789" xr:uid="{5113A5AC-B26E-448E-B145-04ABD45A1B15}"/>
    <cellStyle name="Normal 2 4 3 3 3 5 4" xfId="19012" xr:uid="{66F40247-0436-4747-A654-4301DA91CB49}"/>
    <cellStyle name="Normal 2 4 3 3 3 5 5" xfId="27457" xr:uid="{2A964B30-04A4-4897-B083-AAABE14C895D}"/>
    <cellStyle name="Normal 2 4 3 3 3 5 6" xfId="10571" xr:uid="{34124412-FAD0-4197-91CC-0DE37551EDF0}"/>
    <cellStyle name="Normal 2 4 3 3 3 6" xfId="2476" xr:uid="{00000000-0005-0000-0000-00000A100000}"/>
    <cellStyle name="Normal 2 4 3 3 3 6 2" xfId="6760" xr:uid="{00000000-0005-0000-0000-00000B100000}"/>
    <cellStyle name="Normal 2 4 3 3 3 6 2 2" xfId="23643" xr:uid="{79716197-9F04-4F1D-86B1-655B690C763D}"/>
    <cellStyle name="Normal 2 4 3 3 3 6 2 3" xfId="32089" xr:uid="{47F6AB6D-4F51-4589-BA21-445426C1383F}"/>
    <cellStyle name="Normal 2 4 3 3 3 6 2 4" xfId="15202" xr:uid="{B2BB8E14-313A-4E8F-B7FD-E561DFCD108A}"/>
    <cellStyle name="Normal 2 4 3 3 3 6 3" xfId="19425" xr:uid="{52D0E1B3-B1D5-4B92-9D74-DFBD9C448D51}"/>
    <cellStyle name="Normal 2 4 3 3 3 6 4" xfId="27870" xr:uid="{6E571518-5278-4FE2-A14F-497E65ECEE2D}"/>
    <cellStyle name="Normal 2 4 3 3 3 6 5" xfId="10984" xr:uid="{239D2C94-6FFF-42D9-8569-6DDC3527DD9B}"/>
    <cellStyle name="Normal 2 4 3 3 3 7" xfId="4694" xr:uid="{00000000-0005-0000-0000-00000C100000}"/>
    <cellStyle name="Normal 2 4 3 3 3 7 2" xfId="21577" xr:uid="{EC2DD15F-C301-4B54-97E0-CCF30A1E4421}"/>
    <cellStyle name="Normal 2 4 3 3 3 7 3" xfId="30023" xr:uid="{0BE190CA-2897-495D-B9A8-F913F9844EAB}"/>
    <cellStyle name="Normal 2 4 3 3 3 7 4" xfId="13136" xr:uid="{A7650C75-7FF0-494A-951B-8AC1CEEBB536}"/>
    <cellStyle name="Normal 2 4 3 3 3 8" xfId="17359" xr:uid="{BC90B1F3-6009-47D6-A676-45D252F91938}"/>
    <cellStyle name="Normal 2 4 3 3 3 9" xfId="25803" xr:uid="{0B8DDF48-C981-46D8-A828-54DC48D8E2F4}"/>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24133" xr:uid="{20EA9759-11D4-42F5-9197-6B38A80A003A}"/>
    <cellStyle name="Normal 2 4 3 3 4 2 2 3" xfId="32579" xr:uid="{07751855-B028-4461-A057-C011FE1AF1C6}"/>
    <cellStyle name="Normal 2 4 3 3 4 2 2 4" xfId="15692" xr:uid="{58040F11-4E97-4F02-ADDE-F750BE16B2F7}"/>
    <cellStyle name="Normal 2 4 3 3 4 2 3" xfId="19915" xr:uid="{28603BE6-5E0E-442F-9573-6CF79D5174C4}"/>
    <cellStyle name="Normal 2 4 3 3 4 2 4" xfId="28362" xr:uid="{B7338A9C-EAF7-4CCE-9518-84B3FED2606A}"/>
    <cellStyle name="Normal 2 4 3 3 4 2 5" xfId="11474" xr:uid="{E460A267-481C-43CF-876A-3FBE9ECEA832}"/>
    <cellStyle name="Normal 2 4 3 3 4 3" xfId="5105" xr:uid="{00000000-0005-0000-0000-000010100000}"/>
    <cellStyle name="Normal 2 4 3 3 4 3 2" xfId="21988" xr:uid="{9E151029-DF82-48CC-8EF3-FDB8C4B5A485}"/>
    <cellStyle name="Normal 2 4 3 3 4 3 3" xfId="30434" xr:uid="{75F6244E-C25A-4A80-A124-B80432034D1F}"/>
    <cellStyle name="Normal 2 4 3 3 4 3 4" xfId="13547" xr:uid="{96963394-6221-45CE-905E-FC9546B159C9}"/>
    <cellStyle name="Normal 2 4 3 3 4 4" xfId="17770" xr:uid="{A1F64F8E-E8D2-4184-8D13-CBC59EB45C41}"/>
    <cellStyle name="Normal 2 4 3 3 4 5" xfId="26215" xr:uid="{B3DB50CB-82B8-4500-9E37-DB7AE6C78956}"/>
    <cellStyle name="Normal 2 4 3 3 4 6" xfId="9329" xr:uid="{87EA8B27-1AA6-45EC-85A4-F9E8A9C7F049}"/>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24546" xr:uid="{64A51D99-24D4-49E2-820A-7BB5DD2428FC}"/>
    <cellStyle name="Normal 2 4 3 3 5 2 2 3" xfId="32992" xr:uid="{6603430F-308D-4286-8579-A0886E5D7555}"/>
    <cellStyle name="Normal 2 4 3 3 5 2 2 4" xfId="16105" xr:uid="{C88A5937-CB19-4DEA-B6EA-BB7FE19A3A1F}"/>
    <cellStyle name="Normal 2 4 3 3 5 2 3" xfId="20328" xr:uid="{947E0219-1C06-47A9-B7BD-D21DFEB2CE8B}"/>
    <cellStyle name="Normal 2 4 3 3 5 2 4" xfId="28775" xr:uid="{5D9C2D9D-CA55-48C4-9FAB-AECF10F84433}"/>
    <cellStyle name="Normal 2 4 3 3 5 2 5" xfId="11887" xr:uid="{87E9EECC-A536-42FB-99FD-65BC589D0781}"/>
    <cellStyle name="Normal 2 4 3 3 5 3" xfId="5518" xr:uid="{00000000-0005-0000-0000-000014100000}"/>
    <cellStyle name="Normal 2 4 3 3 5 3 2" xfId="22401" xr:uid="{41AC4ACC-0ADD-4E13-9B11-5FFC842E1E59}"/>
    <cellStyle name="Normal 2 4 3 3 5 3 3" xfId="30847" xr:uid="{64AB5A8F-AD1C-4B80-A812-F2483C5CA6F4}"/>
    <cellStyle name="Normal 2 4 3 3 5 3 4" xfId="13960" xr:uid="{096FF2BD-3ED2-4B28-B849-07B38DCC471C}"/>
    <cellStyle name="Normal 2 4 3 3 5 4" xfId="18183" xr:uid="{4CD18D98-CDB0-40A6-B85D-DFEE910FA194}"/>
    <cellStyle name="Normal 2 4 3 3 5 5" xfId="26628" xr:uid="{712FBBFF-F642-47CC-AB0B-50CEAE248603}"/>
    <cellStyle name="Normal 2 4 3 3 5 6" xfId="9742" xr:uid="{74B9C81F-2333-4F67-80AB-A88EE45B1F3C}"/>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24959" xr:uid="{5B284148-D792-49EA-AC0B-51BC0D83473B}"/>
    <cellStyle name="Normal 2 4 3 3 6 2 2 3" xfId="33405" xr:uid="{FF6CEA8D-0E0B-46EB-9480-A48E939B9318}"/>
    <cellStyle name="Normal 2 4 3 3 6 2 2 4" xfId="16518" xr:uid="{6D235610-AB53-4BB3-8E24-BD29998A807E}"/>
    <cellStyle name="Normal 2 4 3 3 6 2 3" xfId="20741" xr:uid="{F2F7A5CF-1EFB-4D10-AA95-8B93FCA425A8}"/>
    <cellStyle name="Normal 2 4 3 3 6 2 4" xfId="29188" xr:uid="{82B0F142-C82F-4C17-9C5D-EDC60DC271B8}"/>
    <cellStyle name="Normal 2 4 3 3 6 2 5" xfId="12300" xr:uid="{C083628E-2B4E-408D-9EDC-A2B4620F29B7}"/>
    <cellStyle name="Normal 2 4 3 3 6 3" xfId="5931" xr:uid="{00000000-0005-0000-0000-000018100000}"/>
    <cellStyle name="Normal 2 4 3 3 6 3 2" xfId="22814" xr:uid="{6CC9463D-B0B0-4CCC-B42C-BC4AD892987E}"/>
    <cellStyle name="Normal 2 4 3 3 6 3 3" xfId="31260" xr:uid="{E7C08ED1-8986-47A0-8038-690233C49E56}"/>
    <cellStyle name="Normal 2 4 3 3 6 3 4" xfId="14373" xr:uid="{0CFD8899-0D41-4818-BEA0-FFF7DE4DAD95}"/>
    <cellStyle name="Normal 2 4 3 3 6 4" xfId="18596" xr:uid="{ABBBB88E-9021-41B8-BC7F-144794A43589}"/>
    <cellStyle name="Normal 2 4 3 3 6 5" xfId="27041" xr:uid="{37565FFE-1AEA-40E7-88A4-B16EAD558F2A}"/>
    <cellStyle name="Normal 2 4 3 3 6 6" xfId="10155" xr:uid="{78A42AAA-D489-45EE-8D1D-3C63CEDD9AEA}"/>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25372" xr:uid="{95270812-F02F-431F-9E4A-BF371196891A}"/>
    <cellStyle name="Normal 2 4 3 3 7 2 2 3" xfId="33818" xr:uid="{76F28351-53E0-49F4-B9C8-008B14897231}"/>
    <cellStyle name="Normal 2 4 3 3 7 2 2 4" xfId="16931" xr:uid="{13350378-180D-4C9C-B5F6-9EF8564EFE0B}"/>
    <cellStyle name="Normal 2 4 3 3 7 2 3" xfId="21154" xr:uid="{B969D53B-47A4-49F8-B557-74F3432257D0}"/>
    <cellStyle name="Normal 2 4 3 3 7 2 4" xfId="29601" xr:uid="{B54D057F-C239-45D6-A06F-E06D7753DB38}"/>
    <cellStyle name="Normal 2 4 3 3 7 2 5" xfId="12713" xr:uid="{1BC3707F-0070-44EE-9DAF-A148A34B8FF5}"/>
    <cellStyle name="Normal 2 4 3 3 7 3" xfId="6344" xr:uid="{00000000-0005-0000-0000-00001C100000}"/>
    <cellStyle name="Normal 2 4 3 3 7 3 2" xfId="23227" xr:uid="{71CB4F79-B0AE-4729-BE11-1945F6D53F5B}"/>
    <cellStyle name="Normal 2 4 3 3 7 3 3" xfId="31673" xr:uid="{2B27EA6E-94E2-4E55-9F75-5949C16F60A9}"/>
    <cellStyle name="Normal 2 4 3 3 7 3 4" xfId="14786" xr:uid="{0DA0F911-1B62-4D93-B057-C2723B88D4BD}"/>
    <cellStyle name="Normal 2 4 3 3 7 4" xfId="19009" xr:uid="{2C9272B1-A541-4ADC-ABD8-C9A59A38AAEE}"/>
    <cellStyle name="Normal 2 4 3 3 7 5" xfId="27454" xr:uid="{8DABDB4E-C226-457F-839C-6DFB5BD0E1BD}"/>
    <cellStyle name="Normal 2 4 3 3 7 6" xfId="10568" xr:uid="{B83EE4CD-8C2B-43D0-8CD0-73798D0C5DF8}"/>
    <cellStyle name="Normal 2 4 3 3 8" xfId="2473" xr:uid="{00000000-0005-0000-0000-00001D100000}"/>
    <cellStyle name="Normal 2 4 3 3 8 2" xfId="6757" xr:uid="{00000000-0005-0000-0000-00001E100000}"/>
    <cellStyle name="Normal 2 4 3 3 8 2 2" xfId="23640" xr:uid="{3B68B083-C23F-4BC8-8D76-56B57EFA23F2}"/>
    <cellStyle name="Normal 2 4 3 3 8 2 3" xfId="32086" xr:uid="{CB4CBB2C-3AB0-4D20-8DBA-7E92EA9159B6}"/>
    <cellStyle name="Normal 2 4 3 3 8 2 4" xfId="15199" xr:uid="{83EBFCB8-B458-44CF-8A8C-4F3F750509D9}"/>
    <cellStyle name="Normal 2 4 3 3 8 3" xfId="19422" xr:uid="{AFC7CAEF-9621-470A-BD01-99838E6D35F3}"/>
    <cellStyle name="Normal 2 4 3 3 8 4" xfId="27867" xr:uid="{78BF1AF0-5123-4BC8-85C9-BC58277BC035}"/>
    <cellStyle name="Normal 2 4 3 3 8 5" xfId="10981" xr:uid="{84669464-694D-4885-8C35-2AF0AF510336}"/>
    <cellStyle name="Normal 2 4 3 3 9" xfId="4691" xr:uid="{00000000-0005-0000-0000-00001F100000}"/>
    <cellStyle name="Normal 2 4 3 3 9 2" xfId="21574" xr:uid="{8A4A8382-73CE-414E-B386-694686CE8F32}"/>
    <cellStyle name="Normal 2 4 3 3 9 3" xfId="30020" xr:uid="{6E6D5E72-DEB9-44CE-BBFA-C3AF345D2247}"/>
    <cellStyle name="Normal 2 4 3 3 9 4" xfId="13133" xr:uid="{8D0E38D0-120D-4700-AA5F-D18DD0EA7EA3}"/>
    <cellStyle name="Normal 2 4 3 4" xfId="787" xr:uid="{00000000-0005-0000-0000-000020100000}"/>
    <cellStyle name="Normal 2 4 3 4 2" xfId="3026" xr:uid="{00000000-0005-0000-0000-000021100000}"/>
    <cellStyle name="Normal 2 4 3 4 2 2" xfId="7249" xr:uid="{00000000-0005-0000-0000-000022100000}"/>
    <cellStyle name="Normal 2 4 3 4 2 2 2" xfId="24132" xr:uid="{31B6BFFC-B996-45F2-81A8-4CB4DD3E6BEB}"/>
    <cellStyle name="Normal 2 4 3 4 2 2 3" xfId="32578" xr:uid="{50400BEE-D8C7-4A53-9325-171EEB7E8F24}"/>
    <cellStyle name="Normal 2 4 3 4 2 2 4" xfId="15691" xr:uid="{8988FF34-B84A-41A0-8C23-1135388A6423}"/>
    <cellStyle name="Normal 2 4 3 4 2 3" xfId="19914" xr:uid="{3DC4E217-85DE-4212-91D0-08829C634FA5}"/>
    <cellStyle name="Normal 2 4 3 4 2 4" xfId="28361" xr:uid="{D5632E5D-3948-4CEB-8D75-FE1459322ABC}"/>
    <cellStyle name="Normal 2 4 3 4 2 5" xfId="11473" xr:uid="{A8242876-0636-4930-BB36-7411EA308B7D}"/>
    <cellStyle name="Normal 2 4 3 4 3" xfId="5104" xr:uid="{00000000-0005-0000-0000-000023100000}"/>
    <cellStyle name="Normal 2 4 3 4 3 2" xfId="21987" xr:uid="{9B7A31EA-C065-497E-A7A6-422E4DD8D6F4}"/>
    <cellStyle name="Normal 2 4 3 4 3 3" xfId="30433" xr:uid="{25221265-4B07-4FCF-9DDB-0DA13E1A91D3}"/>
    <cellStyle name="Normal 2 4 3 4 3 4" xfId="13546" xr:uid="{DDEEA27A-D0C0-4CF5-8799-30095D5E9841}"/>
    <cellStyle name="Normal 2 4 3 4 4" xfId="17769" xr:uid="{36EA4FC5-251E-413C-BA3F-7EA9BABCCADD}"/>
    <cellStyle name="Normal 2 4 3 4 5" xfId="26214" xr:uid="{3B9E204F-5668-4FE3-A30B-2E44AE61BE9C}"/>
    <cellStyle name="Normal 2 4 3 4 6" xfId="9328" xr:uid="{0225EE71-4060-4317-91DF-2596511E55D8}"/>
    <cellStyle name="Normal 2 4 3 5" xfId="1209" xr:uid="{00000000-0005-0000-0000-000024100000}"/>
    <cellStyle name="Normal 2 4 3 5 2" xfId="3439" xr:uid="{00000000-0005-0000-0000-000025100000}"/>
    <cellStyle name="Normal 2 4 3 5 2 2" xfId="7662" xr:uid="{00000000-0005-0000-0000-000026100000}"/>
    <cellStyle name="Normal 2 4 3 5 2 2 2" xfId="24545" xr:uid="{6A9FF453-3E9E-4F32-8674-09B7D555AEF8}"/>
    <cellStyle name="Normal 2 4 3 5 2 2 3" xfId="32991" xr:uid="{56F3D791-380B-49F6-80FC-83047423BA2A}"/>
    <cellStyle name="Normal 2 4 3 5 2 2 4" xfId="16104" xr:uid="{C0A44EFF-7109-46A6-B06C-E5D93109E507}"/>
    <cellStyle name="Normal 2 4 3 5 2 3" xfId="20327" xr:uid="{034530FA-3B0B-4415-915A-19C23A40F86E}"/>
    <cellStyle name="Normal 2 4 3 5 2 4" xfId="28774" xr:uid="{1D6711F5-184C-489A-B700-F8374B469143}"/>
    <cellStyle name="Normal 2 4 3 5 2 5" xfId="11886" xr:uid="{6D42F354-56EE-4D44-AE55-89BAFF96314C}"/>
    <cellStyle name="Normal 2 4 3 5 3" xfId="5517" xr:uid="{00000000-0005-0000-0000-000027100000}"/>
    <cellStyle name="Normal 2 4 3 5 3 2" xfId="22400" xr:uid="{1CE23647-A72C-4545-B8EC-5B40659FFF44}"/>
    <cellStyle name="Normal 2 4 3 5 3 3" xfId="30846" xr:uid="{528DA39F-2FA6-4F96-AF38-FE94B6DEF1DA}"/>
    <cellStyle name="Normal 2 4 3 5 3 4" xfId="13959" xr:uid="{716D794A-3D59-4C53-973A-9C8A7E11DEF8}"/>
    <cellStyle name="Normal 2 4 3 5 4" xfId="18182" xr:uid="{3EDD4D0D-320F-444E-AB48-4C5A15150803}"/>
    <cellStyle name="Normal 2 4 3 5 5" xfId="26627" xr:uid="{4B39315C-612F-414A-8648-A76F3BB54613}"/>
    <cellStyle name="Normal 2 4 3 5 6" xfId="9741" xr:uid="{DDD007F1-514E-41EE-8B25-072C65DAF85D}"/>
    <cellStyle name="Normal 2 4 3 6" xfId="1622" xr:uid="{00000000-0005-0000-0000-000028100000}"/>
    <cellStyle name="Normal 2 4 3 6 2" xfId="3852" xr:uid="{00000000-0005-0000-0000-000029100000}"/>
    <cellStyle name="Normal 2 4 3 6 2 2" xfId="8075" xr:uid="{00000000-0005-0000-0000-00002A100000}"/>
    <cellStyle name="Normal 2 4 3 6 2 2 2" xfId="24958" xr:uid="{FA099CFB-EAF7-4EEA-BF64-25055A95CDC0}"/>
    <cellStyle name="Normal 2 4 3 6 2 2 3" xfId="33404" xr:uid="{FE89CB4B-41E5-4021-9925-06E2B28EB5B4}"/>
    <cellStyle name="Normal 2 4 3 6 2 2 4" xfId="16517" xr:uid="{E26B5690-B979-4C7D-80D7-F8FF6742B214}"/>
    <cellStyle name="Normal 2 4 3 6 2 3" xfId="20740" xr:uid="{C16F9D6C-E9B4-4FE4-8D14-87EB5106B5BB}"/>
    <cellStyle name="Normal 2 4 3 6 2 4" xfId="29187" xr:uid="{B92CBD7F-55AE-4D22-BBFD-ABA20B0566F5}"/>
    <cellStyle name="Normal 2 4 3 6 2 5" xfId="12299" xr:uid="{6EA8D0FB-4F37-4356-889E-28DCC951DAA2}"/>
    <cellStyle name="Normal 2 4 3 6 3" xfId="5930" xr:uid="{00000000-0005-0000-0000-00002B100000}"/>
    <cellStyle name="Normal 2 4 3 6 3 2" xfId="22813" xr:uid="{7BF389E0-12C3-4942-906A-044C1A56C2AD}"/>
    <cellStyle name="Normal 2 4 3 6 3 3" xfId="31259" xr:uid="{20CC78DF-3E3C-4D60-991A-A47F5CC26612}"/>
    <cellStyle name="Normal 2 4 3 6 3 4" xfId="14372" xr:uid="{ACFEAE63-1391-463B-8A00-7B7950C9753C}"/>
    <cellStyle name="Normal 2 4 3 6 4" xfId="18595" xr:uid="{2348260E-9A14-48D2-811F-FD7D41E382C7}"/>
    <cellStyle name="Normal 2 4 3 6 5" xfId="27040" xr:uid="{46418218-9FB2-4375-9C57-6C65FC2B8B29}"/>
    <cellStyle name="Normal 2 4 3 6 6" xfId="10154" xr:uid="{BBF62638-D7ED-46C7-93D8-827571747786}"/>
    <cellStyle name="Normal 2 4 3 7" xfId="2036" xr:uid="{00000000-0005-0000-0000-00002C100000}"/>
    <cellStyle name="Normal 2 4 3 7 2" xfId="4265" xr:uid="{00000000-0005-0000-0000-00002D100000}"/>
    <cellStyle name="Normal 2 4 3 7 2 2" xfId="8488" xr:uid="{00000000-0005-0000-0000-00002E100000}"/>
    <cellStyle name="Normal 2 4 3 7 2 2 2" xfId="25371" xr:uid="{04225757-3BA0-4F90-B48E-8AEB7BC5ACE9}"/>
    <cellStyle name="Normal 2 4 3 7 2 2 3" xfId="33817" xr:uid="{913E1D2F-7920-41C8-AAFB-D9F59F48CD86}"/>
    <cellStyle name="Normal 2 4 3 7 2 2 4" xfId="16930" xr:uid="{82976E89-13E4-426D-AF43-8A7AE6D9633F}"/>
    <cellStyle name="Normal 2 4 3 7 2 3" xfId="21153" xr:uid="{777AA3A9-548C-4C93-8E94-EAA503E39CF5}"/>
    <cellStyle name="Normal 2 4 3 7 2 4" xfId="29600" xr:uid="{FDC1A72C-FA60-48C9-B94D-6EE1AFFA324C}"/>
    <cellStyle name="Normal 2 4 3 7 2 5" xfId="12712" xr:uid="{C73E77BE-CA44-4556-871E-A68C82A75AD6}"/>
    <cellStyle name="Normal 2 4 3 7 3" xfId="6343" xr:uid="{00000000-0005-0000-0000-00002F100000}"/>
    <cellStyle name="Normal 2 4 3 7 3 2" xfId="23226" xr:uid="{9A61E10C-7083-4AD7-9C48-FF2162ABDAE0}"/>
    <cellStyle name="Normal 2 4 3 7 3 3" xfId="31672" xr:uid="{7115BD0F-7829-41E9-A220-587836BC90FF}"/>
    <cellStyle name="Normal 2 4 3 7 3 4" xfId="14785" xr:uid="{1D2B19D7-F8A9-4C3B-9F2A-B1CF44C6F7DA}"/>
    <cellStyle name="Normal 2 4 3 7 4" xfId="19008" xr:uid="{F0691CDE-6D96-4208-812B-96BF1182C382}"/>
    <cellStyle name="Normal 2 4 3 7 5" xfId="27453" xr:uid="{2F641F5F-30C3-4BA4-B0F8-1F5E15397FE4}"/>
    <cellStyle name="Normal 2 4 3 7 6" xfId="10567" xr:uid="{7AC7CDED-AEE6-426D-9CA9-5F2FB7AFC587}"/>
    <cellStyle name="Normal 2 4 3 8" xfId="2472" xr:uid="{00000000-0005-0000-0000-000030100000}"/>
    <cellStyle name="Normal 2 4 3 8 2" xfId="6756" xr:uid="{00000000-0005-0000-0000-000031100000}"/>
    <cellStyle name="Normal 2 4 3 8 2 2" xfId="23639" xr:uid="{DA752F14-7DE3-4179-BA6E-930762DE84F1}"/>
    <cellStyle name="Normal 2 4 3 8 2 3" xfId="32085" xr:uid="{34CE3017-D4D4-46D7-8619-82166C42031A}"/>
    <cellStyle name="Normal 2 4 3 8 2 4" xfId="15198" xr:uid="{BD2211BA-B885-4CD5-AA32-D86609750089}"/>
    <cellStyle name="Normal 2 4 3 8 3" xfId="19421" xr:uid="{2F6FF014-6692-4A85-AB0A-128EE3CC3A42}"/>
    <cellStyle name="Normal 2 4 3 8 4" xfId="27866" xr:uid="{35DB8FF1-E78E-4989-A8F1-31FA8F183625}"/>
    <cellStyle name="Normal 2 4 3 8 5" xfId="10980" xr:uid="{A0D860D2-CD04-4344-9AFB-53513ACA724B}"/>
    <cellStyle name="Normal 2 4 3 9" xfId="4690" xr:uid="{00000000-0005-0000-0000-000032100000}"/>
    <cellStyle name="Normal 2 4 3 9 2" xfId="21573" xr:uid="{32A00119-4AF9-46E9-8A88-A4C43F419211}"/>
    <cellStyle name="Normal 2 4 3 9 3" xfId="30019" xr:uid="{C6976434-D593-4E7D-A3AB-2284204DEBDC}"/>
    <cellStyle name="Normal 2 4 3 9 4" xfId="13132" xr:uid="{889F20E2-51C4-4119-BBB8-ABC7C1BAE10E}"/>
    <cellStyle name="Normal 2 4 4" xfId="302" xr:uid="{00000000-0005-0000-0000-000033100000}"/>
    <cellStyle name="Normal 2 4 5" xfId="303" xr:uid="{00000000-0005-0000-0000-000034100000}"/>
    <cellStyle name="Normal 2 4 5 10" xfId="4695" xr:uid="{00000000-0005-0000-0000-000035100000}"/>
    <cellStyle name="Normal 2 4 5 10 2" xfId="21578" xr:uid="{53452E47-517A-4026-AF22-CED74A74BEDC}"/>
    <cellStyle name="Normal 2 4 5 10 3" xfId="30024" xr:uid="{A4AB01D1-3A9C-49DB-A0EA-010793AC2DFF}"/>
    <cellStyle name="Normal 2 4 5 10 4" xfId="13137" xr:uid="{BDCB2E7F-8D9B-4775-9D0B-F5FAE2FDCA46}"/>
    <cellStyle name="Normal 2 4 5 11" xfId="17360" xr:uid="{55419405-CDF2-4CC1-9640-7612DB821C36}"/>
    <cellStyle name="Normal 2 4 5 12" xfId="25804" xr:uid="{63599931-A94B-420B-A334-5A85AE69808D}"/>
    <cellStyle name="Normal 2 4 5 13" xfId="8919" xr:uid="{5F606E14-1B6D-4E45-BA50-E2827ADE321D}"/>
    <cellStyle name="Normal 2 4 5 2" xfId="304" xr:uid="{00000000-0005-0000-0000-000036100000}"/>
    <cellStyle name="Normal 2 4 5 2 10" xfId="17361" xr:uid="{A7625BB4-B90F-479B-9BC2-7E08B90D3158}"/>
    <cellStyle name="Normal 2 4 5 2 11" xfId="25805" xr:uid="{E98F5E3D-9ACE-404A-A291-F620033E26FB}"/>
    <cellStyle name="Normal 2 4 5 2 12" xfId="8920" xr:uid="{0B09A56D-131D-472C-B5B4-7799F2BB704F}"/>
    <cellStyle name="Normal 2 4 5 2 2" xfId="305" xr:uid="{00000000-0005-0000-0000-000037100000}"/>
    <cellStyle name="Normal 2 4 5 2 2 10" xfId="25806" xr:uid="{0DD385EB-331B-4746-A390-154B1C08AE33}"/>
    <cellStyle name="Normal 2 4 5 2 2 11" xfId="8921" xr:uid="{8F3E25C2-5776-4AAC-A6B3-9175C5DEFFC0}"/>
    <cellStyle name="Normal 2 4 5 2 2 2" xfId="306" xr:uid="{00000000-0005-0000-0000-000038100000}"/>
    <cellStyle name="Normal 2 4 5 2 2 2 10" xfId="8922" xr:uid="{FAA6C68C-F67B-4388-A9E9-710C1C82C748}"/>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24140" xr:uid="{0DA917C4-A9D7-4FEA-AF91-7F289C8F4A3E}"/>
    <cellStyle name="Normal 2 4 5 2 2 2 2 2 2 3" xfId="32586" xr:uid="{0F8400D1-D390-4E63-B6BC-16FD4DB2F437}"/>
    <cellStyle name="Normal 2 4 5 2 2 2 2 2 2 4" xfId="15699" xr:uid="{4C425D4D-59E8-4ADE-9673-D548EFF2ECA2}"/>
    <cellStyle name="Normal 2 4 5 2 2 2 2 2 3" xfId="19922" xr:uid="{1DF125C8-1BAC-4120-8F14-B39F5D839F0B}"/>
    <cellStyle name="Normal 2 4 5 2 2 2 2 2 4" xfId="28369" xr:uid="{BBB901CB-5C11-4CC6-8FE1-2754ABC5FCB1}"/>
    <cellStyle name="Normal 2 4 5 2 2 2 2 2 5" xfId="11481" xr:uid="{03FD4080-1496-4B9B-A56A-67778A27B5AC}"/>
    <cellStyle name="Normal 2 4 5 2 2 2 2 3" xfId="5112" xr:uid="{00000000-0005-0000-0000-00003C100000}"/>
    <cellStyle name="Normal 2 4 5 2 2 2 2 3 2" xfId="21995" xr:uid="{E236AB7C-7819-40A6-8303-72390F16F03B}"/>
    <cellStyle name="Normal 2 4 5 2 2 2 2 3 3" xfId="30441" xr:uid="{9276A86D-236F-492D-BF35-806BCD002904}"/>
    <cellStyle name="Normal 2 4 5 2 2 2 2 3 4" xfId="13554" xr:uid="{569177B6-1789-40C3-8624-D783FD68F01D}"/>
    <cellStyle name="Normal 2 4 5 2 2 2 2 4" xfId="17777" xr:uid="{0E1BD58F-8550-4EFB-9B2C-CA3AA25970F3}"/>
    <cellStyle name="Normal 2 4 5 2 2 2 2 5" xfId="26222" xr:uid="{30EF748C-19FC-441A-A815-AF4B9986C01B}"/>
    <cellStyle name="Normal 2 4 5 2 2 2 2 6" xfId="9336" xr:uid="{8AEDCA96-508F-4310-AFCB-DA98EECF5BF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24553" xr:uid="{E237DB7E-FD78-4BDC-A64E-366BABE967F3}"/>
    <cellStyle name="Normal 2 4 5 2 2 2 3 2 2 3" xfId="32999" xr:uid="{DA530D74-F356-4F33-AE8B-B26A53E322F0}"/>
    <cellStyle name="Normal 2 4 5 2 2 2 3 2 2 4" xfId="16112" xr:uid="{BA61E7B9-FDDA-48B6-8B12-3E04F31A417D}"/>
    <cellStyle name="Normal 2 4 5 2 2 2 3 2 3" xfId="20335" xr:uid="{56014D67-791F-42D7-81E3-9C5C2C7B3563}"/>
    <cellStyle name="Normal 2 4 5 2 2 2 3 2 4" xfId="28782" xr:uid="{1AEBAB7D-84B0-4199-A1A7-91399FD1C83D}"/>
    <cellStyle name="Normal 2 4 5 2 2 2 3 2 5" xfId="11894" xr:uid="{8B71E6FD-699D-448B-A761-1EA3B1D5B67C}"/>
    <cellStyle name="Normal 2 4 5 2 2 2 3 3" xfId="5525" xr:uid="{00000000-0005-0000-0000-000040100000}"/>
    <cellStyle name="Normal 2 4 5 2 2 2 3 3 2" xfId="22408" xr:uid="{DE366F09-D589-4EAD-B6B0-A3DBD33C1AE9}"/>
    <cellStyle name="Normal 2 4 5 2 2 2 3 3 3" xfId="30854" xr:uid="{FEAA4AA1-6151-46C3-8C3C-5B3B161A5DA5}"/>
    <cellStyle name="Normal 2 4 5 2 2 2 3 3 4" xfId="13967" xr:uid="{D0C0A688-64F4-4CA9-ABA3-AA84C4A55547}"/>
    <cellStyle name="Normal 2 4 5 2 2 2 3 4" xfId="18190" xr:uid="{9FEB055A-DCA5-4F05-A73E-518E0B6677C2}"/>
    <cellStyle name="Normal 2 4 5 2 2 2 3 5" xfId="26635" xr:uid="{2C2AB805-08F3-48F2-B847-4BF53139CEA8}"/>
    <cellStyle name="Normal 2 4 5 2 2 2 3 6" xfId="9749" xr:uid="{A3FCDCD0-B984-44FE-BE62-9532A433150B}"/>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24966" xr:uid="{9AC881B9-A53D-4145-B50F-A22BA1CFD0C2}"/>
    <cellStyle name="Normal 2 4 5 2 2 2 4 2 2 3" xfId="33412" xr:uid="{8CCC2CA4-843C-412C-A812-0382558CAF7D}"/>
    <cellStyle name="Normal 2 4 5 2 2 2 4 2 2 4" xfId="16525" xr:uid="{2A2A9693-968F-4C30-99F3-136E0E4320F6}"/>
    <cellStyle name="Normal 2 4 5 2 2 2 4 2 3" xfId="20748" xr:uid="{A9F12E52-C3F6-447B-989A-4A20A97DF57B}"/>
    <cellStyle name="Normal 2 4 5 2 2 2 4 2 4" xfId="29195" xr:uid="{817E2F97-8663-43E6-9DCD-2E394201AA70}"/>
    <cellStyle name="Normal 2 4 5 2 2 2 4 2 5" xfId="12307" xr:uid="{CF840EB5-D83E-4E12-9FA6-180D90F5019D}"/>
    <cellStyle name="Normal 2 4 5 2 2 2 4 3" xfId="5938" xr:uid="{00000000-0005-0000-0000-000044100000}"/>
    <cellStyle name="Normal 2 4 5 2 2 2 4 3 2" xfId="22821" xr:uid="{A309203C-1C51-48A1-9B4D-8EE54671E24F}"/>
    <cellStyle name="Normal 2 4 5 2 2 2 4 3 3" xfId="31267" xr:uid="{043A0F01-05F9-4D77-80DE-952A172B9E0B}"/>
    <cellStyle name="Normal 2 4 5 2 2 2 4 3 4" xfId="14380" xr:uid="{9C372A0A-A619-4C87-BFD7-CEB8921EF9BE}"/>
    <cellStyle name="Normal 2 4 5 2 2 2 4 4" xfId="18603" xr:uid="{15DE22EB-8BB9-4046-8B2E-981E997A224E}"/>
    <cellStyle name="Normal 2 4 5 2 2 2 4 5" xfId="27048" xr:uid="{3819AFB6-2E91-4267-93C6-0209751B46A6}"/>
    <cellStyle name="Normal 2 4 5 2 2 2 4 6" xfId="10162" xr:uid="{1A6BEBD1-5CAD-466D-B2CD-44BC3D0A1AA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25379" xr:uid="{C3A22907-C808-46FB-AA7F-1508FA034FF8}"/>
    <cellStyle name="Normal 2 4 5 2 2 2 5 2 2 3" xfId="33825" xr:uid="{622B6146-075B-43FB-8A97-152D4A992EFE}"/>
    <cellStyle name="Normal 2 4 5 2 2 2 5 2 2 4" xfId="16938" xr:uid="{AFF4EA28-910F-4A45-B775-7F600A8FAAE5}"/>
    <cellStyle name="Normal 2 4 5 2 2 2 5 2 3" xfId="21161" xr:uid="{307A4500-F644-46C0-A258-8B3F7A00C7C1}"/>
    <cellStyle name="Normal 2 4 5 2 2 2 5 2 4" xfId="29608" xr:uid="{871665F3-B8B2-4B15-865E-D6E899CB6D85}"/>
    <cellStyle name="Normal 2 4 5 2 2 2 5 2 5" xfId="12720" xr:uid="{8E636327-96A3-47C7-AB17-2557406089ED}"/>
    <cellStyle name="Normal 2 4 5 2 2 2 5 3" xfId="6351" xr:uid="{00000000-0005-0000-0000-000048100000}"/>
    <cellStyle name="Normal 2 4 5 2 2 2 5 3 2" xfId="23234" xr:uid="{DA26E8D6-3F76-4975-9198-B100DE685175}"/>
    <cellStyle name="Normal 2 4 5 2 2 2 5 3 3" xfId="31680" xr:uid="{0B725B59-8448-480C-A4F2-BBD94214F2F0}"/>
    <cellStyle name="Normal 2 4 5 2 2 2 5 3 4" xfId="14793" xr:uid="{FCEE18ED-FA8D-4D0F-AADF-577859400682}"/>
    <cellStyle name="Normal 2 4 5 2 2 2 5 4" xfId="19016" xr:uid="{F7C8A341-DAB9-4BCE-B41F-EC61CAF24F03}"/>
    <cellStyle name="Normal 2 4 5 2 2 2 5 5" xfId="27461" xr:uid="{43541BF8-7F42-4C0B-9CE0-49B7AC2F902C}"/>
    <cellStyle name="Normal 2 4 5 2 2 2 5 6" xfId="10575" xr:uid="{814F1DD1-C199-478F-9E49-9FBB1A90FEE9}"/>
    <cellStyle name="Normal 2 4 5 2 2 2 6" xfId="2480" xr:uid="{00000000-0005-0000-0000-000049100000}"/>
    <cellStyle name="Normal 2 4 5 2 2 2 6 2" xfId="6764" xr:uid="{00000000-0005-0000-0000-00004A100000}"/>
    <cellStyle name="Normal 2 4 5 2 2 2 6 2 2" xfId="23647" xr:uid="{E94AB4D5-F144-4248-B0D4-60BE3415ABEC}"/>
    <cellStyle name="Normal 2 4 5 2 2 2 6 2 3" xfId="32093" xr:uid="{E52E47FF-962D-4166-BBFB-EAC4B18B00D2}"/>
    <cellStyle name="Normal 2 4 5 2 2 2 6 2 4" xfId="15206" xr:uid="{EE2E6734-2205-45D1-A511-582757C53710}"/>
    <cellStyle name="Normal 2 4 5 2 2 2 6 3" xfId="19429" xr:uid="{B474F928-CF1A-4B58-B0CE-4580A18E18F4}"/>
    <cellStyle name="Normal 2 4 5 2 2 2 6 4" xfId="27874" xr:uid="{ED1F1041-72D4-4192-AAAF-88DA84A8C348}"/>
    <cellStyle name="Normal 2 4 5 2 2 2 6 5" xfId="10988" xr:uid="{9530A772-86E2-4CB7-A178-93D87AD61DCB}"/>
    <cellStyle name="Normal 2 4 5 2 2 2 7" xfId="4698" xr:uid="{00000000-0005-0000-0000-00004B100000}"/>
    <cellStyle name="Normal 2 4 5 2 2 2 7 2" xfId="21581" xr:uid="{9FB2D2BA-EDF8-43FA-90D7-C57A7EC53D0A}"/>
    <cellStyle name="Normal 2 4 5 2 2 2 7 3" xfId="30027" xr:uid="{78542D23-BA40-4F43-80DC-8FAE201D9474}"/>
    <cellStyle name="Normal 2 4 5 2 2 2 7 4" xfId="13140" xr:uid="{AE7B649E-1E03-4BB9-84FE-B5DE19655586}"/>
    <cellStyle name="Normal 2 4 5 2 2 2 8" xfId="17363" xr:uid="{4AE6BFA5-17D7-4615-BA4C-38927B3CB198}"/>
    <cellStyle name="Normal 2 4 5 2 2 2 9" xfId="25807" xr:uid="{1EA1AE99-652F-4555-896C-AEB2C14A5AE7}"/>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24139" xr:uid="{CEF6F0AF-AEB3-41C4-9973-1FBA7C53698F}"/>
    <cellStyle name="Normal 2 4 5 2 2 3 2 2 3" xfId="32585" xr:uid="{5E218002-B250-4413-92DA-D69A6C1218F8}"/>
    <cellStyle name="Normal 2 4 5 2 2 3 2 2 4" xfId="15698" xr:uid="{B1469728-91F6-4C31-88BB-4E8B537FF516}"/>
    <cellStyle name="Normal 2 4 5 2 2 3 2 3" xfId="19921" xr:uid="{54982190-F746-4DDC-876F-26E94A27B534}"/>
    <cellStyle name="Normal 2 4 5 2 2 3 2 4" xfId="28368" xr:uid="{E303D05F-CD0E-4DD6-904E-0B980BBBA6EE}"/>
    <cellStyle name="Normal 2 4 5 2 2 3 2 5" xfId="11480" xr:uid="{C438FB5D-406A-4909-A63B-7071EBD50B06}"/>
    <cellStyle name="Normal 2 4 5 2 2 3 3" xfId="5111" xr:uid="{00000000-0005-0000-0000-00004F100000}"/>
    <cellStyle name="Normal 2 4 5 2 2 3 3 2" xfId="21994" xr:uid="{E3D8C111-7A04-4748-A136-6D3C23CA478F}"/>
    <cellStyle name="Normal 2 4 5 2 2 3 3 3" xfId="30440" xr:uid="{75A53DE1-D80E-476E-A984-2E7B6E07E74B}"/>
    <cellStyle name="Normal 2 4 5 2 2 3 3 4" xfId="13553" xr:uid="{91AECF96-EB3E-4F6F-82EB-5D9AE5A22F59}"/>
    <cellStyle name="Normal 2 4 5 2 2 3 4" xfId="17776" xr:uid="{2BCD90C9-383E-48CA-8B3B-009727ED166D}"/>
    <cellStyle name="Normal 2 4 5 2 2 3 5" xfId="26221" xr:uid="{EA5722EA-1066-4E1D-AF77-ADCF40C067B4}"/>
    <cellStyle name="Normal 2 4 5 2 2 3 6" xfId="9335" xr:uid="{713EE296-50AF-438C-A33A-D5D85544104F}"/>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24552" xr:uid="{A90C68AA-5515-4DCE-9CA0-8DEF229BE314}"/>
    <cellStyle name="Normal 2 4 5 2 2 4 2 2 3" xfId="32998" xr:uid="{EEB8CF4B-CCEF-4EE7-8136-496E1237CCE9}"/>
    <cellStyle name="Normal 2 4 5 2 2 4 2 2 4" xfId="16111" xr:uid="{E6AAA319-D247-4CDA-8F94-4972C361BE7E}"/>
    <cellStyle name="Normal 2 4 5 2 2 4 2 3" xfId="20334" xr:uid="{ABE9A05F-DBA9-4F6D-BBDA-F137E5E16520}"/>
    <cellStyle name="Normal 2 4 5 2 2 4 2 4" xfId="28781" xr:uid="{EEEFA01A-25BD-4079-84DB-42F45F07F472}"/>
    <cellStyle name="Normal 2 4 5 2 2 4 2 5" xfId="11893" xr:uid="{69870A57-BB19-4688-BFD0-3EC9F6F83BB9}"/>
    <cellStyle name="Normal 2 4 5 2 2 4 3" xfId="5524" xr:uid="{00000000-0005-0000-0000-000053100000}"/>
    <cellStyle name="Normal 2 4 5 2 2 4 3 2" xfId="22407" xr:uid="{7196CE03-1376-45AA-8434-E07211F9D679}"/>
    <cellStyle name="Normal 2 4 5 2 2 4 3 3" xfId="30853" xr:uid="{E673D444-8531-4052-9FCD-38806525EA86}"/>
    <cellStyle name="Normal 2 4 5 2 2 4 3 4" xfId="13966" xr:uid="{BBB4B49B-5770-4923-B4F3-1147DF698AAD}"/>
    <cellStyle name="Normal 2 4 5 2 2 4 4" xfId="18189" xr:uid="{4DF73EA1-FAF1-44DF-B1FA-79E476D848FD}"/>
    <cellStyle name="Normal 2 4 5 2 2 4 5" xfId="26634" xr:uid="{44B41FCC-81A8-4338-BF2D-7C63C7535FD2}"/>
    <cellStyle name="Normal 2 4 5 2 2 4 6" xfId="9748" xr:uid="{473B866C-A6F9-4C09-A063-FA526A11E9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24965" xr:uid="{897D0FC4-BE36-4DCC-854C-845C3B3E7601}"/>
    <cellStyle name="Normal 2 4 5 2 2 5 2 2 3" xfId="33411" xr:uid="{4AC7B09D-5837-4549-A9FF-38D0775266D4}"/>
    <cellStyle name="Normal 2 4 5 2 2 5 2 2 4" xfId="16524" xr:uid="{A562DF68-DDDB-4787-B8D3-AFD951F2C19A}"/>
    <cellStyle name="Normal 2 4 5 2 2 5 2 3" xfId="20747" xr:uid="{FA877E03-414C-43EC-AE90-F5A9108B7701}"/>
    <cellStyle name="Normal 2 4 5 2 2 5 2 4" xfId="29194" xr:uid="{6628002C-F185-4CF2-B5FE-CC32032BE1F5}"/>
    <cellStyle name="Normal 2 4 5 2 2 5 2 5" xfId="12306" xr:uid="{00BA5A5F-B575-4DD6-A167-7ACB54F3C314}"/>
    <cellStyle name="Normal 2 4 5 2 2 5 3" xfId="5937" xr:uid="{00000000-0005-0000-0000-000057100000}"/>
    <cellStyle name="Normal 2 4 5 2 2 5 3 2" xfId="22820" xr:uid="{3A5FCFE2-B681-4339-BEDC-7AD73D3B9EC8}"/>
    <cellStyle name="Normal 2 4 5 2 2 5 3 3" xfId="31266" xr:uid="{DF41A4E6-F6CE-4442-B769-C147DAF6DFC3}"/>
    <cellStyle name="Normal 2 4 5 2 2 5 3 4" xfId="14379" xr:uid="{FE0D492E-15DC-4194-987C-C1970D1939C4}"/>
    <cellStyle name="Normal 2 4 5 2 2 5 4" xfId="18602" xr:uid="{BE913EFF-2F0C-44AD-ACAE-0729BCEB79B2}"/>
    <cellStyle name="Normal 2 4 5 2 2 5 5" xfId="27047" xr:uid="{78556507-9CD4-4B25-BB6D-ACE36B68812A}"/>
    <cellStyle name="Normal 2 4 5 2 2 5 6" xfId="10161" xr:uid="{31C55005-C855-4EB6-9D3A-BEC3394F9604}"/>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25378" xr:uid="{7B09B9A6-505A-4A94-A02A-240B3C5D61D7}"/>
    <cellStyle name="Normal 2 4 5 2 2 6 2 2 3" xfId="33824" xr:uid="{22C21F20-6044-4FCC-82FF-44A55890F505}"/>
    <cellStyle name="Normal 2 4 5 2 2 6 2 2 4" xfId="16937" xr:uid="{FA09AAED-2343-4FBD-ACD0-07DB1093D0F3}"/>
    <cellStyle name="Normal 2 4 5 2 2 6 2 3" xfId="21160" xr:uid="{F54BE0C6-333C-4DC6-A589-8222EFA90332}"/>
    <cellStyle name="Normal 2 4 5 2 2 6 2 4" xfId="29607" xr:uid="{D4C25350-87C9-40BE-9BF8-6B487F9412A3}"/>
    <cellStyle name="Normal 2 4 5 2 2 6 2 5" xfId="12719" xr:uid="{A3C1FB74-3188-49C8-A99F-E9B99F723F1B}"/>
    <cellStyle name="Normal 2 4 5 2 2 6 3" xfId="6350" xr:uid="{00000000-0005-0000-0000-00005B100000}"/>
    <cellStyle name="Normal 2 4 5 2 2 6 3 2" xfId="23233" xr:uid="{EACF2B7E-0650-4172-8275-E963666B5110}"/>
    <cellStyle name="Normal 2 4 5 2 2 6 3 3" xfId="31679" xr:uid="{896E7FF8-0D84-431B-BE70-0108BF68DD6B}"/>
    <cellStyle name="Normal 2 4 5 2 2 6 3 4" xfId="14792" xr:uid="{E75BE2B7-5889-4F4F-8C79-C8EEE9270452}"/>
    <cellStyle name="Normal 2 4 5 2 2 6 4" xfId="19015" xr:uid="{354F0724-DE80-426F-AB70-D79092B5C8FC}"/>
    <cellStyle name="Normal 2 4 5 2 2 6 5" xfId="27460" xr:uid="{AED61EBE-9C68-4F15-B196-E7A1EC60A7A0}"/>
    <cellStyle name="Normal 2 4 5 2 2 6 6" xfId="10574" xr:uid="{48087FFE-EC9C-4944-AB42-743678C09553}"/>
    <cellStyle name="Normal 2 4 5 2 2 7" xfId="2479" xr:uid="{00000000-0005-0000-0000-00005C100000}"/>
    <cellStyle name="Normal 2 4 5 2 2 7 2" xfId="6763" xr:uid="{00000000-0005-0000-0000-00005D100000}"/>
    <cellStyle name="Normal 2 4 5 2 2 7 2 2" xfId="23646" xr:uid="{2FB22833-51E8-4BDF-8C97-48FB1D2857D4}"/>
    <cellStyle name="Normal 2 4 5 2 2 7 2 3" xfId="32092" xr:uid="{80B0BCDD-B71D-4E68-BB98-6EFE230DD62D}"/>
    <cellStyle name="Normal 2 4 5 2 2 7 2 4" xfId="15205" xr:uid="{D8A25589-EBD5-4800-8705-FE329D675F04}"/>
    <cellStyle name="Normal 2 4 5 2 2 7 3" xfId="19428" xr:uid="{9F30E7B2-5D0B-429A-80F8-56FDB4ECC7C6}"/>
    <cellStyle name="Normal 2 4 5 2 2 7 4" xfId="27873" xr:uid="{6B771B9E-6D0E-4239-AF87-DC489A49FB65}"/>
    <cellStyle name="Normal 2 4 5 2 2 7 5" xfId="10987" xr:uid="{48CA0C01-4152-44D5-AC6E-FA5CF4C29FBD}"/>
    <cellStyle name="Normal 2 4 5 2 2 8" xfId="4697" xr:uid="{00000000-0005-0000-0000-00005E100000}"/>
    <cellStyle name="Normal 2 4 5 2 2 8 2" xfId="21580" xr:uid="{A3822A38-8A4B-44B0-9E8C-6CF77512FB26}"/>
    <cellStyle name="Normal 2 4 5 2 2 8 3" xfId="30026" xr:uid="{8A2D444C-E848-42C4-8F8B-CCA24076AA2C}"/>
    <cellStyle name="Normal 2 4 5 2 2 8 4" xfId="13139" xr:uid="{36CBA8E2-6FE7-4605-B3F3-87AC0CB38215}"/>
    <cellStyle name="Normal 2 4 5 2 2 9" xfId="17362" xr:uid="{ACE5812C-A047-4929-9BCC-E50BDD377F19}"/>
    <cellStyle name="Normal 2 4 5 2 3" xfId="307" xr:uid="{00000000-0005-0000-0000-00005F100000}"/>
    <cellStyle name="Normal 2 4 5 2 3 10" xfId="8923" xr:uid="{C30678E2-A577-4287-92D1-BC113976D567}"/>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24141" xr:uid="{98474C0A-CDB8-4143-AD21-1344A35C3F55}"/>
    <cellStyle name="Normal 2 4 5 2 3 2 2 2 3" xfId="32587" xr:uid="{1306DB9B-22DD-4371-92FE-FE3186897861}"/>
    <cellStyle name="Normal 2 4 5 2 3 2 2 2 4" xfId="15700" xr:uid="{175793C1-C6B3-4C6F-BA8C-E648CF6C9275}"/>
    <cellStyle name="Normal 2 4 5 2 3 2 2 3" xfId="19923" xr:uid="{70110044-2172-4778-9DD4-341763D14C2A}"/>
    <cellStyle name="Normal 2 4 5 2 3 2 2 4" xfId="28370" xr:uid="{EADF3A54-8650-448B-8060-B5522C22B148}"/>
    <cellStyle name="Normal 2 4 5 2 3 2 2 5" xfId="11482" xr:uid="{73F49EBB-CE09-43B2-AAD6-F975734D1827}"/>
    <cellStyle name="Normal 2 4 5 2 3 2 3" xfId="5113" xr:uid="{00000000-0005-0000-0000-000063100000}"/>
    <cellStyle name="Normal 2 4 5 2 3 2 3 2" xfId="21996" xr:uid="{67DBB495-D5ED-45DE-B52C-837B9BA8A4CB}"/>
    <cellStyle name="Normal 2 4 5 2 3 2 3 3" xfId="30442" xr:uid="{07EE4D3F-270E-4873-BB37-2E7B66B46A65}"/>
    <cellStyle name="Normal 2 4 5 2 3 2 3 4" xfId="13555" xr:uid="{768DDD45-705D-494C-A2DC-3C9372CA7971}"/>
    <cellStyle name="Normal 2 4 5 2 3 2 4" xfId="17778" xr:uid="{A3BA622D-40FA-4C42-83A4-1180AC67B685}"/>
    <cellStyle name="Normal 2 4 5 2 3 2 5" xfId="26223" xr:uid="{92EF9958-283F-424A-B466-90F4F4054BBC}"/>
    <cellStyle name="Normal 2 4 5 2 3 2 6" xfId="9337" xr:uid="{57097BE4-673A-446A-8F93-1FC1327EFAE3}"/>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24554" xr:uid="{5C56F1E5-F27B-4F49-A47E-058C19C48D0F}"/>
    <cellStyle name="Normal 2 4 5 2 3 3 2 2 3" xfId="33000" xr:uid="{66EF0342-0B5C-4442-9CCA-29D0F78C3F19}"/>
    <cellStyle name="Normal 2 4 5 2 3 3 2 2 4" xfId="16113" xr:uid="{066BEE64-217B-4B6B-8F01-523188EE16BC}"/>
    <cellStyle name="Normal 2 4 5 2 3 3 2 3" xfId="20336" xr:uid="{3F78EEEA-B86F-4417-9523-F211DE6A9BF9}"/>
    <cellStyle name="Normal 2 4 5 2 3 3 2 4" xfId="28783" xr:uid="{327380AE-8F93-49F9-A3E2-043A8BAA0F4A}"/>
    <cellStyle name="Normal 2 4 5 2 3 3 2 5" xfId="11895" xr:uid="{33493CE9-1D39-4870-89A3-8A1A70B78A05}"/>
    <cellStyle name="Normal 2 4 5 2 3 3 3" xfId="5526" xr:uid="{00000000-0005-0000-0000-000067100000}"/>
    <cellStyle name="Normal 2 4 5 2 3 3 3 2" xfId="22409" xr:uid="{50592B8A-2DE2-4287-965D-CD07C87CF74B}"/>
    <cellStyle name="Normal 2 4 5 2 3 3 3 3" xfId="30855" xr:uid="{9047E20D-F9A6-4A9B-9229-4490F57A2E6C}"/>
    <cellStyle name="Normal 2 4 5 2 3 3 3 4" xfId="13968" xr:uid="{8B77AB9B-3E0C-4130-AA74-3965A9DBF839}"/>
    <cellStyle name="Normal 2 4 5 2 3 3 4" xfId="18191" xr:uid="{4E412DF3-8771-40C9-9BCA-FBC937FFECB1}"/>
    <cellStyle name="Normal 2 4 5 2 3 3 5" xfId="26636" xr:uid="{4CBB0783-E150-46EB-BBFD-9A7F40110B1A}"/>
    <cellStyle name="Normal 2 4 5 2 3 3 6" xfId="9750" xr:uid="{DFED3391-3325-473D-916D-20653D0385D4}"/>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24967" xr:uid="{9E8FA098-A59E-407E-8CF6-A013FB552C34}"/>
    <cellStyle name="Normal 2 4 5 2 3 4 2 2 3" xfId="33413" xr:uid="{A77CBD08-BF20-4C73-8ED3-EE56A9AE8560}"/>
    <cellStyle name="Normal 2 4 5 2 3 4 2 2 4" xfId="16526" xr:uid="{29E6A1FB-D4DA-44DC-BD22-743279CF6747}"/>
    <cellStyle name="Normal 2 4 5 2 3 4 2 3" xfId="20749" xr:uid="{26FB3437-3232-4FE8-A9B3-80F9E8A6C55B}"/>
    <cellStyle name="Normal 2 4 5 2 3 4 2 4" xfId="29196" xr:uid="{74F6C5BD-01D9-4F63-838B-C434749EBFF3}"/>
    <cellStyle name="Normal 2 4 5 2 3 4 2 5" xfId="12308" xr:uid="{2A75397D-12D2-4814-8BD0-4F9C358DD289}"/>
    <cellStyle name="Normal 2 4 5 2 3 4 3" xfId="5939" xr:uid="{00000000-0005-0000-0000-00006B100000}"/>
    <cellStyle name="Normal 2 4 5 2 3 4 3 2" xfId="22822" xr:uid="{787A1396-F4D0-4D41-BE9D-CDB3F9DBC363}"/>
    <cellStyle name="Normal 2 4 5 2 3 4 3 3" xfId="31268" xr:uid="{B41471E6-8B91-4049-BB0D-CFA096EFFA5D}"/>
    <cellStyle name="Normal 2 4 5 2 3 4 3 4" xfId="14381" xr:uid="{B240D036-85B4-4A54-8248-1EC504B7DFE8}"/>
    <cellStyle name="Normal 2 4 5 2 3 4 4" xfId="18604" xr:uid="{A64028FA-67B6-40B4-9788-035B6534EF6B}"/>
    <cellStyle name="Normal 2 4 5 2 3 4 5" xfId="27049" xr:uid="{8DEA8156-3010-4B4D-AEB6-BE27651CB108}"/>
    <cellStyle name="Normal 2 4 5 2 3 4 6" xfId="10163" xr:uid="{FDC10EFA-CF43-4B45-9CC7-7781AFDF7DCA}"/>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25380" xr:uid="{FCC0E11B-674A-4AD3-B475-427BD7EF1130}"/>
    <cellStyle name="Normal 2 4 5 2 3 5 2 2 3" xfId="33826" xr:uid="{BF7E95B8-551F-4696-AC1E-FC5268368246}"/>
    <cellStyle name="Normal 2 4 5 2 3 5 2 2 4" xfId="16939" xr:uid="{0D3547DF-7D68-4FEE-AE64-8BA71EF51AFD}"/>
    <cellStyle name="Normal 2 4 5 2 3 5 2 3" xfId="21162" xr:uid="{F960C9BE-6D78-4F33-9588-C79F7A2D48C9}"/>
    <cellStyle name="Normal 2 4 5 2 3 5 2 4" xfId="29609" xr:uid="{E903BF7B-D3BB-4308-B8C4-0A525C0A62AF}"/>
    <cellStyle name="Normal 2 4 5 2 3 5 2 5" xfId="12721" xr:uid="{2E5E08E1-206B-4EBD-ACA9-6A4C35AAC49A}"/>
    <cellStyle name="Normal 2 4 5 2 3 5 3" xfId="6352" xr:uid="{00000000-0005-0000-0000-00006F100000}"/>
    <cellStyle name="Normal 2 4 5 2 3 5 3 2" xfId="23235" xr:uid="{9C567A7C-B6DC-4303-8273-013949009BA5}"/>
    <cellStyle name="Normal 2 4 5 2 3 5 3 3" xfId="31681" xr:uid="{93D2CBCA-C3C5-48BA-9037-2DF00A1BAF0D}"/>
    <cellStyle name="Normal 2 4 5 2 3 5 3 4" xfId="14794" xr:uid="{4F30DAA0-C32A-4300-9FF6-AF18B2CD4818}"/>
    <cellStyle name="Normal 2 4 5 2 3 5 4" xfId="19017" xr:uid="{556A0854-FA4A-48E6-B955-F372FECC4398}"/>
    <cellStyle name="Normal 2 4 5 2 3 5 5" xfId="27462" xr:uid="{22FB1998-634A-43F9-B9C8-750EAA9DB2F1}"/>
    <cellStyle name="Normal 2 4 5 2 3 5 6" xfId="10576" xr:uid="{D362F569-B5F0-434F-ADE1-34DD22628BB5}"/>
    <cellStyle name="Normal 2 4 5 2 3 6" xfId="2481" xr:uid="{00000000-0005-0000-0000-000070100000}"/>
    <cellStyle name="Normal 2 4 5 2 3 6 2" xfId="6765" xr:uid="{00000000-0005-0000-0000-000071100000}"/>
    <cellStyle name="Normal 2 4 5 2 3 6 2 2" xfId="23648" xr:uid="{C4BB265A-4AFD-4BF5-80CA-1CC248C0C4C8}"/>
    <cellStyle name="Normal 2 4 5 2 3 6 2 3" xfId="32094" xr:uid="{797F9981-FE95-44F1-8B7D-821D3117E8D4}"/>
    <cellStyle name="Normal 2 4 5 2 3 6 2 4" xfId="15207" xr:uid="{7B778635-C79F-4ED9-9551-A1E157E3C241}"/>
    <cellStyle name="Normal 2 4 5 2 3 6 3" xfId="19430" xr:uid="{FC3EED88-3DA8-44EF-A8AF-91AB12F4C344}"/>
    <cellStyle name="Normal 2 4 5 2 3 6 4" xfId="27875" xr:uid="{DE6D5A54-90B0-4493-AD1B-351ECBD95937}"/>
    <cellStyle name="Normal 2 4 5 2 3 6 5" xfId="10989" xr:uid="{3500C448-5019-4C57-8D9F-27357F547555}"/>
    <cellStyle name="Normal 2 4 5 2 3 7" xfId="4699" xr:uid="{00000000-0005-0000-0000-000072100000}"/>
    <cellStyle name="Normal 2 4 5 2 3 7 2" xfId="21582" xr:uid="{EDA76975-739B-4DAB-82AF-60746B612074}"/>
    <cellStyle name="Normal 2 4 5 2 3 7 3" xfId="30028" xr:uid="{40E21799-40F2-4ED4-92D0-F406C05F69E4}"/>
    <cellStyle name="Normal 2 4 5 2 3 7 4" xfId="13141" xr:uid="{91144C3F-7260-4585-8AF6-72D15775D6CD}"/>
    <cellStyle name="Normal 2 4 5 2 3 8" xfId="17364" xr:uid="{94D4C4AE-0CC9-4F9A-89AA-6ACA2448EEDD}"/>
    <cellStyle name="Normal 2 4 5 2 3 9" xfId="25808" xr:uid="{27E17F64-E051-4F72-9C3A-4440A34E97DF}"/>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24138" xr:uid="{777B3D4B-6C57-4A37-A93F-7CDDB988F266}"/>
    <cellStyle name="Normal 2 4 5 2 4 2 2 3" xfId="32584" xr:uid="{486D1156-3B19-42BB-9578-8A0A8149D7D0}"/>
    <cellStyle name="Normal 2 4 5 2 4 2 2 4" xfId="15697" xr:uid="{688588BE-9914-4B9D-8119-C8C135303262}"/>
    <cellStyle name="Normal 2 4 5 2 4 2 3" xfId="19920" xr:uid="{E0FC0367-8F19-4825-AB2C-089E0C868626}"/>
    <cellStyle name="Normal 2 4 5 2 4 2 4" xfId="28367" xr:uid="{F0DE5370-4626-4D34-90FF-F8DC05CC3832}"/>
    <cellStyle name="Normal 2 4 5 2 4 2 5" xfId="11479" xr:uid="{63EA0B62-1424-4B18-A944-E6C7E5E21940}"/>
    <cellStyle name="Normal 2 4 5 2 4 3" xfId="5110" xr:uid="{00000000-0005-0000-0000-000076100000}"/>
    <cellStyle name="Normal 2 4 5 2 4 3 2" xfId="21993" xr:uid="{B2E027A2-86DA-45B0-88EC-2AED84407EF8}"/>
    <cellStyle name="Normal 2 4 5 2 4 3 3" xfId="30439" xr:uid="{6B134CAE-470F-4D1D-972D-36F1C36F1429}"/>
    <cellStyle name="Normal 2 4 5 2 4 3 4" xfId="13552" xr:uid="{1F13C89E-E6F9-4097-8C85-21EF173B9C13}"/>
    <cellStyle name="Normal 2 4 5 2 4 4" xfId="17775" xr:uid="{36EFF50D-116D-4F51-86AB-6C7220C68A4D}"/>
    <cellStyle name="Normal 2 4 5 2 4 5" xfId="26220" xr:uid="{FC30A979-C5BB-4253-8BEA-E22A6EA43CE8}"/>
    <cellStyle name="Normal 2 4 5 2 4 6" xfId="9334" xr:uid="{C7A01F4C-6528-4D80-896D-C6F54E2C7977}"/>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24551" xr:uid="{8A581900-B5E6-4600-8C4D-D4F8881975FB}"/>
    <cellStyle name="Normal 2 4 5 2 5 2 2 3" xfId="32997" xr:uid="{008D684E-B5A3-47CE-A14E-3C22794E16FF}"/>
    <cellStyle name="Normal 2 4 5 2 5 2 2 4" xfId="16110" xr:uid="{62DD9963-C15F-463C-A3F8-A240E2687757}"/>
    <cellStyle name="Normal 2 4 5 2 5 2 3" xfId="20333" xr:uid="{B50D6BFC-EEB3-4B9D-A5C8-0CDEBB0CFEDB}"/>
    <cellStyle name="Normal 2 4 5 2 5 2 4" xfId="28780" xr:uid="{F5E9038E-CC08-49EE-B3BC-5FA4DCEBFEB1}"/>
    <cellStyle name="Normal 2 4 5 2 5 2 5" xfId="11892" xr:uid="{93D6334E-5861-4E7F-B988-88397163DA20}"/>
    <cellStyle name="Normal 2 4 5 2 5 3" xfId="5523" xr:uid="{00000000-0005-0000-0000-00007A100000}"/>
    <cellStyle name="Normal 2 4 5 2 5 3 2" xfId="22406" xr:uid="{44DFEFB5-42C2-4DB6-B3F7-0E5F2185A9B1}"/>
    <cellStyle name="Normal 2 4 5 2 5 3 3" xfId="30852" xr:uid="{6461308C-B74B-4EDF-B972-877F6B580FED}"/>
    <cellStyle name="Normal 2 4 5 2 5 3 4" xfId="13965" xr:uid="{6C0D4353-A89B-48D0-A29D-E5629A28C2DB}"/>
    <cellStyle name="Normal 2 4 5 2 5 4" xfId="18188" xr:uid="{4E27CC41-FE2F-49CB-9ECA-BFAB4A73CE43}"/>
    <cellStyle name="Normal 2 4 5 2 5 5" xfId="26633" xr:uid="{5A6302E4-9B19-4A4D-A38A-5E9A0A879596}"/>
    <cellStyle name="Normal 2 4 5 2 5 6" xfId="9747" xr:uid="{5A7CD019-6553-47A3-904E-E9E7A646F94A}"/>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24964" xr:uid="{A6656DAB-345F-4E42-A146-7D6A635B5C1F}"/>
    <cellStyle name="Normal 2 4 5 2 6 2 2 3" xfId="33410" xr:uid="{D38EDAD6-A94F-4508-96B1-53BC7DA0C83F}"/>
    <cellStyle name="Normal 2 4 5 2 6 2 2 4" xfId="16523" xr:uid="{4EE48D59-72ED-492C-AF63-94C1425A6134}"/>
    <cellStyle name="Normal 2 4 5 2 6 2 3" xfId="20746" xr:uid="{7FF41470-6FCA-4F37-9D85-F0493311DD38}"/>
    <cellStyle name="Normal 2 4 5 2 6 2 4" xfId="29193" xr:uid="{46E10C94-B41B-44F9-990F-E0DD68D75918}"/>
    <cellStyle name="Normal 2 4 5 2 6 2 5" xfId="12305" xr:uid="{47EC76A7-9528-4E97-8E7F-CE562F4C3DD9}"/>
    <cellStyle name="Normal 2 4 5 2 6 3" xfId="5936" xr:uid="{00000000-0005-0000-0000-00007E100000}"/>
    <cellStyle name="Normal 2 4 5 2 6 3 2" xfId="22819" xr:uid="{983AEA21-4F42-48EE-898F-D019E716582B}"/>
    <cellStyle name="Normal 2 4 5 2 6 3 3" xfId="31265" xr:uid="{4E690E60-F315-4E07-BFDF-E47A92FA8C46}"/>
    <cellStyle name="Normal 2 4 5 2 6 3 4" xfId="14378" xr:uid="{C2E7B5C4-DD99-4275-98A4-22070C35FFA4}"/>
    <cellStyle name="Normal 2 4 5 2 6 4" xfId="18601" xr:uid="{A205C4A8-466F-4B27-81A5-ACF0F85E340F}"/>
    <cellStyle name="Normal 2 4 5 2 6 5" xfId="27046" xr:uid="{54369172-AF24-4B76-A02B-64CE11CDEDAF}"/>
    <cellStyle name="Normal 2 4 5 2 6 6" xfId="10160" xr:uid="{971E1365-CB0F-4AAB-A975-B4B0DA04D896}"/>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25377" xr:uid="{DE89BBBB-9ADB-4321-9410-C7880FA47059}"/>
    <cellStyle name="Normal 2 4 5 2 7 2 2 3" xfId="33823" xr:uid="{672EC7CD-58E1-47A2-8214-E352B775340B}"/>
    <cellStyle name="Normal 2 4 5 2 7 2 2 4" xfId="16936" xr:uid="{FC1D3FEF-8404-41B7-B4D5-8866759B0FDA}"/>
    <cellStyle name="Normal 2 4 5 2 7 2 3" xfId="21159" xr:uid="{BA962AEF-07AA-433E-9AE5-8522C39830D2}"/>
    <cellStyle name="Normal 2 4 5 2 7 2 4" xfId="29606" xr:uid="{FA02A3E6-1BDC-4682-AC67-29DB68EAE928}"/>
    <cellStyle name="Normal 2 4 5 2 7 2 5" xfId="12718" xr:uid="{673F8A9F-97F0-4738-8356-8BDE8D108DEE}"/>
    <cellStyle name="Normal 2 4 5 2 7 3" xfId="6349" xr:uid="{00000000-0005-0000-0000-000082100000}"/>
    <cellStyle name="Normal 2 4 5 2 7 3 2" xfId="23232" xr:uid="{C76DB957-6E72-4CD5-BEA0-CAA351718420}"/>
    <cellStyle name="Normal 2 4 5 2 7 3 3" xfId="31678" xr:uid="{6870247A-5C26-4BEB-9F45-824C338E9ACB}"/>
    <cellStyle name="Normal 2 4 5 2 7 3 4" xfId="14791" xr:uid="{C8AE3806-DEB8-4DD4-93EC-DD89DBA383F4}"/>
    <cellStyle name="Normal 2 4 5 2 7 4" xfId="19014" xr:uid="{0A21F6C3-2DAA-40D2-B223-CDE793CB4CD9}"/>
    <cellStyle name="Normal 2 4 5 2 7 5" xfId="27459" xr:uid="{26F8FF25-E85A-4A48-B937-20A2C685721C}"/>
    <cellStyle name="Normal 2 4 5 2 7 6" xfId="10573" xr:uid="{D1123735-0CC2-4B0B-9D9E-B1F018375AF3}"/>
    <cellStyle name="Normal 2 4 5 2 8" xfId="2478" xr:uid="{00000000-0005-0000-0000-000083100000}"/>
    <cellStyle name="Normal 2 4 5 2 8 2" xfId="6762" xr:uid="{00000000-0005-0000-0000-000084100000}"/>
    <cellStyle name="Normal 2 4 5 2 8 2 2" xfId="23645" xr:uid="{12DB2045-ACF1-433C-A7B1-0BB44B869C3C}"/>
    <cellStyle name="Normal 2 4 5 2 8 2 3" xfId="32091" xr:uid="{D4C998E7-301B-436D-A338-BEB03487E3FB}"/>
    <cellStyle name="Normal 2 4 5 2 8 2 4" xfId="15204" xr:uid="{2A2D756D-6803-44BD-8D3E-878AC293FEAF}"/>
    <cellStyle name="Normal 2 4 5 2 8 3" xfId="19427" xr:uid="{EC4B193B-F154-41E6-845D-CB5E518B809A}"/>
    <cellStyle name="Normal 2 4 5 2 8 4" xfId="27872" xr:uid="{140CD381-385F-4D20-8EB4-3802F66201AF}"/>
    <cellStyle name="Normal 2 4 5 2 8 5" xfId="10986" xr:uid="{3858A0AA-138F-4F81-A074-0FE43EEAECFA}"/>
    <cellStyle name="Normal 2 4 5 2 9" xfId="4696" xr:uid="{00000000-0005-0000-0000-000085100000}"/>
    <cellStyle name="Normal 2 4 5 2 9 2" xfId="21579" xr:uid="{306FED7F-85F4-4075-807B-E7D642C0BD1D}"/>
    <cellStyle name="Normal 2 4 5 2 9 3" xfId="30025" xr:uid="{417AE2A2-0896-4C95-A90C-40FBD5F3D37B}"/>
    <cellStyle name="Normal 2 4 5 2 9 4" xfId="13138" xr:uid="{04DA2A6E-3755-4FA7-88A9-37F749271C1B}"/>
    <cellStyle name="Normal 2 4 5 3" xfId="308" xr:uid="{00000000-0005-0000-0000-000086100000}"/>
    <cellStyle name="Normal 2 4 5 3 10" xfId="25809" xr:uid="{0696C17B-AFAF-4BEF-B8DB-0ECACB8824F6}"/>
    <cellStyle name="Normal 2 4 5 3 11" xfId="8924" xr:uid="{832E239F-BC8D-4C39-B8F4-DD9BAFA8322D}"/>
    <cellStyle name="Normal 2 4 5 3 2" xfId="309" xr:uid="{00000000-0005-0000-0000-000087100000}"/>
    <cellStyle name="Normal 2 4 5 3 2 10" xfId="8925" xr:uid="{BC9808DA-52D1-4506-B19E-ED49A0D11E61}"/>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24143" xr:uid="{DF865B98-F17E-4218-91F2-973F2786FB62}"/>
    <cellStyle name="Normal 2 4 5 3 2 2 2 2 3" xfId="32589" xr:uid="{AABDBC26-36CF-4609-8352-57C0F5F35231}"/>
    <cellStyle name="Normal 2 4 5 3 2 2 2 2 4" xfId="15702" xr:uid="{35F9C07A-1389-4F60-B33F-113D448C57CC}"/>
    <cellStyle name="Normal 2 4 5 3 2 2 2 3" xfId="19925" xr:uid="{680CD9A9-FE4D-4B2F-A0DC-6206FE8B050C}"/>
    <cellStyle name="Normal 2 4 5 3 2 2 2 4" xfId="28372" xr:uid="{A9E54FFE-9B85-4122-AAA8-053B8AD83775}"/>
    <cellStyle name="Normal 2 4 5 3 2 2 2 5" xfId="11484" xr:uid="{B45E1C26-0643-4B16-A865-99132283CA75}"/>
    <cellStyle name="Normal 2 4 5 3 2 2 3" xfId="5115" xr:uid="{00000000-0005-0000-0000-00008B100000}"/>
    <cellStyle name="Normal 2 4 5 3 2 2 3 2" xfId="21998" xr:uid="{ED8690E1-314B-464F-A1F7-439E69FFB636}"/>
    <cellStyle name="Normal 2 4 5 3 2 2 3 3" xfId="30444" xr:uid="{7694BB66-32AE-4650-84EF-AB76EDC61B3F}"/>
    <cellStyle name="Normal 2 4 5 3 2 2 3 4" xfId="13557" xr:uid="{65338157-007F-4FED-8CDF-385804B4F2F9}"/>
    <cellStyle name="Normal 2 4 5 3 2 2 4" xfId="17780" xr:uid="{39AFD923-213D-44BF-AAF5-4DF772DD94F8}"/>
    <cellStyle name="Normal 2 4 5 3 2 2 5" xfId="26225" xr:uid="{B090685C-7886-4A18-9A70-93278BD23B5E}"/>
    <cellStyle name="Normal 2 4 5 3 2 2 6" xfId="9339" xr:uid="{42CCD843-3265-4BA7-8948-EED1879DBB9F}"/>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24556" xr:uid="{5A411FFD-4DDF-4DB3-83FB-5FE6F7CDC8E1}"/>
    <cellStyle name="Normal 2 4 5 3 2 3 2 2 3" xfId="33002" xr:uid="{555BDEC0-FE27-4077-B98F-DBE9BB24AF57}"/>
    <cellStyle name="Normal 2 4 5 3 2 3 2 2 4" xfId="16115" xr:uid="{CA88B71A-2AC0-4AC4-9C90-27609915DBD3}"/>
    <cellStyle name="Normal 2 4 5 3 2 3 2 3" xfId="20338" xr:uid="{E60A4BA1-8FBA-40CB-B8B8-53173C482D67}"/>
    <cellStyle name="Normal 2 4 5 3 2 3 2 4" xfId="28785" xr:uid="{2654F68F-5B1A-4188-BE4D-E092AD4CE156}"/>
    <cellStyle name="Normal 2 4 5 3 2 3 2 5" xfId="11897" xr:uid="{39B37D8F-0062-4C33-BD91-6A5D3E01EF99}"/>
    <cellStyle name="Normal 2 4 5 3 2 3 3" xfId="5528" xr:uid="{00000000-0005-0000-0000-00008F100000}"/>
    <cellStyle name="Normal 2 4 5 3 2 3 3 2" xfId="22411" xr:uid="{E149D7CA-16C3-45E3-A772-22A6EB3CB737}"/>
    <cellStyle name="Normal 2 4 5 3 2 3 3 3" xfId="30857" xr:uid="{9B87E498-445D-4DEC-9D68-2B533ADBA6BE}"/>
    <cellStyle name="Normal 2 4 5 3 2 3 3 4" xfId="13970" xr:uid="{500AE4F9-1591-4C46-9AE3-1671AA57D180}"/>
    <cellStyle name="Normal 2 4 5 3 2 3 4" xfId="18193" xr:uid="{330E5B04-192A-46D7-A701-0C7804EDC57A}"/>
    <cellStyle name="Normal 2 4 5 3 2 3 5" xfId="26638" xr:uid="{7BF0D968-3D77-4500-9174-07E249FC997C}"/>
    <cellStyle name="Normal 2 4 5 3 2 3 6" xfId="9752" xr:uid="{370A86B3-80F4-4549-8299-F7529B1A18B2}"/>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24969" xr:uid="{C07E9AE2-BDCE-4DBD-B3F6-C9D3B0F861EE}"/>
    <cellStyle name="Normal 2 4 5 3 2 4 2 2 3" xfId="33415" xr:uid="{310B35B4-9ED6-4489-8C3C-622AB781C89A}"/>
    <cellStyle name="Normal 2 4 5 3 2 4 2 2 4" xfId="16528" xr:uid="{C139AE73-8459-414C-AAB3-001CE01FE644}"/>
    <cellStyle name="Normal 2 4 5 3 2 4 2 3" xfId="20751" xr:uid="{B893CD46-9A60-45B4-AC87-DAEC0869D6A9}"/>
    <cellStyle name="Normal 2 4 5 3 2 4 2 4" xfId="29198" xr:uid="{9306EFAE-6720-4FD7-ABE6-DF453A050D97}"/>
    <cellStyle name="Normal 2 4 5 3 2 4 2 5" xfId="12310" xr:uid="{8BE9F90C-A0B7-4FEF-B3D8-D0E700D33B69}"/>
    <cellStyle name="Normal 2 4 5 3 2 4 3" xfId="5941" xr:uid="{00000000-0005-0000-0000-000093100000}"/>
    <cellStyle name="Normal 2 4 5 3 2 4 3 2" xfId="22824" xr:uid="{418299B4-F05E-4B8F-84A8-544048DF1342}"/>
    <cellStyle name="Normal 2 4 5 3 2 4 3 3" xfId="31270" xr:uid="{1D45FB7C-7311-4643-AE35-C5496B9D1C97}"/>
    <cellStyle name="Normal 2 4 5 3 2 4 3 4" xfId="14383" xr:uid="{3B07124F-184B-4BD4-8182-371FE45A7A94}"/>
    <cellStyle name="Normal 2 4 5 3 2 4 4" xfId="18606" xr:uid="{F74A1340-DA59-4325-9C4B-1D1B9DBAB120}"/>
    <cellStyle name="Normal 2 4 5 3 2 4 5" xfId="27051" xr:uid="{4001F01A-16BE-49A6-9A02-D5F84EC65519}"/>
    <cellStyle name="Normal 2 4 5 3 2 4 6" xfId="10165" xr:uid="{BF2BFC15-3C13-4F68-9954-5D5E3EEB0918}"/>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25382" xr:uid="{A988587C-8C72-4564-9DB3-85D9EBDCECF3}"/>
    <cellStyle name="Normal 2 4 5 3 2 5 2 2 3" xfId="33828" xr:uid="{A92EADE7-8A92-4459-838F-97CCB1A6965D}"/>
    <cellStyle name="Normal 2 4 5 3 2 5 2 2 4" xfId="16941" xr:uid="{E1CC25C2-F362-4711-8CB3-1F66048995D1}"/>
    <cellStyle name="Normal 2 4 5 3 2 5 2 3" xfId="21164" xr:uid="{C2631A6D-319D-4A18-A8C1-52B03FB18317}"/>
    <cellStyle name="Normal 2 4 5 3 2 5 2 4" xfId="29611" xr:uid="{D8DB7E22-5E8A-480D-84DE-F9510A5963FD}"/>
    <cellStyle name="Normal 2 4 5 3 2 5 2 5" xfId="12723" xr:uid="{2CEAF5F9-CD56-4BBB-8ED6-32B78F32104E}"/>
    <cellStyle name="Normal 2 4 5 3 2 5 3" xfId="6354" xr:uid="{00000000-0005-0000-0000-000097100000}"/>
    <cellStyle name="Normal 2 4 5 3 2 5 3 2" xfId="23237" xr:uid="{7F0F04CE-C20E-4A95-A9A1-BE12934808C6}"/>
    <cellStyle name="Normal 2 4 5 3 2 5 3 3" xfId="31683" xr:uid="{AA1258FF-37EF-4717-BAFF-5E1541E62AD7}"/>
    <cellStyle name="Normal 2 4 5 3 2 5 3 4" xfId="14796" xr:uid="{5B5601B5-430E-4E6A-8FBC-05B36254083A}"/>
    <cellStyle name="Normal 2 4 5 3 2 5 4" xfId="19019" xr:uid="{941F2051-DB14-40D7-B49F-EB4F79F09584}"/>
    <cellStyle name="Normal 2 4 5 3 2 5 5" xfId="27464" xr:uid="{CA0BE5D3-CC7B-4AA1-86FB-99A59B228F4B}"/>
    <cellStyle name="Normal 2 4 5 3 2 5 6" xfId="10578" xr:uid="{3D04EBA3-D14C-4520-A96F-35EEE120F875}"/>
    <cellStyle name="Normal 2 4 5 3 2 6" xfId="2483" xr:uid="{00000000-0005-0000-0000-000098100000}"/>
    <cellStyle name="Normal 2 4 5 3 2 6 2" xfId="6767" xr:uid="{00000000-0005-0000-0000-000099100000}"/>
    <cellStyle name="Normal 2 4 5 3 2 6 2 2" xfId="23650" xr:uid="{F5B4EF40-DB34-43B2-AABF-AA5DB712EDE1}"/>
    <cellStyle name="Normal 2 4 5 3 2 6 2 3" xfId="32096" xr:uid="{E44D9736-3E6B-4F67-A285-30D551976607}"/>
    <cellStyle name="Normal 2 4 5 3 2 6 2 4" xfId="15209" xr:uid="{ED3393AB-B3C6-4C25-9065-D7372A306BC8}"/>
    <cellStyle name="Normal 2 4 5 3 2 6 3" xfId="19432" xr:uid="{72F6D9B8-2B39-48DF-9D0B-2726F9CEF72D}"/>
    <cellStyle name="Normal 2 4 5 3 2 6 4" xfId="27877" xr:uid="{CC828882-51A8-461F-A8AB-AE14B3BAC98C}"/>
    <cellStyle name="Normal 2 4 5 3 2 6 5" xfId="10991" xr:uid="{D12E457B-A3A3-4AF6-B4A7-DB5DA86BA04B}"/>
    <cellStyle name="Normal 2 4 5 3 2 7" xfId="4701" xr:uid="{00000000-0005-0000-0000-00009A100000}"/>
    <cellStyle name="Normal 2 4 5 3 2 7 2" xfId="21584" xr:uid="{B861965A-3BD1-47E3-8CCA-EC75B752E845}"/>
    <cellStyle name="Normal 2 4 5 3 2 7 3" xfId="30030" xr:uid="{D6B68113-5ADF-48D7-82BC-8E611F91D11B}"/>
    <cellStyle name="Normal 2 4 5 3 2 7 4" xfId="13143" xr:uid="{73DD4045-552A-40F4-ABA2-32D2676683C5}"/>
    <cellStyle name="Normal 2 4 5 3 2 8" xfId="17366" xr:uid="{217F821D-0A80-4A62-B9EF-D6623D3D0C2B}"/>
    <cellStyle name="Normal 2 4 5 3 2 9" xfId="25810" xr:uid="{EDDADEAB-9EBA-4721-877A-B1C22E0763FB}"/>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24142" xr:uid="{72C4D032-DE5D-453D-9F9F-5E4E404C8A6A}"/>
    <cellStyle name="Normal 2 4 5 3 3 2 2 3" xfId="32588" xr:uid="{ADF1795C-3582-409F-9462-396539A35505}"/>
    <cellStyle name="Normal 2 4 5 3 3 2 2 4" xfId="15701" xr:uid="{C01530E8-7DE2-48AC-975F-8D32908C700C}"/>
    <cellStyle name="Normal 2 4 5 3 3 2 3" xfId="19924" xr:uid="{C829267A-760C-4842-B0F0-2E5C9528496D}"/>
    <cellStyle name="Normal 2 4 5 3 3 2 4" xfId="28371" xr:uid="{EAF30283-0EC3-4B37-BC9B-47FBF500B964}"/>
    <cellStyle name="Normal 2 4 5 3 3 2 5" xfId="11483" xr:uid="{3D797A9D-26FE-409A-9D97-C363085E550A}"/>
    <cellStyle name="Normal 2 4 5 3 3 3" xfId="5114" xr:uid="{00000000-0005-0000-0000-00009E100000}"/>
    <cellStyle name="Normal 2 4 5 3 3 3 2" xfId="21997" xr:uid="{8A9A1D4A-0F3E-47F0-95DF-8DCB6F7A562E}"/>
    <cellStyle name="Normal 2 4 5 3 3 3 3" xfId="30443" xr:uid="{B75A87C5-2ECE-4FD4-8F1F-E3C869021DF4}"/>
    <cellStyle name="Normal 2 4 5 3 3 3 4" xfId="13556" xr:uid="{B5DDE48E-692D-4362-9FDF-C3D8D5A33D3F}"/>
    <cellStyle name="Normal 2 4 5 3 3 4" xfId="17779" xr:uid="{95E297A4-ABB5-417C-96F6-17A9FE9574DF}"/>
    <cellStyle name="Normal 2 4 5 3 3 5" xfId="26224" xr:uid="{17DA2A91-E648-480C-A2E4-030665556B54}"/>
    <cellStyle name="Normal 2 4 5 3 3 6" xfId="9338" xr:uid="{72E2C560-24C9-41E3-811F-DBAF989D0DAC}"/>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24555" xr:uid="{ECFAD8F1-1DFB-4FD2-88AE-C079E6DA604F}"/>
    <cellStyle name="Normal 2 4 5 3 4 2 2 3" xfId="33001" xr:uid="{548EBA63-3134-4D1F-BA9D-909B6BBAA443}"/>
    <cellStyle name="Normal 2 4 5 3 4 2 2 4" xfId="16114" xr:uid="{07537680-8011-4024-B4C5-09998C9E8567}"/>
    <cellStyle name="Normal 2 4 5 3 4 2 3" xfId="20337" xr:uid="{F9A1318A-4074-4EF4-BB6B-73EC9F76EA16}"/>
    <cellStyle name="Normal 2 4 5 3 4 2 4" xfId="28784" xr:uid="{35B051CD-092C-463C-A6A3-36B58C5D1DDE}"/>
    <cellStyle name="Normal 2 4 5 3 4 2 5" xfId="11896" xr:uid="{8F719E99-CE1F-4DC2-8F41-281801CD8E31}"/>
    <cellStyle name="Normal 2 4 5 3 4 3" xfId="5527" xr:uid="{00000000-0005-0000-0000-0000A2100000}"/>
    <cellStyle name="Normal 2 4 5 3 4 3 2" xfId="22410" xr:uid="{9A4DF450-4C05-4ED9-8C3E-B9FA6A6C8BD7}"/>
    <cellStyle name="Normal 2 4 5 3 4 3 3" xfId="30856" xr:uid="{8ECC0F91-4D31-417F-AC44-CC07921F023D}"/>
    <cellStyle name="Normal 2 4 5 3 4 3 4" xfId="13969" xr:uid="{C8019E7B-B6A8-4F4D-B0FF-60CC911B14C1}"/>
    <cellStyle name="Normal 2 4 5 3 4 4" xfId="18192" xr:uid="{6F5F569F-082E-4FE6-8758-639F151FDECB}"/>
    <cellStyle name="Normal 2 4 5 3 4 5" xfId="26637" xr:uid="{8B5B8E12-304B-40DD-9213-4B569267DC65}"/>
    <cellStyle name="Normal 2 4 5 3 4 6" xfId="9751" xr:uid="{DCC4290D-8398-4CAA-8AD2-37A8E8377E2E}"/>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24968" xr:uid="{5DBE4668-E075-4EC4-A811-EF819F8FAB9C}"/>
    <cellStyle name="Normal 2 4 5 3 5 2 2 3" xfId="33414" xr:uid="{0E91D419-7D3D-4ADC-B88D-C6E70552DC66}"/>
    <cellStyle name="Normal 2 4 5 3 5 2 2 4" xfId="16527" xr:uid="{97A38117-069B-44FF-93AB-3BF1F0E50EC3}"/>
    <cellStyle name="Normal 2 4 5 3 5 2 3" xfId="20750" xr:uid="{3AD30423-5136-4B3C-A96A-51E291748885}"/>
    <cellStyle name="Normal 2 4 5 3 5 2 4" xfId="29197" xr:uid="{BA55579B-82BB-405A-9A80-AE5803A10EA2}"/>
    <cellStyle name="Normal 2 4 5 3 5 2 5" xfId="12309" xr:uid="{22C75313-CD0D-4B3E-8CE2-CEDF9FD93AFA}"/>
    <cellStyle name="Normal 2 4 5 3 5 3" xfId="5940" xr:uid="{00000000-0005-0000-0000-0000A6100000}"/>
    <cellStyle name="Normal 2 4 5 3 5 3 2" xfId="22823" xr:uid="{B17C23A8-1B5B-42E8-9005-48B939038E21}"/>
    <cellStyle name="Normal 2 4 5 3 5 3 3" xfId="31269" xr:uid="{1E50D3CE-1550-497E-BE02-523CECFF2AF7}"/>
    <cellStyle name="Normal 2 4 5 3 5 3 4" xfId="14382" xr:uid="{C26E3523-1CD6-4187-8D00-D876A013C0A4}"/>
    <cellStyle name="Normal 2 4 5 3 5 4" xfId="18605" xr:uid="{DE301692-7268-48EE-B2F8-D2D141281C10}"/>
    <cellStyle name="Normal 2 4 5 3 5 5" xfId="27050" xr:uid="{D9F13772-5B86-461C-A79D-FD14E7B80B23}"/>
    <cellStyle name="Normal 2 4 5 3 5 6" xfId="10164" xr:uid="{793D7513-C91D-409A-9E42-369A8D24E33D}"/>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25381" xr:uid="{CD6378E1-924E-41F6-9220-AA2AD2803064}"/>
    <cellStyle name="Normal 2 4 5 3 6 2 2 3" xfId="33827" xr:uid="{A24DD2F4-6BAB-4572-B35E-275AE6632371}"/>
    <cellStyle name="Normal 2 4 5 3 6 2 2 4" xfId="16940" xr:uid="{BDC084C7-1200-4425-BD3A-552C892275A0}"/>
    <cellStyle name="Normal 2 4 5 3 6 2 3" xfId="21163" xr:uid="{ABF0D5F1-B825-4EFA-A1D9-F25C92D5E432}"/>
    <cellStyle name="Normal 2 4 5 3 6 2 4" xfId="29610" xr:uid="{5DFA05A9-A737-4C82-B125-D30C93F84E74}"/>
    <cellStyle name="Normal 2 4 5 3 6 2 5" xfId="12722" xr:uid="{C1FE51A7-ECC4-4115-AC82-87D698A53846}"/>
    <cellStyle name="Normal 2 4 5 3 6 3" xfId="6353" xr:uid="{00000000-0005-0000-0000-0000AA100000}"/>
    <cellStyle name="Normal 2 4 5 3 6 3 2" xfId="23236" xr:uid="{48D0D5DC-DC71-4A04-95FE-0F1884A58DDE}"/>
    <cellStyle name="Normal 2 4 5 3 6 3 3" xfId="31682" xr:uid="{A0FB7B32-A3D0-47A8-9476-229A32696CCF}"/>
    <cellStyle name="Normal 2 4 5 3 6 3 4" xfId="14795" xr:uid="{05946697-CD26-4EDC-9FF8-47B4EAE63FDC}"/>
    <cellStyle name="Normal 2 4 5 3 6 4" xfId="19018" xr:uid="{800C25BA-6A62-47B8-97B9-C3ADC5AFE8A0}"/>
    <cellStyle name="Normal 2 4 5 3 6 5" xfId="27463" xr:uid="{DC63CEEF-34CB-4476-9B23-76CA65F6E2AA}"/>
    <cellStyle name="Normal 2 4 5 3 6 6" xfId="10577" xr:uid="{BCDEC6A8-E6CD-462F-93D5-141A54260CC5}"/>
    <cellStyle name="Normal 2 4 5 3 7" xfId="2482" xr:uid="{00000000-0005-0000-0000-0000AB100000}"/>
    <cellStyle name="Normal 2 4 5 3 7 2" xfId="6766" xr:uid="{00000000-0005-0000-0000-0000AC100000}"/>
    <cellStyle name="Normal 2 4 5 3 7 2 2" xfId="23649" xr:uid="{F22ACECD-2668-4A96-99B5-BBAE988BDEBC}"/>
    <cellStyle name="Normal 2 4 5 3 7 2 3" xfId="32095" xr:uid="{CE5B8597-9AFE-4735-8FAC-78847F9F2607}"/>
    <cellStyle name="Normal 2 4 5 3 7 2 4" xfId="15208" xr:uid="{8FDDF227-A242-41EF-B116-60391193DE30}"/>
    <cellStyle name="Normal 2 4 5 3 7 3" xfId="19431" xr:uid="{B52709FD-255A-4442-96EF-A79CD90157C9}"/>
    <cellStyle name="Normal 2 4 5 3 7 4" xfId="27876" xr:uid="{CA3BA10D-7ADA-47B3-BBA1-056F4FBCBC95}"/>
    <cellStyle name="Normal 2 4 5 3 7 5" xfId="10990" xr:uid="{6CEBFCAD-18FC-4ABC-B287-797807DDEE03}"/>
    <cellStyle name="Normal 2 4 5 3 8" xfId="4700" xr:uid="{00000000-0005-0000-0000-0000AD100000}"/>
    <cellStyle name="Normal 2 4 5 3 8 2" xfId="21583" xr:uid="{FC7AD1E0-F59B-4426-9ACB-B5D15FF63212}"/>
    <cellStyle name="Normal 2 4 5 3 8 3" xfId="30029" xr:uid="{14442F5C-F4A0-496F-901A-7617B658A416}"/>
    <cellStyle name="Normal 2 4 5 3 8 4" xfId="13142" xr:uid="{97DBCD52-67F9-4817-966C-B91FEA44C133}"/>
    <cellStyle name="Normal 2 4 5 3 9" xfId="17365" xr:uid="{DACEAE03-D39B-44D5-953A-4D10BDCBB781}"/>
    <cellStyle name="Normal 2 4 5 4" xfId="310" xr:uid="{00000000-0005-0000-0000-0000AE100000}"/>
    <cellStyle name="Normal 2 4 5 4 10" xfId="8926" xr:uid="{EA6C4B67-D7A5-4083-A8C0-743944A79B25}"/>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24144" xr:uid="{E9118D6C-BB47-47DD-B8D8-58EAB3925D49}"/>
    <cellStyle name="Normal 2 4 5 4 2 2 2 3" xfId="32590" xr:uid="{F8B3CAC2-8D1C-4F36-B0F9-4BD0D7A24AAA}"/>
    <cellStyle name="Normal 2 4 5 4 2 2 2 4" xfId="15703" xr:uid="{D4676D98-0668-412E-9EEC-7422847CEEF9}"/>
    <cellStyle name="Normal 2 4 5 4 2 2 3" xfId="19926" xr:uid="{0215546C-8B5B-44FC-B381-6A6F4E64E117}"/>
    <cellStyle name="Normal 2 4 5 4 2 2 4" xfId="28373" xr:uid="{5293C4E7-8AA7-4FC9-B570-7099EA93C66C}"/>
    <cellStyle name="Normal 2 4 5 4 2 2 5" xfId="11485" xr:uid="{59F30663-DA89-43E8-AB50-2DB5769F15E0}"/>
    <cellStyle name="Normal 2 4 5 4 2 3" xfId="5116" xr:uid="{00000000-0005-0000-0000-0000B2100000}"/>
    <cellStyle name="Normal 2 4 5 4 2 3 2" xfId="21999" xr:uid="{A822E906-B653-484C-BB82-94560AEF6FC7}"/>
    <cellStyle name="Normal 2 4 5 4 2 3 3" xfId="30445" xr:uid="{677EAE9D-65DD-4466-BCCD-C9BDF6E5A833}"/>
    <cellStyle name="Normal 2 4 5 4 2 3 4" xfId="13558" xr:uid="{54595356-F3E7-4F9B-8F6C-C1983FED3E57}"/>
    <cellStyle name="Normal 2 4 5 4 2 4" xfId="17781" xr:uid="{73BCEEDD-4ED3-40EF-81BA-60A47F1A17F5}"/>
    <cellStyle name="Normal 2 4 5 4 2 5" xfId="26226" xr:uid="{9305FD65-7ABB-4C95-A98C-435D5CE8EF50}"/>
    <cellStyle name="Normal 2 4 5 4 2 6" xfId="9340" xr:uid="{B77AD364-B31E-4346-9D6F-63E56E0BABDE}"/>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24557" xr:uid="{CA3A6C0B-0594-4963-8DC5-0E5E87C15F4B}"/>
    <cellStyle name="Normal 2 4 5 4 3 2 2 3" xfId="33003" xr:uid="{771F3E4B-11C0-4EFC-9E95-4E9E906D7A6E}"/>
    <cellStyle name="Normal 2 4 5 4 3 2 2 4" xfId="16116" xr:uid="{1E4B7C95-1C3B-459A-96DF-8EAFC19285AF}"/>
    <cellStyle name="Normal 2 4 5 4 3 2 3" xfId="20339" xr:uid="{9A2149D5-5517-4F40-8E63-EA8FCA7F98C6}"/>
    <cellStyle name="Normal 2 4 5 4 3 2 4" xfId="28786" xr:uid="{9B61EF01-1D97-4772-A37F-E0435F8AF5FD}"/>
    <cellStyle name="Normal 2 4 5 4 3 2 5" xfId="11898" xr:uid="{983645B2-9FD3-40AC-828B-59D8F755D7E9}"/>
    <cellStyle name="Normal 2 4 5 4 3 3" xfId="5529" xr:uid="{00000000-0005-0000-0000-0000B6100000}"/>
    <cellStyle name="Normal 2 4 5 4 3 3 2" xfId="22412" xr:uid="{E93E6D06-40F0-4148-BFBF-97D87F3FDA2C}"/>
    <cellStyle name="Normal 2 4 5 4 3 3 3" xfId="30858" xr:uid="{8E44CA9E-2881-4E2D-861E-4C3E1E57A959}"/>
    <cellStyle name="Normal 2 4 5 4 3 3 4" xfId="13971" xr:uid="{C153FA46-0433-41A3-A632-895DC932147F}"/>
    <cellStyle name="Normal 2 4 5 4 3 4" xfId="18194" xr:uid="{7B9F931E-36E2-4BE1-8341-5ABD8244BB4D}"/>
    <cellStyle name="Normal 2 4 5 4 3 5" xfId="26639" xr:uid="{C9A084C8-63FB-4C2F-9B32-61721C01C4FC}"/>
    <cellStyle name="Normal 2 4 5 4 3 6" xfId="9753" xr:uid="{95AB6DBF-3E50-4675-A4B5-540DC3590372}"/>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24970" xr:uid="{CCFCFA9A-0B1B-44C9-A978-1671F6814083}"/>
    <cellStyle name="Normal 2 4 5 4 4 2 2 3" xfId="33416" xr:uid="{2D39BD0B-EC51-452A-8C0E-F638B727DBC0}"/>
    <cellStyle name="Normal 2 4 5 4 4 2 2 4" xfId="16529" xr:uid="{901A2DEF-1883-46DB-A112-A41899834C57}"/>
    <cellStyle name="Normal 2 4 5 4 4 2 3" xfId="20752" xr:uid="{58660B4D-04D4-4037-BB5D-1AE68F07B00E}"/>
    <cellStyle name="Normal 2 4 5 4 4 2 4" xfId="29199" xr:uid="{20CE16A7-5C96-4DEE-B496-B436376D8BA4}"/>
    <cellStyle name="Normal 2 4 5 4 4 2 5" xfId="12311" xr:uid="{ADBAAACF-32ED-42E1-A844-F0EA30BB30A0}"/>
    <cellStyle name="Normal 2 4 5 4 4 3" xfId="5942" xr:uid="{00000000-0005-0000-0000-0000BA100000}"/>
    <cellStyle name="Normal 2 4 5 4 4 3 2" xfId="22825" xr:uid="{4BBC4070-7FEE-46B5-8576-664D82AFE93D}"/>
    <cellStyle name="Normal 2 4 5 4 4 3 3" xfId="31271" xr:uid="{14CC8B49-BD32-4599-8C73-D4EF83AABD7B}"/>
    <cellStyle name="Normal 2 4 5 4 4 3 4" xfId="14384" xr:uid="{DE473709-6550-41A4-9B24-D7E023E0A972}"/>
    <cellStyle name="Normal 2 4 5 4 4 4" xfId="18607" xr:uid="{DA718B94-164A-49EF-82BB-CD6AAE278C0E}"/>
    <cellStyle name="Normal 2 4 5 4 4 5" xfId="27052" xr:uid="{A7FBFDDF-4D53-4B99-B048-C3F13DB682E0}"/>
    <cellStyle name="Normal 2 4 5 4 4 6" xfId="10166" xr:uid="{88C9A82E-15F0-4312-B147-5516E340F78E}"/>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25383" xr:uid="{525C737C-3F4D-4884-A7ED-225397A86DF0}"/>
    <cellStyle name="Normal 2 4 5 4 5 2 2 3" xfId="33829" xr:uid="{92A89EA3-3ADE-419C-80C1-64BAC0A90A63}"/>
    <cellStyle name="Normal 2 4 5 4 5 2 2 4" xfId="16942" xr:uid="{E0E4C47B-E64F-4AC6-9225-8FE9D3DF011D}"/>
    <cellStyle name="Normal 2 4 5 4 5 2 3" xfId="21165" xr:uid="{C02EB2F7-CD07-4A07-A037-5AC5027578F0}"/>
    <cellStyle name="Normal 2 4 5 4 5 2 4" xfId="29612" xr:uid="{6AA625C0-FECF-401B-BE2B-56C6D6373718}"/>
    <cellStyle name="Normal 2 4 5 4 5 2 5" xfId="12724" xr:uid="{DBB770B5-EA57-48C5-80F7-E0130BEB9F1E}"/>
    <cellStyle name="Normal 2 4 5 4 5 3" xfId="6355" xr:uid="{00000000-0005-0000-0000-0000BE100000}"/>
    <cellStyle name="Normal 2 4 5 4 5 3 2" xfId="23238" xr:uid="{7F405DB2-D0E7-456B-B45C-AD942A9F6C25}"/>
    <cellStyle name="Normal 2 4 5 4 5 3 3" xfId="31684" xr:uid="{605F7AA1-5A98-4AD4-AA26-29DA83577A40}"/>
    <cellStyle name="Normal 2 4 5 4 5 3 4" xfId="14797" xr:uid="{4297BD99-73E9-44A3-8ADF-32593DB46EF6}"/>
    <cellStyle name="Normal 2 4 5 4 5 4" xfId="19020" xr:uid="{A47BE36A-9435-4B93-956C-37415AAD6B43}"/>
    <cellStyle name="Normal 2 4 5 4 5 5" xfId="27465" xr:uid="{31D5EAF1-AD07-4ABF-8F9F-BCF0AC7F7E70}"/>
    <cellStyle name="Normal 2 4 5 4 5 6" xfId="10579" xr:uid="{9AAA8E35-E887-46F6-8EC3-EFF262E6B365}"/>
    <cellStyle name="Normal 2 4 5 4 6" xfId="2484" xr:uid="{00000000-0005-0000-0000-0000BF100000}"/>
    <cellStyle name="Normal 2 4 5 4 6 2" xfId="6768" xr:uid="{00000000-0005-0000-0000-0000C0100000}"/>
    <cellStyle name="Normal 2 4 5 4 6 2 2" xfId="23651" xr:uid="{16201605-D242-4D6F-A93C-26D15FC30737}"/>
    <cellStyle name="Normal 2 4 5 4 6 2 3" xfId="32097" xr:uid="{53FE95A2-AF7E-4799-B341-AD431C611FCE}"/>
    <cellStyle name="Normal 2 4 5 4 6 2 4" xfId="15210" xr:uid="{8DEEA981-252A-4712-9E88-AA350D07421D}"/>
    <cellStyle name="Normal 2 4 5 4 6 3" xfId="19433" xr:uid="{F7D43B4D-D31D-4D96-9369-C41FC6C5A45F}"/>
    <cellStyle name="Normal 2 4 5 4 6 4" xfId="27878" xr:uid="{399D6FF6-85F2-47B5-8652-4A53B26F9715}"/>
    <cellStyle name="Normal 2 4 5 4 6 5" xfId="10992" xr:uid="{AFB2C4EA-E50B-43F8-80C5-7EB46ACD07F1}"/>
    <cellStyle name="Normal 2 4 5 4 7" xfId="4702" xr:uid="{00000000-0005-0000-0000-0000C1100000}"/>
    <cellStyle name="Normal 2 4 5 4 7 2" xfId="21585" xr:uid="{01AF17A0-F824-4D83-A9E4-C98A58E00BA5}"/>
    <cellStyle name="Normal 2 4 5 4 7 3" xfId="30031" xr:uid="{BC180900-C4A8-4EF3-80F7-42E53E26D9B7}"/>
    <cellStyle name="Normal 2 4 5 4 7 4" xfId="13144" xr:uid="{989FC599-B105-452E-A6B1-435D938B98C0}"/>
    <cellStyle name="Normal 2 4 5 4 8" xfId="17367" xr:uid="{DC9D7B6C-EDB0-427A-A054-9513AC0EF7D4}"/>
    <cellStyle name="Normal 2 4 5 4 9" xfId="25811" xr:uid="{B7FE4F39-860B-4753-9EBE-60BDB51E4E3C}"/>
    <cellStyle name="Normal 2 4 5 5" xfId="792" xr:uid="{00000000-0005-0000-0000-0000C2100000}"/>
    <cellStyle name="Normal 2 4 5 5 2" xfId="3031" xr:uid="{00000000-0005-0000-0000-0000C3100000}"/>
    <cellStyle name="Normal 2 4 5 5 2 2" xfId="7254" xr:uid="{00000000-0005-0000-0000-0000C4100000}"/>
    <cellStyle name="Normal 2 4 5 5 2 2 2" xfId="24137" xr:uid="{DE20B552-48CF-4872-B2F4-DC8F257D8B3B}"/>
    <cellStyle name="Normal 2 4 5 5 2 2 3" xfId="32583" xr:uid="{3DAB9804-28C6-4DC0-89CC-434C1257086F}"/>
    <cellStyle name="Normal 2 4 5 5 2 2 4" xfId="15696" xr:uid="{C526909B-03E5-47FA-8A66-E550250D7A4F}"/>
    <cellStyle name="Normal 2 4 5 5 2 3" xfId="19919" xr:uid="{A61B0BE4-0E56-4989-BB92-BD0424149638}"/>
    <cellStyle name="Normal 2 4 5 5 2 4" xfId="28366" xr:uid="{0060F2CA-3E62-40BC-A3F9-3C99D0DECBEA}"/>
    <cellStyle name="Normal 2 4 5 5 2 5" xfId="11478" xr:uid="{F6964809-56E4-43FB-AE27-9832E1182FB2}"/>
    <cellStyle name="Normal 2 4 5 5 3" xfId="5109" xr:uid="{00000000-0005-0000-0000-0000C5100000}"/>
    <cellStyle name="Normal 2 4 5 5 3 2" xfId="21992" xr:uid="{0868FD6D-6FA9-42FF-8DB3-C7D6876C8CFE}"/>
    <cellStyle name="Normal 2 4 5 5 3 3" xfId="30438" xr:uid="{0068AD20-E0C2-4DC2-A4A0-38FF05534955}"/>
    <cellStyle name="Normal 2 4 5 5 3 4" xfId="13551" xr:uid="{34DE80C2-2158-4FC0-B034-680FF1E6987F}"/>
    <cellStyle name="Normal 2 4 5 5 4" xfId="17774" xr:uid="{1E167FBC-EA03-437B-98DA-18863AEF0097}"/>
    <cellStyle name="Normal 2 4 5 5 5" xfId="26219" xr:uid="{857BF522-A765-42EF-9DE9-9907F9CC86EE}"/>
    <cellStyle name="Normal 2 4 5 5 6" xfId="9333" xr:uid="{AA7A3C88-54F1-44CF-9FDA-48A009D42723}"/>
    <cellStyle name="Normal 2 4 5 6" xfId="1214" xr:uid="{00000000-0005-0000-0000-0000C6100000}"/>
    <cellStyle name="Normal 2 4 5 6 2" xfId="3444" xr:uid="{00000000-0005-0000-0000-0000C7100000}"/>
    <cellStyle name="Normal 2 4 5 6 2 2" xfId="7667" xr:uid="{00000000-0005-0000-0000-0000C8100000}"/>
    <cellStyle name="Normal 2 4 5 6 2 2 2" xfId="24550" xr:uid="{F5DEFF28-2054-46F3-BB04-46A116C85F4D}"/>
    <cellStyle name="Normal 2 4 5 6 2 2 3" xfId="32996" xr:uid="{43580244-4902-486B-90C3-2E76902B0A3B}"/>
    <cellStyle name="Normal 2 4 5 6 2 2 4" xfId="16109" xr:uid="{88FC038B-2AA1-486D-8F53-D16490AED1CA}"/>
    <cellStyle name="Normal 2 4 5 6 2 3" xfId="20332" xr:uid="{44010106-1D70-459A-98B0-2F0051F04558}"/>
    <cellStyle name="Normal 2 4 5 6 2 4" xfId="28779" xr:uid="{58168888-67F2-46ED-93D5-14122CAF6746}"/>
    <cellStyle name="Normal 2 4 5 6 2 5" xfId="11891" xr:uid="{FEBF40DF-82BA-4D8F-AF46-D86D9EA0AFD5}"/>
    <cellStyle name="Normal 2 4 5 6 3" xfId="5522" xr:uid="{00000000-0005-0000-0000-0000C9100000}"/>
    <cellStyle name="Normal 2 4 5 6 3 2" xfId="22405" xr:uid="{4894F4A5-8D92-4019-ABBE-6E95A04C337D}"/>
    <cellStyle name="Normal 2 4 5 6 3 3" xfId="30851" xr:uid="{788898AA-3E7A-43C4-8BC3-5B8E42318943}"/>
    <cellStyle name="Normal 2 4 5 6 3 4" xfId="13964" xr:uid="{9B9A5829-8605-4637-A34A-8D11F8806482}"/>
    <cellStyle name="Normal 2 4 5 6 4" xfId="18187" xr:uid="{DC9D7169-BE56-41FF-9F03-577EEBC38629}"/>
    <cellStyle name="Normal 2 4 5 6 5" xfId="26632" xr:uid="{D08C3138-34C9-40FA-831D-E08D6ED75B46}"/>
    <cellStyle name="Normal 2 4 5 6 6" xfId="9746" xr:uid="{523F4B68-E72B-420A-AFE6-4BDD46C2D810}"/>
    <cellStyle name="Normal 2 4 5 7" xfId="1627" xr:uid="{00000000-0005-0000-0000-0000CA100000}"/>
    <cellStyle name="Normal 2 4 5 7 2" xfId="3857" xr:uid="{00000000-0005-0000-0000-0000CB100000}"/>
    <cellStyle name="Normal 2 4 5 7 2 2" xfId="8080" xr:uid="{00000000-0005-0000-0000-0000CC100000}"/>
    <cellStyle name="Normal 2 4 5 7 2 2 2" xfId="24963" xr:uid="{CECB43BE-5491-4094-A75C-6B766AA0F3AB}"/>
    <cellStyle name="Normal 2 4 5 7 2 2 3" xfId="33409" xr:uid="{F37BBB0B-1E7D-4291-B785-45F7882F4B39}"/>
    <cellStyle name="Normal 2 4 5 7 2 2 4" xfId="16522" xr:uid="{990D59FE-281A-400A-9806-CF33FD6AB1BF}"/>
    <cellStyle name="Normal 2 4 5 7 2 3" xfId="20745" xr:uid="{CD9DA9D5-248E-4B3F-8169-CCAA25B46A7A}"/>
    <cellStyle name="Normal 2 4 5 7 2 4" xfId="29192" xr:uid="{94E6A2C3-80AE-4CD2-B285-31358E505173}"/>
    <cellStyle name="Normal 2 4 5 7 2 5" xfId="12304" xr:uid="{259F11F9-9ED1-4A7B-9544-5552F99BE7F4}"/>
    <cellStyle name="Normal 2 4 5 7 3" xfId="5935" xr:uid="{00000000-0005-0000-0000-0000CD100000}"/>
    <cellStyle name="Normal 2 4 5 7 3 2" xfId="22818" xr:uid="{03855DA6-C4EF-4C3A-96D2-BFD1C21E0751}"/>
    <cellStyle name="Normal 2 4 5 7 3 3" xfId="31264" xr:uid="{BC5B1ABA-6E5D-452A-8124-00403E89D85C}"/>
    <cellStyle name="Normal 2 4 5 7 3 4" xfId="14377" xr:uid="{58A69188-63A8-44AC-894F-B2C064AF120A}"/>
    <cellStyle name="Normal 2 4 5 7 4" xfId="18600" xr:uid="{9355F78F-148A-4360-A77C-DA0FC44956D4}"/>
    <cellStyle name="Normal 2 4 5 7 5" xfId="27045" xr:uid="{AF331BF3-EC0A-4267-BE41-2AB1532B9E8B}"/>
    <cellStyle name="Normal 2 4 5 7 6" xfId="10159" xr:uid="{0E655F3D-5FF8-45D6-8DB6-3DACC0A01BD3}"/>
    <cellStyle name="Normal 2 4 5 8" xfId="2041" xr:uid="{00000000-0005-0000-0000-0000CE100000}"/>
    <cellStyle name="Normal 2 4 5 8 2" xfId="4270" xr:uid="{00000000-0005-0000-0000-0000CF100000}"/>
    <cellStyle name="Normal 2 4 5 8 2 2" xfId="8493" xr:uid="{00000000-0005-0000-0000-0000D0100000}"/>
    <cellStyle name="Normal 2 4 5 8 2 2 2" xfId="25376" xr:uid="{4E223B8B-B913-4C5F-BBC9-51691F4AA7C6}"/>
    <cellStyle name="Normal 2 4 5 8 2 2 3" xfId="33822" xr:uid="{46AF95F7-0142-4143-B2BB-946A9D366CBF}"/>
    <cellStyle name="Normal 2 4 5 8 2 2 4" xfId="16935" xr:uid="{91463BCF-C016-48B0-97A6-1FA3694F61F9}"/>
    <cellStyle name="Normal 2 4 5 8 2 3" xfId="21158" xr:uid="{8A5B846C-92FB-4767-A86D-0FF5F7F1984A}"/>
    <cellStyle name="Normal 2 4 5 8 2 4" xfId="29605" xr:uid="{092040CD-ABFC-4431-9689-42B9A7AE936F}"/>
    <cellStyle name="Normal 2 4 5 8 2 5" xfId="12717" xr:uid="{983A7D1A-376A-4C0C-839F-BC842B4806D9}"/>
    <cellStyle name="Normal 2 4 5 8 3" xfId="6348" xr:uid="{00000000-0005-0000-0000-0000D1100000}"/>
    <cellStyle name="Normal 2 4 5 8 3 2" xfId="23231" xr:uid="{7DE65EE8-0063-479D-8EFF-579EAD7EA951}"/>
    <cellStyle name="Normal 2 4 5 8 3 3" xfId="31677" xr:uid="{E2918A8B-226B-4EE2-841D-8A44670BC835}"/>
    <cellStyle name="Normal 2 4 5 8 3 4" xfId="14790" xr:uid="{62B0B29D-F54D-4E47-B7EA-7A1FD2EC8BC4}"/>
    <cellStyle name="Normal 2 4 5 8 4" xfId="19013" xr:uid="{572548A3-D679-469A-B1E7-99C5B9E95FE7}"/>
    <cellStyle name="Normal 2 4 5 8 5" xfId="27458" xr:uid="{BECB7B25-F192-405C-9B66-C967DB240430}"/>
    <cellStyle name="Normal 2 4 5 8 6" xfId="10572" xr:uid="{495A8049-31E3-4584-AF35-A181078A78ED}"/>
    <cellStyle name="Normal 2 4 5 9" xfId="2477" xr:uid="{00000000-0005-0000-0000-0000D2100000}"/>
    <cellStyle name="Normal 2 4 5 9 2" xfId="6761" xr:uid="{00000000-0005-0000-0000-0000D3100000}"/>
    <cellStyle name="Normal 2 4 5 9 2 2" xfId="23644" xr:uid="{098E4EA4-BB39-4F43-A753-3C08A052D7EC}"/>
    <cellStyle name="Normal 2 4 5 9 2 3" xfId="32090" xr:uid="{6C7C5B4A-FA5E-4EAF-84CC-05778D4FB968}"/>
    <cellStyle name="Normal 2 4 5 9 2 4" xfId="15203" xr:uid="{E365EEC6-78C2-4EDA-AB6C-E8A4AA26247B}"/>
    <cellStyle name="Normal 2 4 5 9 3" xfId="19426" xr:uid="{E9C00AE0-400D-4569-AD17-3DC2EF5AC204}"/>
    <cellStyle name="Normal 2 4 5 9 4" xfId="27871" xr:uid="{16D24B3F-0D6D-4C65-906E-68348E34CA12}"/>
    <cellStyle name="Normal 2 4 5 9 5" xfId="10985" xr:uid="{2E7BB155-346A-44EC-A200-5E9A338E85A9}"/>
    <cellStyle name="Normal 2 4 6" xfId="311" xr:uid="{00000000-0005-0000-0000-0000D4100000}"/>
    <cellStyle name="Normal 2 4 7" xfId="312" xr:uid="{00000000-0005-0000-0000-0000D5100000}"/>
    <cellStyle name="Normal 2 4 7 10" xfId="25812" xr:uid="{4CA883E8-A1A5-4AB8-A61E-B1678DF182FC}"/>
    <cellStyle name="Normal 2 4 7 11" xfId="8927" xr:uid="{66676FC9-DE1D-467A-A33C-0791132DAA70}"/>
    <cellStyle name="Normal 2 4 7 2" xfId="313" xr:uid="{00000000-0005-0000-0000-0000D6100000}"/>
    <cellStyle name="Normal 2 4 7 2 10" xfId="8928" xr:uid="{F80BD571-A758-49BF-942F-C65D29429B29}"/>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24146" xr:uid="{E6A04E5B-EF3D-4533-83EF-A9FC9CE521ED}"/>
    <cellStyle name="Normal 2 4 7 2 2 2 2 3" xfId="32592" xr:uid="{181F9771-AA03-4901-A932-C6E2A7211A74}"/>
    <cellStyle name="Normal 2 4 7 2 2 2 2 4" xfId="15705" xr:uid="{46711955-6572-4750-BD27-CCFDD84A2904}"/>
    <cellStyle name="Normal 2 4 7 2 2 2 3" xfId="19928" xr:uid="{4F246288-BBA9-4B21-A49E-F91E6FD0A2E2}"/>
    <cellStyle name="Normal 2 4 7 2 2 2 4" xfId="28375" xr:uid="{3848B41A-BEA4-4391-975D-387091E314AF}"/>
    <cellStyle name="Normal 2 4 7 2 2 2 5" xfId="11487" xr:uid="{7465A22C-4D32-4CAC-8C63-62ED4AE884DB}"/>
    <cellStyle name="Normal 2 4 7 2 2 3" xfId="5118" xr:uid="{00000000-0005-0000-0000-0000DA100000}"/>
    <cellStyle name="Normal 2 4 7 2 2 3 2" xfId="22001" xr:uid="{8D0B0C7A-1FA9-4C52-A71B-85ACC8761D3E}"/>
    <cellStyle name="Normal 2 4 7 2 2 3 3" xfId="30447" xr:uid="{02A08B41-AF7C-45FC-A8A2-0064B3C9CDC7}"/>
    <cellStyle name="Normal 2 4 7 2 2 3 4" xfId="13560" xr:uid="{FB65BE9C-8068-4B8A-B080-E0AD26695AB1}"/>
    <cellStyle name="Normal 2 4 7 2 2 4" xfId="17783" xr:uid="{B4319074-0CD3-4F22-937F-710FE481E70A}"/>
    <cellStyle name="Normal 2 4 7 2 2 5" xfId="26228" xr:uid="{A14EB69B-DA08-40C3-9C20-1FCDCA6ED75A}"/>
    <cellStyle name="Normal 2 4 7 2 2 6" xfId="9342" xr:uid="{7737052C-D3E0-4037-8A6F-1C340DCD0064}"/>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24559" xr:uid="{2BF6182E-88F0-4388-8EE0-88E6879B464E}"/>
    <cellStyle name="Normal 2 4 7 2 3 2 2 3" xfId="33005" xr:uid="{B40D8605-EC50-4ED1-8861-6552C35BF1CB}"/>
    <cellStyle name="Normal 2 4 7 2 3 2 2 4" xfId="16118" xr:uid="{03A26EFB-AA14-4F78-8371-DB043497BDE2}"/>
    <cellStyle name="Normal 2 4 7 2 3 2 3" xfId="20341" xr:uid="{DA0C232A-0500-41AF-AE45-6EA2C59F9D5E}"/>
    <cellStyle name="Normal 2 4 7 2 3 2 4" xfId="28788" xr:uid="{AAEAE068-7DEC-4994-A293-067400278C43}"/>
    <cellStyle name="Normal 2 4 7 2 3 2 5" xfId="11900" xr:uid="{1AA5B040-3E99-488C-B309-5D4F009123DC}"/>
    <cellStyle name="Normal 2 4 7 2 3 3" xfId="5531" xr:uid="{00000000-0005-0000-0000-0000DE100000}"/>
    <cellStyle name="Normal 2 4 7 2 3 3 2" xfId="22414" xr:uid="{DEDD5179-5B11-4062-B057-6B79F4776A21}"/>
    <cellStyle name="Normal 2 4 7 2 3 3 3" xfId="30860" xr:uid="{4CACF5F8-2F59-4C3A-AFE0-1F222E3B11B1}"/>
    <cellStyle name="Normal 2 4 7 2 3 3 4" xfId="13973" xr:uid="{273D9816-0D81-4C62-B541-B04761D29371}"/>
    <cellStyle name="Normal 2 4 7 2 3 4" xfId="18196" xr:uid="{06F63BD6-22AF-4071-904F-5A52174A55F9}"/>
    <cellStyle name="Normal 2 4 7 2 3 5" xfId="26641" xr:uid="{05763551-6927-4986-AC52-EC6E58F9F9C8}"/>
    <cellStyle name="Normal 2 4 7 2 3 6" xfId="9755" xr:uid="{130CBA25-F289-417B-98B6-CDD96CBDEC3E}"/>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24972" xr:uid="{83F38E95-0BC5-4D0F-B368-A8F6DADAD2DE}"/>
    <cellStyle name="Normal 2 4 7 2 4 2 2 3" xfId="33418" xr:uid="{55951BB7-23C1-4390-B401-1E866A21892F}"/>
    <cellStyle name="Normal 2 4 7 2 4 2 2 4" xfId="16531" xr:uid="{542794A4-720C-47F4-A529-5C913E017224}"/>
    <cellStyle name="Normal 2 4 7 2 4 2 3" xfId="20754" xr:uid="{B326B224-3A87-4AFD-AC4B-B9497A75EC99}"/>
    <cellStyle name="Normal 2 4 7 2 4 2 4" xfId="29201" xr:uid="{489C6FA1-9736-41A8-89B2-2106439C5779}"/>
    <cellStyle name="Normal 2 4 7 2 4 2 5" xfId="12313" xr:uid="{03AC954F-36DB-495D-B0E6-C325BED2ADDF}"/>
    <cellStyle name="Normal 2 4 7 2 4 3" xfId="5944" xr:uid="{00000000-0005-0000-0000-0000E2100000}"/>
    <cellStyle name="Normal 2 4 7 2 4 3 2" xfId="22827" xr:uid="{FD901CDF-4107-42E2-AC64-3CBA9475778E}"/>
    <cellStyle name="Normal 2 4 7 2 4 3 3" xfId="31273" xr:uid="{E3CA93F4-1404-47DF-8C81-B3542A54EE56}"/>
    <cellStyle name="Normal 2 4 7 2 4 3 4" xfId="14386" xr:uid="{A2C9DF2B-8747-4982-A0CB-A3F905C15446}"/>
    <cellStyle name="Normal 2 4 7 2 4 4" xfId="18609" xr:uid="{26EEA76E-F19A-4B48-BBB0-D23DD0C924DE}"/>
    <cellStyle name="Normal 2 4 7 2 4 5" xfId="27054" xr:uid="{4FC03994-48F0-4029-A7E4-F80D57CF25D8}"/>
    <cellStyle name="Normal 2 4 7 2 4 6" xfId="10168" xr:uid="{52F328AC-31CC-47C0-98DA-90947C1489B6}"/>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25385" xr:uid="{91FED41A-F80C-4B53-85BF-0E4D25D27779}"/>
    <cellStyle name="Normal 2 4 7 2 5 2 2 3" xfId="33831" xr:uid="{053C0EBA-8EE2-42A5-8810-0CA868D27D21}"/>
    <cellStyle name="Normal 2 4 7 2 5 2 2 4" xfId="16944" xr:uid="{776AA7DC-45E7-4462-AB7F-BDBE42872160}"/>
    <cellStyle name="Normal 2 4 7 2 5 2 3" xfId="21167" xr:uid="{2F74336C-05CB-421B-B44D-A103CC359315}"/>
    <cellStyle name="Normal 2 4 7 2 5 2 4" xfId="29614" xr:uid="{048B7CB9-B8DB-4CC8-BEFF-1E5BAF445681}"/>
    <cellStyle name="Normal 2 4 7 2 5 2 5" xfId="12726" xr:uid="{45BAF838-00B1-4A3A-BEA4-F321C06FEAC0}"/>
    <cellStyle name="Normal 2 4 7 2 5 3" xfId="6357" xr:uid="{00000000-0005-0000-0000-0000E6100000}"/>
    <cellStyle name="Normal 2 4 7 2 5 3 2" xfId="23240" xr:uid="{9D17DBC3-AF74-4AE7-978C-D8DDAB5AC755}"/>
    <cellStyle name="Normal 2 4 7 2 5 3 3" xfId="31686" xr:uid="{497C4312-38AD-48FD-B684-0CCD26125256}"/>
    <cellStyle name="Normal 2 4 7 2 5 3 4" xfId="14799" xr:uid="{062A7C3C-FEF5-4F2D-84A4-35E0C10AA4E6}"/>
    <cellStyle name="Normal 2 4 7 2 5 4" xfId="19022" xr:uid="{18547769-BA47-4C6D-8596-61D3C4CCCA1D}"/>
    <cellStyle name="Normal 2 4 7 2 5 5" xfId="27467" xr:uid="{A5E9ECB8-A0E5-4351-8601-00FD787D943E}"/>
    <cellStyle name="Normal 2 4 7 2 5 6" xfId="10581" xr:uid="{977DD74F-0E3F-4867-B48D-139CDE0F4665}"/>
    <cellStyle name="Normal 2 4 7 2 6" xfId="2486" xr:uid="{00000000-0005-0000-0000-0000E7100000}"/>
    <cellStyle name="Normal 2 4 7 2 6 2" xfId="6770" xr:uid="{00000000-0005-0000-0000-0000E8100000}"/>
    <cellStyle name="Normal 2 4 7 2 6 2 2" xfId="23653" xr:uid="{B8C1B278-5A36-4D06-A252-5FEB9E0B2508}"/>
    <cellStyle name="Normal 2 4 7 2 6 2 3" xfId="32099" xr:uid="{31B02D6E-BD8A-4227-A9BB-977E95BA7E02}"/>
    <cellStyle name="Normal 2 4 7 2 6 2 4" xfId="15212" xr:uid="{9C438BBD-00B5-4D81-8869-2F82C8BB2387}"/>
    <cellStyle name="Normal 2 4 7 2 6 3" xfId="19435" xr:uid="{52DF7FA6-E71D-4B06-AD57-6B7863643F25}"/>
    <cellStyle name="Normal 2 4 7 2 6 4" xfId="27880" xr:uid="{C9C2EA87-CAF2-4CFA-B587-5492FA13C084}"/>
    <cellStyle name="Normal 2 4 7 2 6 5" xfId="10994" xr:uid="{E6DF3CC0-0DFE-4B76-82A1-533781D096A4}"/>
    <cellStyle name="Normal 2 4 7 2 7" xfId="4704" xr:uid="{00000000-0005-0000-0000-0000E9100000}"/>
    <cellStyle name="Normal 2 4 7 2 7 2" xfId="21587" xr:uid="{694F9E72-3CB4-4774-BA69-CBA303591002}"/>
    <cellStyle name="Normal 2 4 7 2 7 3" xfId="30033" xr:uid="{4C4C5FDB-6F0B-4BA9-99FF-C47F286883F8}"/>
    <cellStyle name="Normal 2 4 7 2 7 4" xfId="13146" xr:uid="{B9924641-4BF5-4CB4-9087-9F721511E465}"/>
    <cellStyle name="Normal 2 4 7 2 8" xfId="17369" xr:uid="{32F49214-0E6E-4F17-9ABA-F89E513D5676}"/>
    <cellStyle name="Normal 2 4 7 2 9" xfId="25813" xr:uid="{08A54622-A6EA-425D-A483-DD2F608A9D3B}"/>
    <cellStyle name="Normal 2 4 7 3" xfId="800" xr:uid="{00000000-0005-0000-0000-0000EA100000}"/>
    <cellStyle name="Normal 2 4 7 3 2" xfId="3039" xr:uid="{00000000-0005-0000-0000-0000EB100000}"/>
    <cellStyle name="Normal 2 4 7 3 2 2" xfId="7262" xr:uid="{00000000-0005-0000-0000-0000EC100000}"/>
    <cellStyle name="Normal 2 4 7 3 2 2 2" xfId="24145" xr:uid="{1C1F6B93-FB0A-41E0-BE32-779978B23245}"/>
    <cellStyle name="Normal 2 4 7 3 2 2 3" xfId="32591" xr:uid="{F26E7CB1-A094-4394-9D18-2DA03B6D0EDB}"/>
    <cellStyle name="Normal 2 4 7 3 2 2 4" xfId="15704" xr:uid="{F1ABFEA1-971A-468A-A8C3-943B0A13EC47}"/>
    <cellStyle name="Normal 2 4 7 3 2 3" xfId="19927" xr:uid="{C0D4E002-E8F7-4E8F-892D-390DBACDE86E}"/>
    <cellStyle name="Normal 2 4 7 3 2 4" xfId="28374" xr:uid="{CF7200AF-E402-4BDC-B3D9-89AC179C8861}"/>
    <cellStyle name="Normal 2 4 7 3 2 5" xfId="11486" xr:uid="{2882ACD8-ECA0-4A80-A9DD-0DB2A7CD4C0D}"/>
    <cellStyle name="Normal 2 4 7 3 3" xfId="5117" xr:uid="{00000000-0005-0000-0000-0000ED100000}"/>
    <cellStyle name="Normal 2 4 7 3 3 2" xfId="22000" xr:uid="{87E321A4-961E-45D2-BDB2-82EE218495AF}"/>
    <cellStyle name="Normal 2 4 7 3 3 3" xfId="30446" xr:uid="{C3ADF115-BF2F-4DE2-8BB0-449F0C7EB8D9}"/>
    <cellStyle name="Normal 2 4 7 3 3 4" xfId="13559" xr:uid="{60541878-39B0-4916-A388-EBED52FC7D14}"/>
    <cellStyle name="Normal 2 4 7 3 4" xfId="17782" xr:uid="{C21EE25B-4243-450F-8C3E-ABDD16E062D9}"/>
    <cellStyle name="Normal 2 4 7 3 5" xfId="26227" xr:uid="{298797C9-2749-431E-91C0-CBD917914498}"/>
    <cellStyle name="Normal 2 4 7 3 6" xfId="9341" xr:uid="{B2B1DE47-928E-4490-BD99-CB728B8A1AC4}"/>
    <cellStyle name="Normal 2 4 7 4" xfId="1222" xr:uid="{00000000-0005-0000-0000-0000EE100000}"/>
    <cellStyle name="Normal 2 4 7 4 2" xfId="3452" xr:uid="{00000000-0005-0000-0000-0000EF100000}"/>
    <cellStyle name="Normal 2 4 7 4 2 2" xfId="7675" xr:uid="{00000000-0005-0000-0000-0000F0100000}"/>
    <cellStyle name="Normal 2 4 7 4 2 2 2" xfId="24558" xr:uid="{22FDEE3D-401F-427F-A49B-1F7C77BBFD45}"/>
    <cellStyle name="Normal 2 4 7 4 2 2 3" xfId="33004" xr:uid="{1CF9686A-558D-421E-9A7E-2429E688675A}"/>
    <cellStyle name="Normal 2 4 7 4 2 2 4" xfId="16117" xr:uid="{F0B0109D-B41A-4F34-BC56-3FDBFE49189C}"/>
    <cellStyle name="Normal 2 4 7 4 2 3" xfId="20340" xr:uid="{1663C3D5-E494-4055-8A82-AFDB82193CD3}"/>
    <cellStyle name="Normal 2 4 7 4 2 4" xfId="28787" xr:uid="{AA75D223-9C95-46CA-8177-795B42B55466}"/>
    <cellStyle name="Normal 2 4 7 4 2 5" xfId="11899" xr:uid="{12513D35-180B-4ADC-9DA8-02F792777EC0}"/>
    <cellStyle name="Normal 2 4 7 4 3" xfId="5530" xr:uid="{00000000-0005-0000-0000-0000F1100000}"/>
    <cellStyle name="Normal 2 4 7 4 3 2" xfId="22413" xr:uid="{8E5DD4F6-5982-4416-9BF9-46C48F135BF8}"/>
    <cellStyle name="Normal 2 4 7 4 3 3" xfId="30859" xr:uid="{ABF8C697-41A1-4606-BB2B-D31B848E1138}"/>
    <cellStyle name="Normal 2 4 7 4 3 4" xfId="13972" xr:uid="{6468C7D4-5300-4801-928A-50A91C9E6A77}"/>
    <cellStyle name="Normal 2 4 7 4 4" xfId="18195" xr:uid="{E9B654BC-289A-4135-A261-485C9B828FF4}"/>
    <cellStyle name="Normal 2 4 7 4 5" xfId="26640" xr:uid="{F4D6E45C-F6BC-49E5-8985-95E48C79433E}"/>
    <cellStyle name="Normal 2 4 7 4 6" xfId="9754" xr:uid="{13FD4CC5-651A-43A8-952F-35034A841727}"/>
    <cellStyle name="Normal 2 4 7 5" xfId="1635" xr:uid="{00000000-0005-0000-0000-0000F2100000}"/>
    <cellStyle name="Normal 2 4 7 5 2" xfId="3865" xr:uid="{00000000-0005-0000-0000-0000F3100000}"/>
    <cellStyle name="Normal 2 4 7 5 2 2" xfId="8088" xr:uid="{00000000-0005-0000-0000-0000F4100000}"/>
    <cellStyle name="Normal 2 4 7 5 2 2 2" xfId="24971" xr:uid="{65B6B180-FCD2-40B3-AFDB-7949725782ED}"/>
    <cellStyle name="Normal 2 4 7 5 2 2 3" xfId="33417" xr:uid="{568745B1-A218-4EDF-88A4-D6A2A2B76AE2}"/>
    <cellStyle name="Normal 2 4 7 5 2 2 4" xfId="16530" xr:uid="{ADC1AAA4-C586-4BE0-B6D8-59F91407013A}"/>
    <cellStyle name="Normal 2 4 7 5 2 3" xfId="20753" xr:uid="{047F25AA-DFAB-45A0-9B0B-F44AEC8A5914}"/>
    <cellStyle name="Normal 2 4 7 5 2 4" xfId="29200" xr:uid="{E42ACC53-7A1F-4367-953A-098711D3A36C}"/>
    <cellStyle name="Normal 2 4 7 5 2 5" xfId="12312" xr:uid="{8B1E4638-6246-4A71-B9BC-7DDCF47CAC9C}"/>
    <cellStyle name="Normal 2 4 7 5 3" xfId="5943" xr:uid="{00000000-0005-0000-0000-0000F5100000}"/>
    <cellStyle name="Normal 2 4 7 5 3 2" xfId="22826" xr:uid="{C50A2B22-4C81-4094-8A19-C77CA5E8708C}"/>
    <cellStyle name="Normal 2 4 7 5 3 3" xfId="31272" xr:uid="{8400922E-E451-4C95-9A61-01B405AB122B}"/>
    <cellStyle name="Normal 2 4 7 5 3 4" xfId="14385" xr:uid="{9812001C-6273-4159-86DA-F4D14DC7E430}"/>
    <cellStyle name="Normal 2 4 7 5 4" xfId="18608" xr:uid="{F00F9A93-8F24-450C-B5D9-93B1E8947629}"/>
    <cellStyle name="Normal 2 4 7 5 5" xfId="27053" xr:uid="{915A49A9-7D5B-4686-B7DF-A92D29DF496F}"/>
    <cellStyle name="Normal 2 4 7 5 6" xfId="10167" xr:uid="{C5C345C6-8593-41C3-93DD-A9A68653E9E9}"/>
    <cellStyle name="Normal 2 4 7 6" xfId="2049" xr:uid="{00000000-0005-0000-0000-0000F6100000}"/>
    <cellStyle name="Normal 2 4 7 6 2" xfId="4278" xr:uid="{00000000-0005-0000-0000-0000F7100000}"/>
    <cellStyle name="Normal 2 4 7 6 2 2" xfId="8501" xr:uid="{00000000-0005-0000-0000-0000F8100000}"/>
    <cellStyle name="Normal 2 4 7 6 2 2 2" xfId="25384" xr:uid="{0BB30ED0-99B1-4855-8B97-569452473076}"/>
    <cellStyle name="Normal 2 4 7 6 2 2 3" xfId="33830" xr:uid="{0C8BDCA5-585F-49EC-A654-E0088A0F32F6}"/>
    <cellStyle name="Normal 2 4 7 6 2 2 4" xfId="16943" xr:uid="{257EC2B9-F7FF-40D1-8EB0-07747DC19226}"/>
    <cellStyle name="Normal 2 4 7 6 2 3" xfId="21166" xr:uid="{06CAC9F2-DCF7-41D1-AA9E-66517519D638}"/>
    <cellStyle name="Normal 2 4 7 6 2 4" xfId="29613" xr:uid="{064AF70E-5463-49EC-9513-1C4E1AAB0F1A}"/>
    <cellStyle name="Normal 2 4 7 6 2 5" xfId="12725" xr:uid="{A31E74F2-6324-45EA-AC35-2F86FB3E5033}"/>
    <cellStyle name="Normal 2 4 7 6 3" xfId="6356" xr:uid="{00000000-0005-0000-0000-0000F9100000}"/>
    <cellStyle name="Normal 2 4 7 6 3 2" xfId="23239" xr:uid="{7034B0A3-FB81-4B7C-9550-FFDB30445781}"/>
    <cellStyle name="Normal 2 4 7 6 3 3" xfId="31685" xr:uid="{DD723245-613F-4775-BF01-0794D5D086DA}"/>
    <cellStyle name="Normal 2 4 7 6 3 4" xfId="14798" xr:uid="{EAD8FA7F-E36E-404E-9006-2E1045A97A46}"/>
    <cellStyle name="Normal 2 4 7 6 4" xfId="19021" xr:uid="{0B1920E0-6ECA-4F90-A68E-9D0B2D70DABF}"/>
    <cellStyle name="Normal 2 4 7 6 5" xfId="27466" xr:uid="{6A955DEE-BBE0-4D44-BD21-C09685DF4D0E}"/>
    <cellStyle name="Normal 2 4 7 6 6" xfId="10580" xr:uid="{3719D2A9-4AFD-437B-89F8-A31FD7E03863}"/>
    <cellStyle name="Normal 2 4 7 7" xfId="2485" xr:uid="{00000000-0005-0000-0000-0000FA100000}"/>
    <cellStyle name="Normal 2 4 7 7 2" xfId="6769" xr:uid="{00000000-0005-0000-0000-0000FB100000}"/>
    <cellStyle name="Normal 2 4 7 7 2 2" xfId="23652" xr:uid="{14D0A5B9-1D6C-4DCB-A9FA-22F8ACB40EA3}"/>
    <cellStyle name="Normal 2 4 7 7 2 3" xfId="32098" xr:uid="{AAE7A43A-7A19-4F06-B251-787995B19B67}"/>
    <cellStyle name="Normal 2 4 7 7 2 4" xfId="15211" xr:uid="{AC6D823D-0D30-4353-B459-71C217524217}"/>
    <cellStyle name="Normal 2 4 7 7 3" xfId="19434" xr:uid="{46B853CE-92C7-489F-8A86-43E6C7CCC4CC}"/>
    <cellStyle name="Normal 2 4 7 7 4" xfId="27879" xr:uid="{108161B2-859C-4F08-AEAE-258297D90657}"/>
    <cellStyle name="Normal 2 4 7 7 5" xfId="10993" xr:uid="{BCCB7E6A-D98C-468E-A76B-350EC4A69FD7}"/>
    <cellStyle name="Normal 2 4 7 8" xfId="4703" xr:uid="{00000000-0005-0000-0000-0000FC100000}"/>
    <cellStyle name="Normal 2 4 7 8 2" xfId="21586" xr:uid="{1E1C0B3F-D399-44EA-931A-441D00DEB270}"/>
    <cellStyle name="Normal 2 4 7 8 3" xfId="30032" xr:uid="{FADDE396-9BA8-41BF-95F2-0BAC3272617F}"/>
    <cellStyle name="Normal 2 4 7 8 4" xfId="13145" xr:uid="{612259D5-C7E1-4635-8E20-635F7BD69212}"/>
    <cellStyle name="Normal 2 4 7 9" xfId="17368" xr:uid="{ED7CE002-390F-4A53-915D-5BF74AFD8A43}"/>
    <cellStyle name="Normal 2 4 8" xfId="314" xr:uid="{00000000-0005-0000-0000-0000FD100000}"/>
    <cellStyle name="Normal 2 4 8 10" xfId="8929" xr:uid="{242AC08B-4801-46A4-9483-4CCE043C3EF1}"/>
    <cellStyle name="Normal 2 4 8 2" xfId="802" xr:uid="{00000000-0005-0000-0000-0000FE100000}"/>
    <cellStyle name="Normal 2 4 8 2 2" xfId="3041" xr:uid="{00000000-0005-0000-0000-0000FF100000}"/>
    <cellStyle name="Normal 2 4 8 2 2 2" xfId="7264" xr:uid="{00000000-0005-0000-0000-000000110000}"/>
    <cellStyle name="Normal 2 4 8 2 2 2 2" xfId="24147" xr:uid="{11F11A8B-F378-4F79-90BC-976FC8D72C00}"/>
    <cellStyle name="Normal 2 4 8 2 2 2 3" xfId="32593" xr:uid="{1E4CECDB-8F8C-4E44-B158-4B4A4DB4FABB}"/>
    <cellStyle name="Normal 2 4 8 2 2 2 4" xfId="15706" xr:uid="{75CA7800-DCB1-4522-BA1F-9A70D8EA4710}"/>
    <cellStyle name="Normal 2 4 8 2 2 3" xfId="19929" xr:uid="{50228B84-B519-4BEB-BC25-3D2530D8B909}"/>
    <cellStyle name="Normal 2 4 8 2 2 4" xfId="28376" xr:uid="{9B423210-8E03-43B8-9150-B9D2A958D09C}"/>
    <cellStyle name="Normal 2 4 8 2 2 5" xfId="11488" xr:uid="{17D69EC3-9581-4208-9657-F8F44931F1A7}"/>
    <cellStyle name="Normal 2 4 8 2 3" xfId="5119" xr:uid="{00000000-0005-0000-0000-000001110000}"/>
    <cellStyle name="Normal 2 4 8 2 3 2" xfId="22002" xr:uid="{0C6E38A2-AB6B-4B43-AC76-DAB511857697}"/>
    <cellStyle name="Normal 2 4 8 2 3 3" xfId="30448" xr:uid="{8033C3CF-D142-4397-8174-C328B7F587EE}"/>
    <cellStyle name="Normal 2 4 8 2 3 4" xfId="13561" xr:uid="{97B6BE5C-EA6C-448E-9398-FB3F66CE4925}"/>
    <cellStyle name="Normal 2 4 8 2 4" xfId="17784" xr:uid="{2A3B4775-F5D9-4608-B343-6D7FE4CC8120}"/>
    <cellStyle name="Normal 2 4 8 2 5" xfId="26229" xr:uid="{A44DE34E-10AE-4697-9A26-5C438C3BDCCE}"/>
    <cellStyle name="Normal 2 4 8 2 6" xfId="9343" xr:uid="{1EAC65FE-06EB-4D88-9EDC-F337B15CBFFD}"/>
    <cellStyle name="Normal 2 4 8 3" xfId="1224" xr:uid="{00000000-0005-0000-0000-000002110000}"/>
    <cellStyle name="Normal 2 4 8 3 2" xfId="3454" xr:uid="{00000000-0005-0000-0000-000003110000}"/>
    <cellStyle name="Normal 2 4 8 3 2 2" xfId="7677" xr:uid="{00000000-0005-0000-0000-000004110000}"/>
    <cellStyle name="Normal 2 4 8 3 2 2 2" xfId="24560" xr:uid="{92F0CE57-E7A8-4A32-81D6-4791E94BF4A9}"/>
    <cellStyle name="Normal 2 4 8 3 2 2 3" xfId="33006" xr:uid="{2BD4043E-8DBE-4914-958F-85736738CF5C}"/>
    <cellStyle name="Normal 2 4 8 3 2 2 4" xfId="16119" xr:uid="{72FA668C-ADEE-46FB-8DB8-9112AA2B0C55}"/>
    <cellStyle name="Normal 2 4 8 3 2 3" xfId="20342" xr:uid="{77948717-FFA8-4117-AF75-BFCE34DEAF54}"/>
    <cellStyle name="Normal 2 4 8 3 2 4" xfId="28789" xr:uid="{EA685EE9-55F4-491B-847A-F1DC096F3295}"/>
    <cellStyle name="Normal 2 4 8 3 2 5" xfId="11901" xr:uid="{6A4C94E6-432D-4C7E-B12F-AF9DB193621D}"/>
    <cellStyle name="Normal 2 4 8 3 3" xfId="5532" xr:uid="{00000000-0005-0000-0000-000005110000}"/>
    <cellStyle name="Normal 2 4 8 3 3 2" xfId="22415" xr:uid="{4280A097-62CD-4FAA-BF3F-22A366775D15}"/>
    <cellStyle name="Normal 2 4 8 3 3 3" xfId="30861" xr:uid="{760DB5DB-E190-47A4-B059-16EBFF990851}"/>
    <cellStyle name="Normal 2 4 8 3 3 4" xfId="13974" xr:uid="{710BF91D-89B1-497F-A10A-C906DCAC2BEE}"/>
    <cellStyle name="Normal 2 4 8 3 4" xfId="18197" xr:uid="{12809144-11E0-4916-B4CF-AB4A2803B0D5}"/>
    <cellStyle name="Normal 2 4 8 3 5" xfId="26642" xr:uid="{6240674A-A601-4413-A62D-C57772BADA51}"/>
    <cellStyle name="Normal 2 4 8 3 6" xfId="9756" xr:uid="{20EABAD7-C1E6-40CF-A1AD-08E5F113DEB5}"/>
    <cellStyle name="Normal 2 4 8 4" xfId="1637" xr:uid="{00000000-0005-0000-0000-000006110000}"/>
    <cellStyle name="Normal 2 4 8 4 2" xfId="3867" xr:uid="{00000000-0005-0000-0000-000007110000}"/>
    <cellStyle name="Normal 2 4 8 4 2 2" xfId="8090" xr:uid="{00000000-0005-0000-0000-000008110000}"/>
    <cellStyle name="Normal 2 4 8 4 2 2 2" xfId="24973" xr:uid="{2B714CBE-4B34-45FF-8C26-ADA594BAA06A}"/>
    <cellStyle name="Normal 2 4 8 4 2 2 3" xfId="33419" xr:uid="{52DCD80E-B072-40EE-B445-7A4A9DD3317B}"/>
    <cellStyle name="Normal 2 4 8 4 2 2 4" xfId="16532" xr:uid="{A1CF3478-3511-4FAC-B820-B37D3EF86163}"/>
    <cellStyle name="Normal 2 4 8 4 2 3" xfId="20755" xr:uid="{6F3512BF-0C7D-455B-9527-6E51EB12C9DA}"/>
    <cellStyle name="Normal 2 4 8 4 2 4" xfId="29202" xr:uid="{ACCBD713-32C3-4421-B62F-52B3908F3657}"/>
    <cellStyle name="Normal 2 4 8 4 2 5" xfId="12314" xr:uid="{BEB925F9-13FF-4AAC-8881-B0B208B34A40}"/>
    <cellStyle name="Normal 2 4 8 4 3" xfId="5945" xr:uid="{00000000-0005-0000-0000-000009110000}"/>
    <cellStyle name="Normal 2 4 8 4 3 2" xfId="22828" xr:uid="{F4DA9AE9-733B-4283-9B9D-B4B8DF2E46E5}"/>
    <cellStyle name="Normal 2 4 8 4 3 3" xfId="31274" xr:uid="{4CE3F130-15E1-43B0-9CB5-18FA963E25C7}"/>
    <cellStyle name="Normal 2 4 8 4 3 4" xfId="14387" xr:uid="{0A4C6DA7-E423-431D-B3BF-2D74D8923691}"/>
    <cellStyle name="Normal 2 4 8 4 4" xfId="18610" xr:uid="{3C91CEF7-AF5C-4889-AF4D-F9B6FFB63774}"/>
    <cellStyle name="Normal 2 4 8 4 5" xfId="27055" xr:uid="{C46B0312-714F-4D9E-AFFB-0DD30D60FAD3}"/>
    <cellStyle name="Normal 2 4 8 4 6" xfId="10169" xr:uid="{16F218E7-8571-420F-95A6-9901D3952192}"/>
    <cellStyle name="Normal 2 4 8 5" xfId="2051" xr:uid="{00000000-0005-0000-0000-00000A110000}"/>
    <cellStyle name="Normal 2 4 8 5 2" xfId="4280" xr:uid="{00000000-0005-0000-0000-00000B110000}"/>
    <cellStyle name="Normal 2 4 8 5 2 2" xfId="8503" xr:uid="{00000000-0005-0000-0000-00000C110000}"/>
    <cellStyle name="Normal 2 4 8 5 2 2 2" xfId="25386" xr:uid="{1A92517A-2744-415A-A656-BD4AE059651E}"/>
    <cellStyle name="Normal 2 4 8 5 2 2 3" xfId="33832" xr:uid="{02A8AA29-52CF-40DE-8EAD-67E86BBB3C82}"/>
    <cellStyle name="Normal 2 4 8 5 2 2 4" xfId="16945" xr:uid="{3272E40E-C6D3-4DA0-A835-8E3DAF28C3E3}"/>
    <cellStyle name="Normal 2 4 8 5 2 3" xfId="21168" xr:uid="{8F377929-22D8-4B1C-ACA2-B59FCA07E727}"/>
    <cellStyle name="Normal 2 4 8 5 2 4" xfId="29615" xr:uid="{7CD429B0-FA9A-409C-BDF9-DA17B4C721FB}"/>
    <cellStyle name="Normal 2 4 8 5 2 5" xfId="12727" xr:uid="{D5571705-1588-4B42-ACF5-8473BFB0B493}"/>
    <cellStyle name="Normal 2 4 8 5 3" xfId="6358" xr:uid="{00000000-0005-0000-0000-00000D110000}"/>
    <cellStyle name="Normal 2 4 8 5 3 2" xfId="23241" xr:uid="{377FB899-67F0-4D77-A1B0-7F29BAB6D446}"/>
    <cellStyle name="Normal 2 4 8 5 3 3" xfId="31687" xr:uid="{7DD85956-99CC-4B6E-BE52-A45120266477}"/>
    <cellStyle name="Normal 2 4 8 5 3 4" xfId="14800" xr:uid="{0EBF03B1-DF4D-4788-87FF-945AA252CB8D}"/>
    <cellStyle name="Normal 2 4 8 5 4" xfId="19023" xr:uid="{6A86DE77-EFA3-43CF-BB26-4D4D6FBF2BBE}"/>
    <cellStyle name="Normal 2 4 8 5 5" xfId="27468" xr:uid="{C1C36776-ACA7-4CD8-BAE6-420162FD0E69}"/>
    <cellStyle name="Normal 2 4 8 5 6" xfId="10582" xr:uid="{B2A4C1FF-ECFB-4482-92AC-0BF2329B5F4D}"/>
    <cellStyle name="Normal 2 4 8 6" xfId="2487" xr:uid="{00000000-0005-0000-0000-00000E110000}"/>
    <cellStyle name="Normal 2 4 8 6 2" xfId="6771" xr:uid="{00000000-0005-0000-0000-00000F110000}"/>
    <cellStyle name="Normal 2 4 8 6 2 2" xfId="23654" xr:uid="{C3ACCFA9-EEC4-45EF-B984-2D957FD299C0}"/>
    <cellStyle name="Normal 2 4 8 6 2 3" xfId="32100" xr:uid="{AABF97AB-9FC1-4CBB-933E-0F59B239C925}"/>
    <cellStyle name="Normal 2 4 8 6 2 4" xfId="15213" xr:uid="{0C240600-DF39-4CF9-ABF2-0FFBCDF50619}"/>
    <cellStyle name="Normal 2 4 8 6 3" xfId="19436" xr:uid="{10F3B4CB-285D-482F-B175-A2F36A8852E8}"/>
    <cellStyle name="Normal 2 4 8 6 4" xfId="27881" xr:uid="{DF2F4141-459F-447E-8BE0-CF142EFFB179}"/>
    <cellStyle name="Normal 2 4 8 6 5" xfId="10995" xr:uid="{331666E3-4295-44DA-B27F-A071CAC4FAC4}"/>
    <cellStyle name="Normal 2 4 8 7" xfId="4705" xr:uid="{00000000-0005-0000-0000-000010110000}"/>
    <cellStyle name="Normal 2 4 8 7 2" xfId="21588" xr:uid="{E76D830A-0D70-45ED-B5BC-E3335AF6384F}"/>
    <cellStyle name="Normal 2 4 8 7 3" xfId="30034" xr:uid="{1611308A-74AC-4CAB-97BB-8DDEA4EAB8FA}"/>
    <cellStyle name="Normal 2 4 8 7 4" xfId="13147" xr:uid="{92A56D93-E805-47FD-9226-7198F94C8D6E}"/>
    <cellStyle name="Normal 2 4 8 8" xfId="17370" xr:uid="{82C6EE30-B8DA-414F-8D8A-09895B8EFB6E}"/>
    <cellStyle name="Normal 2 4 8 9" xfId="25814" xr:uid="{C5EDD754-C516-45C0-AACD-733F32AC860E}"/>
    <cellStyle name="Normal 2 5" xfId="315" xr:uid="{00000000-0005-0000-0000-000011110000}"/>
    <cellStyle name="Normal 2 5 10" xfId="4706" xr:uid="{00000000-0005-0000-0000-000012110000}"/>
    <cellStyle name="Normal 2 5 10 2" xfId="21589" xr:uid="{BFC16AAC-7F2E-45A6-909B-8EEEA02AB903}"/>
    <cellStyle name="Normal 2 5 10 3" xfId="30035" xr:uid="{65545134-3F58-4029-8721-7A056FDBAB8B}"/>
    <cellStyle name="Normal 2 5 10 4" xfId="13148" xr:uid="{33B21F3E-FBF0-455F-BF46-24CF6D2669E7}"/>
    <cellStyle name="Normal 2 5 11" xfId="17371" xr:uid="{168F314B-169A-44F6-8B79-6634C748BE95}"/>
    <cellStyle name="Normal 2 5 12" xfId="25815" xr:uid="{11A3CA7D-0384-4932-BF4B-72E837D64E27}"/>
    <cellStyle name="Normal 2 5 13" xfId="34131" xr:uid="{E73DD9F8-262D-4262-9980-C8E9322025B0}"/>
    <cellStyle name="Normal 2 5 14" xfId="8930" xr:uid="{FF9D3B3E-AC14-40E3-A646-03AA778372E0}"/>
    <cellStyle name="Normal 2 5 2" xfId="316" xr:uid="{00000000-0005-0000-0000-000013110000}"/>
    <cellStyle name="Normal 2 5 2 2" xfId="34067" xr:uid="{B4DE5F25-8253-400F-A643-40C8227C27E3}"/>
    <cellStyle name="Normal 2 5 3" xfId="317" xr:uid="{00000000-0005-0000-0000-000014110000}"/>
    <cellStyle name="Normal 2 5 4" xfId="318" xr:uid="{00000000-0005-0000-0000-000015110000}"/>
    <cellStyle name="Normal 2 5 4 10" xfId="17372" xr:uid="{C2673A38-EF98-42D6-AE4D-DCD569F49150}"/>
    <cellStyle name="Normal 2 5 4 11" xfId="25816" xr:uid="{AFA45CBF-3A90-4F22-BC9D-DFB796BEB804}"/>
    <cellStyle name="Normal 2 5 4 12" xfId="8931" xr:uid="{C0898A46-CB5C-490C-9194-D4897CEE6186}"/>
    <cellStyle name="Normal 2 5 4 2" xfId="319" xr:uid="{00000000-0005-0000-0000-000016110000}"/>
    <cellStyle name="Normal 2 5 4 2 10" xfId="25817" xr:uid="{CB21C024-5DB9-467B-8C54-82D585551082}"/>
    <cellStyle name="Normal 2 5 4 2 11" xfId="8932" xr:uid="{33F3FFE3-0C76-4392-9BC6-1D85BA9F4EFC}"/>
    <cellStyle name="Normal 2 5 4 2 2" xfId="320" xr:uid="{00000000-0005-0000-0000-000017110000}"/>
    <cellStyle name="Normal 2 5 4 2 2 10" xfId="8933" xr:uid="{975D8486-3586-44B3-885E-74BE8E441FE4}"/>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24151" xr:uid="{A73AA9D8-743E-430A-B250-361E68CAF1C3}"/>
    <cellStyle name="Normal 2 5 4 2 2 2 2 2 3" xfId="32597" xr:uid="{E3FAA55B-D713-4D2D-956B-BC9B3A5B4E11}"/>
    <cellStyle name="Normal 2 5 4 2 2 2 2 2 4" xfId="15710" xr:uid="{8BBFA0E3-C84D-4EAF-9F19-FB0FF0F3EA3A}"/>
    <cellStyle name="Normal 2 5 4 2 2 2 2 3" xfId="19933" xr:uid="{A3D10B3A-319B-428F-8525-EDA9AD236A37}"/>
    <cellStyle name="Normal 2 5 4 2 2 2 2 4" xfId="28380" xr:uid="{AA4387EF-D247-40EF-8384-054DFB67BD52}"/>
    <cellStyle name="Normal 2 5 4 2 2 2 2 5" xfId="11492" xr:uid="{2A3D2495-5CE5-4A22-9590-9D0F25361F40}"/>
    <cellStyle name="Normal 2 5 4 2 2 2 3" xfId="5123" xr:uid="{00000000-0005-0000-0000-00001B110000}"/>
    <cellStyle name="Normal 2 5 4 2 2 2 3 2" xfId="22006" xr:uid="{F17D4039-1D5D-4366-99F6-28B67D692B83}"/>
    <cellStyle name="Normal 2 5 4 2 2 2 3 3" xfId="30452" xr:uid="{B6DB474F-54E4-4E68-BB83-AB1EAC0343C7}"/>
    <cellStyle name="Normal 2 5 4 2 2 2 3 4" xfId="13565" xr:uid="{6B1BFC81-572E-4685-8F8D-7D5DAA6494B3}"/>
    <cellStyle name="Normal 2 5 4 2 2 2 4" xfId="17788" xr:uid="{8595DD9E-BBA3-4D10-8871-B42B4DD51DC2}"/>
    <cellStyle name="Normal 2 5 4 2 2 2 5" xfId="26233" xr:uid="{680F1143-67EC-43B7-B276-73C1294015AA}"/>
    <cellStyle name="Normal 2 5 4 2 2 2 6" xfId="9347" xr:uid="{937E3A95-49E0-4AE3-938E-5FA76A9F62CC}"/>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24564" xr:uid="{4B8CF1E0-55C4-4DDF-8AB2-11BC12A3C126}"/>
    <cellStyle name="Normal 2 5 4 2 2 3 2 2 3" xfId="33010" xr:uid="{E0E49244-AA53-4FA3-8A8B-AC9EA6A2AEB5}"/>
    <cellStyle name="Normal 2 5 4 2 2 3 2 2 4" xfId="16123" xr:uid="{80C5DAC4-4637-4A4D-B4DE-806FDDA9C75C}"/>
    <cellStyle name="Normal 2 5 4 2 2 3 2 3" xfId="20346" xr:uid="{953D0285-256F-43B6-8DD4-967128D9C09B}"/>
    <cellStyle name="Normal 2 5 4 2 2 3 2 4" xfId="28793" xr:uid="{E6618457-615F-4567-81BA-73CEA4BCF10B}"/>
    <cellStyle name="Normal 2 5 4 2 2 3 2 5" xfId="11905" xr:uid="{D037AA7F-93E6-49A1-8D1C-D70F0E67BB0B}"/>
    <cellStyle name="Normal 2 5 4 2 2 3 3" xfId="5536" xr:uid="{00000000-0005-0000-0000-00001F110000}"/>
    <cellStyle name="Normal 2 5 4 2 2 3 3 2" xfId="22419" xr:uid="{C4560DF9-5356-4E99-845D-51470350644C}"/>
    <cellStyle name="Normal 2 5 4 2 2 3 3 3" xfId="30865" xr:uid="{D690BA0B-8D4C-44A4-937B-706F3B8FC206}"/>
    <cellStyle name="Normal 2 5 4 2 2 3 3 4" xfId="13978" xr:uid="{5DE43F31-D883-497B-99A9-A11A582A3C16}"/>
    <cellStyle name="Normal 2 5 4 2 2 3 4" xfId="18201" xr:uid="{4316F39E-4658-41B1-BF90-8DF71364F009}"/>
    <cellStyle name="Normal 2 5 4 2 2 3 5" xfId="26646" xr:uid="{F5BCD9AA-3DF1-4FBC-82B7-9D8FDEADA1D9}"/>
    <cellStyle name="Normal 2 5 4 2 2 3 6" xfId="9760" xr:uid="{B279CCD5-4875-49D0-AD52-9D350EDBB47C}"/>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24977" xr:uid="{B80956D9-EAD0-4E5D-8B89-3E9DAD74E5EC}"/>
    <cellStyle name="Normal 2 5 4 2 2 4 2 2 3" xfId="33423" xr:uid="{637486BE-40A5-48EA-A8C8-C0383CC33C56}"/>
    <cellStyle name="Normal 2 5 4 2 2 4 2 2 4" xfId="16536" xr:uid="{2A2C7C1C-9116-4EE7-9953-F41E1E6C3439}"/>
    <cellStyle name="Normal 2 5 4 2 2 4 2 3" xfId="20759" xr:uid="{97FF097E-D6F8-459D-BC1B-D691C0E4D554}"/>
    <cellStyle name="Normal 2 5 4 2 2 4 2 4" xfId="29206" xr:uid="{26B61263-D1BD-4C7B-A749-4E3108ECFD4A}"/>
    <cellStyle name="Normal 2 5 4 2 2 4 2 5" xfId="12318" xr:uid="{6F7021D1-50D7-40C9-AD7C-B2CD8215770A}"/>
    <cellStyle name="Normal 2 5 4 2 2 4 3" xfId="5949" xr:uid="{00000000-0005-0000-0000-000023110000}"/>
    <cellStyle name="Normal 2 5 4 2 2 4 3 2" xfId="22832" xr:uid="{0AA1328F-0993-4518-924A-FED5B4D2C36F}"/>
    <cellStyle name="Normal 2 5 4 2 2 4 3 3" xfId="31278" xr:uid="{15DB2089-16CA-4431-A49B-8BA91978D00A}"/>
    <cellStyle name="Normal 2 5 4 2 2 4 3 4" xfId="14391" xr:uid="{D1337D82-7461-42F2-9DEB-8475744A35DB}"/>
    <cellStyle name="Normal 2 5 4 2 2 4 4" xfId="18614" xr:uid="{0A0D0A54-4C63-480C-A019-3D87675AC632}"/>
    <cellStyle name="Normal 2 5 4 2 2 4 5" xfId="27059" xr:uid="{53E47AFD-2216-4F00-A9EC-0784C788D4B2}"/>
    <cellStyle name="Normal 2 5 4 2 2 4 6" xfId="10173" xr:uid="{012A40CF-D19B-4085-B1B2-86DFD6F20732}"/>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25390" xr:uid="{1B34786C-3896-4903-A393-62F504E48A33}"/>
    <cellStyle name="Normal 2 5 4 2 2 5 2 2 3" xfId="33836" xr:uid="{88F8C62B-A3A9-4E17-BB30-0D7A767BE580}"/>
    <cellStyle name="Normal 2 5 4 2 2 5 2 2 4" xfId="16949" xr:uid="{56AC4F88-281F-4F65-9F76-6581B31F5F17}"/>
    <cellStyle name="Normal 2 5 4 2 2 5 2 3" xfId="21172" xr:uid="{40A04C52-F938-4CB5-A5C7-E32378E07429}"/>
    <cellStyle name="Normal 2 5 4 2 2 5 2 4" xfId="29619" xr:uid="{251BD179-A2AE-4E0A-839B-967D8A05B501}"/>
    <cellStyle name="Normal 2 5 4 2 2 5 2 5" xfId="12731" xr:uid="{EC0EBD50-0F3E-456C-B3D8-3F8A9FE4D33D}"/>
    <cellStyle name="Normal 2 5 4 2 2 5 3" xfId="6362" xr:uid="{00000000-0005-0000-0000-000027110000}"/>
    <cellStyle name="Normal 2 5 4 2 2 5 3 2" xfId="23245" xr:uid="{9AB9659B-8DD5-41AF-827C-A279207F6985}"/>
    <cellStyle name="Normal 2 5 4 2 2 5 3 3" xfId="31691" xr:uid="{1D2E8B42-0D93-44DC-94CB-3145562E1A16}"/>
    <cellStyle name="Normal 2 5 4 2 2 5 3 4" xfId="14804" xr:uid="{2E25343A-10A9-4294-B128-3B12FD30D2E3}"/>
    <cellStyle name="Normal 2 5 4 2 2 5 4" xfId="19027" xr:uid="{B544A345-6740-4CC3-8C9B-50D5296DA50C}"/>
    <cellStyle name="Normal 2 5 4 2 2 5 5" xfId="27472" xr:uid="{79881385-D634-4E9B-AE8C-E83850952FC8}"/>
    <cellStyle name="Normal 2 5 4 2 2 5 6" xfId="10586" xr:uid="{7352A1B3-1793-4E2B-BEF6-960F70E1ACAE}"/>
    <cellStyle name="Normal 2 5 4 2 2 6" xfId="2491" xr:uid="{00000000-0005-0000-0000-000028110000}"/>
    <cellStyle name="Normal 2 5 4 2 2 6 2" xfId="6775" xr:uid="{00000000-0005-0000-0000-000029110000}"/>
    <cellStyle name="Normal 2 5 4 2 2 6 2 2" xfId="23658" xr:uid="{41F73A18-B9CF-4506-9031-2891E247C819}"/>
    <cellStyle name="Normal 2 5 4 2 2 6 2 3" xfId="32104" xr:uid="{2840B787-5CD7-45ED-A04D-A32127301D19}"/>
    <cellStyle name="Normal 2 5 4 2 2 6 2 4" xfId="15217" xr:uid="{EC8763A0-4C7B-4AA4-9399-7D77CCC2BF0D}"/>
    <cellStyle name="Normal 2 5 4 2 2 6 3" xfId="19440" xr:uid="{C8CD175E-720E-46D8-B176-6CCD78FBCD04}"/>
    <cellStyle name="Normal 2 5 4 2 2 6 4" xfId="27885" xr:uid="{53CC5734-736E-45E1-BB6A-9FA4CFC68414}"/>
    <cellStyle name="Normal 2 5 4 2 2 6 5" xfId="10999" xr:uid="{07E8B7A7-3A60-4808-9314-106B4D1AC0E8}"/>
    <cellStyle name="Normal 2 5 4 2 2 7" xfId="4709" xr:uid="{00000000-0005-0000-0000-00002A110000}"/>
    <cellStyle name="Normal 2 5 4 2 2 7 2" xfId="21592" xr:uid="{C903F209-E2E2-4AAE-AED4-0B48C7FE98A2}"/>
    <cellStyle name="Normal 2 5 4 2 2 7 3" xfId="30038" xr:uid="{D9FEA69E-82CF-4EEB-B103-213B2E80C0DD}"/>
    <cellStyle name="Normal 2 5 4 2 2 7 4" xfId="13151" xr:uid="{4F8011B4-3949-45A9-9670-4570659A5D07}"/>
    <cellStyle name="Normal 2 5 4 2 2 8" xfId="17374" xr:uid="{EC4233E9-48C5-47F1-81B3-F5AC991EED19}"/>
    <cellStyle name="Normal 2 5 4 2 2 9" xfId="25818" xr:uid="{1936D8FC-4562-4D6C-B71F-DFA9DC8DD395}"/>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24150" xr:uid="{0D34E898-AB5A-4573-8E07-7FF6C5DD9769}"/>
    <cellStyle name="Normal 2 5 4 2 3 2 2 3" xfId="32596" xr:uid="{22BAA531-23ED-487D-9C7A-A9CCA14C0D8D}"/>
    <cellStyle name="Normal 2 5 4 2 3 2 2 4" xfId="15709" xr:uid="{B079F011-725D-4780-B99B-A5692793CFB2}"/>
    <cellStyle name="Normal 2 5 4 2 3 2 3" xfId="19932" xr:uid="{445CA47B-9582-49EB-A8BF-DCF2DAD62EA9}"/>
    <cellStyle name="Normal 2 5 4 2 3 2 4" xfId="28379" xr:uid="{706C9C02-B315-41A6-9F5E-A60CDDD2DBD5}"/>
    <cellStyle name="Normal 2 5 4 2 3 2 5" xfId="11491" xr:uid="{C3B8414F-0AB9-4B74-BC96-A63EB1A07EC9}"/>
    <cellStyle name="Normal 2 5 4 2 3 3" xfId="5122" xr:uid="{00000000-0005-0000-0000-00002E110000}"/>
    <cellStyle name="Normal 2 5 4 2 3 3 2" xfId="22005" xr:uid="{0DBD53C4-7C2B-408B-832A-43602D325C39}"/>
    <cellStyle name="Normal 2 5 4 2 3 3 3" xfId="30451" xr:uid="{A1C3FFFF-C242-4989-B97C-72884AA2E964}"/>
    <cellStyle name="Normal 2 5 4 2 3 3 4" xfId="13564" xr:uid="{6BDF2F38-96E2-4072-849B-99FA39934556}"/>
    <cellStyle name="Normal 2 5 4 2 3 4" xfId="17787" xr:uid="{C39ACC7E-31E4-4B1C-82C2-ADC9FF88807D}"/>
    <cellStyle name="Normal 2 5 4 2 3 5" xfId="26232" xr:uid="{808148ED-7395-491C-A2C3-FD4D9F554D10}"/>
    <cellStyle name="Normal 2 5 4 2 3 6" xfId="9346" xr:uid="{B8FD4BCB-B55F-4110-9323-35FDBF10EFD6}"/>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24563" xr:uid="{E46EDF4F-390A-49A8-80CA-A49608F54986}"/>
    <cellStyle name="Normal 2 5 4 2 4 2 2 3" xfId="33009" xr:uid="{F3EC80B5-2CB7-4E11-B6DC-6098B9BB4005}"/>
    <cellStyle name="Normal 2 5 4 2 4 2 2 4" xfId="16122" xr:uid="{4E51685D-D1E6-40B2-9736-CABA1D454292}"/>
    <cellStyle name="Normal 2 5 4 2 4 2 3" xfId="20345" xr:uid="{5A606F0C-CF2E-480F-8959-6F175B0EA42A}"/>
    <cellStyle name="Normal 2 5 4 2 4 2 4" xfId="28792" xr:uid="{6B79FBB3-4866-4F8F-8EE8-35EA7DEFCE00}"/>
    <cellStyle name="Normal 2 5 4 2 4 2 5" xfId="11904" xr:uid="{1750A2D9-6DAE-4893-BF63-DA567ECD2F4F}"/>
    <cellStyle name="Normal 2 5 4 2 4 3" xfId="5535" xr:uid="{00000000-0005-0000-0000-000032110000}"/>
    <cellStyle name="Normal 2 5 4 2 4 3 2" xfId="22418" xr:uid="{4613EFC8-970B-43A3-8F70-EDFC7CCD6CBD}"/>
    <cellStyle name="Normal 2 5 4 2 4 3 3" xfId="30864" xr:uid="{2A74062F-914F-4C9E-9A9B-76A58745B1EA}"/>
    <cellStyle name="Normal 2 5 4 2 4 3 4" xfId="13977" xr:uid="{5EAF5B98-563E-4CD4-A876-4305B17DECC3}"/>
    <cellStyle name="Normal 2 5 4 2 4 4" xfId="18200" xr:uid="{DCA69897-13FE-4140-BE4E-E11D51979CDA}"/>
    <cellStyle name="Normal 2 5 4 2 4 5" xfId="26645" xr:uid="{655B461B-8AD6-4968-89AA-3A414778598B}"/>
    <cellStyle name="Normal 2 5 4 2 4 6" xfId="9759" xr:uid="{894AB071-06BA-4F1C-A818-898EAF91623C}"/>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24976" xr:uid="{D9D0750E-7D0E-4B28-92A9-C72BC574824C}"/>
    <cellStyle name="Normal 2 5 4 2 5 2 2 3" xfId="33422" xr:uid="{3A3D4786-649E-44B6-AEF2-075DD9E75682}"/>
    <cellStyle name="Normal 2 5 4 2 5 2 2 4" xfId="16535" xr:uid="{2FD23401-2C62-457C-BEED-623014C046E8}"/>
    <cellStyle name="Normal 2 5 4 2 5 2 3" xfId="20758" xr:uid="{3A544523-006E-4985-9C09-932A81B00677}"/>
    <cellStyle name="Normal 2 5 4 2 5 2 4" xfId="29205" xr:uid="{898D44CA-CF21-4BDD-9AFC-1073D205CCE6}"/>
    <cellStyle name="Normal 2 5 4 2 5 2 5" xfId="12317" xr:uid="{5D7407F2-5122-40D0-B201-3F7F8A4165B6}"/>
    <cellStyle name="Normal 2 5 4 2 5 3" xfId="5948" xr:uid="{00000000-0005-0000-0000-000036110000}"/>
    <cellStyle name="Normal 2 5 4 2 5 3 2" xfId="22831" xr:uid="{4FBD0CF3-8EE3-4234-9CCA-59D662AA24DB}"/>
    <cellStyle name="Normal 2 5 4 2 5 3 3" xfId="31277" xr:uid="{6A0A428D-38F5-4E1C-9608-B7C4DD82B220}"/>
    <cellStyle name="Normal 2 5 4 2 5 3 4" xfId="14390" xr:uid="{8B576876-A966-4CFC-92B9-672953B1740E}"/>
    <cellStyle name="Normal 2 5 4 2 5 4" xfId="18613" xr:uid="{DFE49EBC-DB7B-4AE8-AD02-3D680743EC8A}"/>
    <cellStyle name="Normal 2 5 4 2 5 5" xfId="27058" xr:uid="{98335641-2197-4093-9D71-6F31BF805969}"/>
    <cellStyle name="Normal 2 5 4 2 5 6" xfId="10172" xr:uid="{FB1DE87D-1210-413E-8EE5-7EBD2989BB02}"/>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25389" xr:uid="{BCD20F98-9363-4031-AAC5-90DA442F1052}"/>
    <cellStyle name="Normal 2 5 4 2 6 2 2 3" xfId="33835" xr:uid="{2FB5041F-243A-47AA-9572-B4BF2C9514DB}"/>
    <cellStyle name="Normal 2 5 4 2 6 2 2 4" xfId="16948" xr:uid="{DFEBA34C-2027-458A-8B77-6C5D066A5996}"/>
    <cellStyle name="Normal 2 5 4 2 6 2 3" xfId="21171" xr:uid="{EF4C26BA-338A-4FA1-92F8-A55D40A17AEE}"/>
    <cellStyle name="Normal 2 5 4 2 6 2 4" xfId="29618" xr:uid="{4791E217-ECDE-4AC3-BC55-368BA8FBFEB0}"/>
    <cellStyle name="Normal 2 5 4 2 6 2 5" xfId="12730" xr:uid="{D8D7396A-213D-4FCA-B7C3-9FBDE0DB978C}"/>
    <cellStyle name="Normal 2 5 4 2 6 3" xfId="6361" xr:uid="{00000000-0005-0000-0000-00003A110000}"/>
    <cellStyle name="Normal 2 5 4 2 6 3 2" xfId="23244" xr:uid="{359F9EAC-1419-40D7-8C56-ED925753C534}"/>
    <cellStyle name="Normal 2 5 4 2 6 3 3" xfId="31690" xr:uid="{E9DDDB7A-1778-45A5-9D92-77BF7A5337E4}"/>
    <cellStyle name="Normal 2 5 4 2 6 3 4" xfId="14803" xr:uid="{F9220D8E-5A1A-41A1-B267-3009CCA1FE28}"/>
    <cellStyle name="Normal 2 5 4 2 6 4" xfId="19026" xr:uid="{F637773D-2B45-4CA5-B18D-F0AEF63669A5}"/>
    <cellStyle name="Normal 2 5 4 2 6 5" xfId="27471" xr:uid="{ECEF8C45-AEEA-49EF-9CB7-666E46F75AC1}"/>
    <cellStyle name="Normal 2 5 4 2 6 6" xfId="10585" xr:uid="{5EE55A9C-DAC6-4233-A8BB-52FB3302A660}"/>
    <cellStyle name="Normal 2 5 4 2 7" xfId="2490" xr:uid="{00000000-0005-0000-0000-00003B110000}"/>
    <cellStyle name="Normal 2 5 4 2 7 2" xfId="6774" xr:uid="{00000000-0005-0000-0000-00003C110000}"/>
    <cellStyle name="Normal 2 5 4 2 7 2 2" xfId="23657" xr:uid="{636DC401-0D08-46B9-A41E-5B93E572C17C}"/>
    <cellStyle name="Normal 2 5 4 2 7 2 3" xfId="32103" xr:uid="{E30DB72D-4DB0-4945-A778-99025840BAAF}"/>
    <cellStyle name="Normal 2 5 4 2 7 2 4" xfId="15216" xr:uid="{05CBA140-82DC-460C-A335-737549CA46C3}"/>
    <cellStyle name="Normal 2 5 4 2 7 3" xfId="19439" xr:uid="{20D85AB3-DC66-4DDD-84F3-10E3FCBC1D14}"/>
    <cellStyle name="Normal 2 5 4 2 7 4" xfId="27884" xr:uid="{768FC48C-F922-4BA5-876B-963F54FC7316}"/>
    <cellStyle name="Normal 2 5 4 2 7 5" xfId="10998" xr:uid="{190E8286-93A7-443C-A807-F5797564B1F1}"/>
    <cellStyle name="Normal 2 5 4 2 8" xfId="4708" xr:uid="{00000000-0005-0000-0000-00003D110000}"/>
    <cellStyle name="Normal 2 5 4 2 8 2" xfId="21591" xr:uid="{BB01107C-B6F6-4F33-A968-926906D3A109}"/>
    <cellStyle name="Normal 2 5 4 2 8 3" xfId="30037" xr:uid="{B129DDCD-F236-44AF-9B1C-CF0780A227A9}"/>
    <cellStyle name="Normal 2 5 4 2 8 4" xfId="13150" xr:uid="{6FD5C7D7-5F97-4EBD-AAD2-0B29D97541FD}"/>
    <cellStyle name="Normal 2 5 4 2 9" xfId="17373" xr:uid="{15D058C5-41D5-442E-BE2A-80FB610983CC}"/>
    <cellStyle name="Normal 2 5 4 3" xfId="321" xr:uid="{00000000-0005-0000-0000-00003E110000}"/>
    <cellStyle name="Normal 2 5 4 3 10" xfId="8934" xr:uid="{78D26E24-D9DE-4F81-97B6-6883FC9D153E}"/>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24152" xr:uid="{1593D1B4-D13A-49CA-84CF-5F292A98D55C}"/>
    <cellStyle name="Normal 2 5 4 3 2 2 2 3" xfId="32598" xr:uid="{7DCD50EB-8256-4546-A199-CC5CF6F77FB9}"/>
    <cellStyle name="Normal 2 5 4 3 2 2 2 4" xfId="15711" xr:uid="{DC0D507D-2DBD-41F8-8F13-12CF66079A56}"/>
    <cellStyle name="Normal 2 5 4 3 2 2 3" xfId="19934" xr:uid="{11181A9F-145D-4B80-9E52-0B9204618D60}"/>
    <cellStyle name="Normal 2 5 4 3 2 2 4" xfId="28381" xr:uid="{25C749F5-046C-4688-A1EE-2B7A07BBBD40}"/>
    <cellStyle name="Normal 2 5 4 3 2 2 5" xfId="11493" xr:uid="{74954369-5B55-421B-BAD6-CDA72F41A1F6}"/>
    <cellStyle name="Normal 2 5 4 3 2 3" xfId="5124" xr:uid="{00000000-0005-0000-0000-000042110000}"/>
    <cellStyle name="Normal 2 5 4 3 2 3 2" xfId="22007" xr:uid="{FF5BBE8F-C8CF-48BD-A3D1-AA9CA95EF482}"/>
    <cellStyle name="Normal 2 5 4 3 2 3 3" xfId="30453" xr:uid="{C0A5A474-CB70-4CF3-B115-D35DF7EC776A}"/>
    <cellStyle name="Normal 2 5 4 3 2 3 4" xfId="13566" xr:uid="{F6C998E1-F444-49DF-BE78-8B6A43497DF7}"/>
    <cellStyle name="Normal 2 5 4 3 2 4" xfId="17789" xr:uid="{E2A69127-6846-4F45-83D9-93919A2F1D6D}"/>
    <cellStyle name="Normal 2 5 4 3 2 5" xfId="26234" xr:uid="{1D92985A-9868-416F-9B93-BCE3436EAAB1}"/>
    <cellStyle name="Normal 2 5 4 3 2 6" xfId="9348" xr:uid="{4BC8AC90-60B3-4CB5-86D7-CBDA804E8EF6}"/>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24565" xr:uid="{4A52A98A-93F1-4895-BB26-D770EA5A389F}"/>
    <cellStyle name="Normal 2 5 4 3 3 2 2 3" xfId="33011" xr:uid="{33227677-0BF3-48C9-BBE7-9F6BBDC90542}"/>
    <cellStyle name="Normal 2 5 4 3 3 2 2 4" xfId="16124" xr:uid="{84AAF4F7-4073-4861-9A7A-FFE54BAFD29F}"/>
    <cellStyle name="Normal 2 5 4 3 3 2 3" xfId="20347" xr:uid="{9CAA0AB7-C86A-47AC-8851-85470E6CCAB0}"/>
    <cellStyle name="Normal 2 5 4 3 3 2 4" xfId="28794" xr:uid="{DFF54F6C-83E4-48D6-97D9-F5B0B820FE3E}"/>
    <cellStyle name="Normal 2 5 4 3 3 2 5" xfId="11906" xr:uid="{152A073B-F3F8-4645-AF4E-8857655ED678}"/>
    <cellStyle name="Normal 2 5 4 3 3 3" xfId="5537" xr:uid="{00000000-0005-0000-0000-000046110000}"/>
    <cellStyle name="Normal 2 5 4 3 3 3 2" xfId="22420" xr:uid="{22A8D940-2373-45C7-B60E-38FCF53AFEC0}"/>
    <cellStyle name="Normal 2 5 4 3 3 3 3" xfId="30866" xr:uid="{E8F86DF6-B446-41CD-AFC1-4859CA3968F7}"/>
    <cellStyle name="Normal 2 5 4 3 3 3 4" xfId="13979" xr:uid="{5CC8AEAB-0BCF-446C-9EBC-804554FA461C}"/>
    <cellStyle name="Normal 2 5 4 3 3 4" xfId="18202" xr:uid="{D982E496-CCC4-423E-B9E8-D8C5722BF065}"/>
    <cellStyle name="Normal 2 5 4 3 3 5" xfId="26647" xr:uid="{5E667415-4F4A-4068-A1C5-DDF8CAEE6D64}"/>
    <cellStyle name="Normal 2 5 4 3 3 6" xfId="9761" xr:uid="{EC8393E3-7669-4646-A178-D8459BB430C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24978" xr:uid="{4B780756-33FA-48B9-8F82-A28FA652646F}"/>
    <cellStyle name="Normal 2 5 4 3 4 2 2 3" xfId="33424" xr:uid="{BFB98A06-BA7B-4EEF-97FE-CA3E5F158E50}"/>
    <cellStyle name="Normal 2 5 4 3 4 2 2 4" xfId="16537" xr:uid="{D4F557A8-BC18-47D5-B6E9-386CA63EC50E}"/>
    <cellStyle name="Normal 2 5 4 3 4 2 3" xfId="20760" xr:uid="{FA9629D8-98E2-4853-A40F-3CDDDD493F96}"/>
    <cellStyle name="Normal 2 5 4 3 4 2 4" xfId="29207" xr:uid="{BB6CA1EB-8531-454C-894B-41D6F352BF05}"/>
    <cellStyle name="Normal 2 5 4 3 4 2 5" xfId="12319" xr:uid="{0063A6E8-2FFC-4F0A-8451-CEEE7E1FCCE1}"/>
    <cellStyle name="Normal 2 5 4 3 4 3" xfId="5950" xr:uid="{00000000-0005-0000-0000-00004A110000}"/>
    <cellStyle name="Normal 2 5 4 3 4 3 2" xfId="22833" xr:uid="{C081CC11-CBFC-49DD-ACD5-F32D93D46387}"/>
    <cellStyle name="Normal 2 5 4 3 4 3 3" xfId="31279" xr:uid="{3FA7B715-1B69-4D5F-845C-EEA337FAA916}"/>
    <cellStyle name="Normal 2 5 4 3 4 3 4" xfId="14392" xr:uid="{D37C3AF4-8D4B-4EF2-BB76-B7900D983E5C}"/>
    <cellStyle name="Normal 2 5 4 3 4 4" xfId="18615" xr:uid="{9D1A5A6F-CE21-4ED5-949C-F79E3269720E}"/>
    <cellStyle name="Normal 2 5 4 3 4 5" xfId="27060" xr:uid="{64DC7DB1-8816-47B4-BD6E-69BBE1FAE72F}"/>
    <cellStyle name="Normal 2 5 4 3 4 6" xfId="10174" xr:uid="{EC0D4E69-E03D-4E2A-97A8-8107E350CB39}"/>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25391" xr:uid="{13584D62-02D2-40A0-BDE8-C4350082C543}"/>
    <cellStyle name="Normal 2 5 4 3 5 2 2 3" xfId="33837" xr:uid="{83979223-4D85-41FB-85C2-53AAF5717004}"/>
    <cellStyle name="Normal 2 5 4 3 5 2 2 4" xfId="16950" xr:uid="{53C9B4CA-D1A5-47FE-8516-F798B7CB0FFD}"/>
    <cellStyle name="Normal 2 5 4 3 5 2 3" xfId="21173" xr:uid="{E9F1A34A-B790-4919-B790-B83184213E28}"/>
    <cellStyle name="Normal 2 5 4 3 5 2 4" xfId="29620" xr:uid="{80E8C660-DCA4-4A62-9945-FF3225C58D28}"/>
    <cellStyle name="Normal 2 5 4 3 5 2 5" xfId="12732" xr:uid="{F60CA170-5A90-477C-8170-3032599B9946}"/>
    <cellStyle name="Normal 2 5 4 3 5 3" xfId="6363" xr:uid="{00000000-0005-0000-0000-00004E110000}"/>
    <cellStyle name="Normal 2 5 4 3 5 3 2" xfId="23246" xr:uid="{97E58C0D-A358-4F89-9EE9-CECFE0266FBE}"/>
    <cellStyle name="Normal 2 5 4 3 5 3 3" xfId="31692" xr:uid="{27CE4ED1-0F1A-427A-8391-3C6AE96900FF}"/>
    <cellStyle name="Normal 2 5 4 3 5 3 4" xfId="14805" xr:uid="{C3CA3DE4-C3BF-42BB-87FF-3BE1FA191901}"/>
    <cellStyle name="Normal 2 5 4 3 5 4" xfId="19028" xr:uid="{3A507ACC-6518-4A36-9EEC-8F6F195FD78C}"/>
    <cellStyle name="Normal 2 5 4 3 5 5" xfId="27473" xr:uid="{AFED3F2F-EF39-48BF-81CB-75B5AECAE23C}"/>
    <cellStyle name="Normal 2 5 4 3 5 6" xfId="10587" xr:uid="{A5FEBBA3-0F67-4A4A-8638-288852F8ADBB}"/>
    <cellStyle name="Normal 2 5 4 3 6" xfId="2492" xr:uid="{00000000-0005-0000-0000-00004F110000}"/>
    <cellStyle name="Normal 2 5 4 3 6 2" xfId="6776" xr:uid="{00000000-0005-0000-0000-000050110000}"/>
    <cellStyle name="Normal 2 5 4 3 6 2 2" xfId="23659" xr:uid="{2D73AEB9-5E70-4755-9F68-3A59209A02A9}"/>
    <cellStyle name="Normal 2 5 4 3 6 2 3" xfId="32105" xr:uid="{F9D34DC6-9884-4813-A7BC-D2D3ED405DE2}"/>
    <cellStyle name="Normal 2 5 4 3 6 2 4" xfId="15218" xr:uid="{1DF22F34-2E60-4650-B281-98ACC36F310A}"/>
    <cellStyle name="Normal 2 5 4 3 6 3" xfId="19441" xr:uid="{023CC9C6-E5C3-4CCB-8C09-5A53D61BCEBB}"/>
    <cellStyle name="Normal 2 5 4 3 6 4" xfId="27886" xr:uid="{D8A307FB-3ADE-4A64-8C37-E7D8296DACA2}"/>
    <cellStyle name="Normal 2 5 4 3 6 5" xfId="11000" xr:uid="{970556E9-6B83-480C-8B4B-552E55E8C916}"/>
    <cellStyle name="Normal 2 5 4 3 7" xfId="4710" xr:uid="{00000000-0005-0000-0000-000051110000}"/>
    <cellStyle name="Normal 2 5 4 3 7 2" xfId="21593" xr:uid="{BD319CCC-6ED2-483E-BEA7-B41DFC5081A8}"/>
    <cellStyle name="Normal 2 5 4 3 7 3" xfId="30039" xr:uid="{69C9FAD9-E868-4F5C-99FD-04AF40FA0B98}"/>
    <cellStyle name="Normal 2 5 4 3 7 4" xfId="13152" xr:uid="{99EE9BDB-853A-46E2-BCFA-A93328F06626}"/>
    <cellStyle name="Normal 2 5 4 3 8" xfId="17375" xr:uid="{72435B91-B44E-43B7-BF36-8A0F290CA2C0}"/>
    <cellStyle name="Normal 2 5 4 3 9" xfId="25819" xr:uid="{DB0CC675-F030-4D89-BD6B-FB1E493B6BBA}"/>
    <cellStyle name="Normal 2 5 4 4" xfId="804" xr:uid="{00000000-0005-0000-0000-000052110000}"/>
    <cellStyle name="Normal 2 5 4 4 2" xfId="3043" xr:uid="{00000000-0005-0000-0000-000053110000}"/>
    <cellStyle name="Normal 2 5 4 4 2 2" xfId="7266" xr:uid="{00000000-0005-0000-0000-000054110000}"/>
    <cellStyle name="Normal 2 5 4 4 2 2 2" xfId="24149" xr:uid="{2C93680F-1186-44AF-94EB-64BA2EE051D1}"/>
    <cellStyle name="Normal 2 5 4 4 2 2 3" xfId="32595" xr:uid="{68BD97FD-36AE-4230-BCC3-1492CA381B68}"/>
    <cellStyle name="Normal 2 5 4 4 2 2 4" xfId="15708" xr:uid="{B140EFC3-008B-4EB6-8381-6FA9FCE81402}"/>
    <cellStyle name="Normal 2 5 4 4 2 3" xfId="19931" xr:uid="{3576D468-DCF7-4661-8D76-0D2A71E8B8C9}"/>
    <cellStyle name="Normal 2 5 4 4 2 4" xfId="28378" xr:uid="{FAF8FE3A-66FF-4642-839E-92066B7215B0}"/>
    <cellStyle name="Normal 2 5 4 4 2 5" xfId="11490" xr:uid="{691905F7-72AC-4F0B-B688-DBAF05BD6031}"/>
    <cellStyle name="Normal 2 5 4 4 3" xfId="5121" xr:uid="{00000000-0005-0000-0000-000055110000}"/>
    <cellStyle name="Normal 2 5 4 4 3 2" xfId="22004" xr:uid="{24F7C3AB-939A-43EB-9866-D5F7F119DD0F}"/>
    <cellStyle name="Normal 2 5 4 4 3 3" xfId="30450" xr:uid="{97E226A6-5BC2-4144-9581-9ABFE67F8A6C}"/>
    <cellStyle name="Normal 2 5 4 4 3 4" xfId="13563" xr:uid="{7B3F0A68-8917-4004-81FC-2214349B8FE2}"/>
    <cellStyle name="Normal 2 5 4 4 4" xfId="17786" xr:uid="{BE35E77A-0C71-4B6F-A925-17E213384DE4}"/>
    <cellStyle name="Normal 2 5 4 4 5" xfId="26231" xr:uid="{4CC494D1-90BA-4946-86C6-4E0EB31BDC8A}"/>
    <cellStyle name="Normal 2 5 4 4 6" xfId="9345" xr:uid="{535E6969-1F98-4ECB-9E94-488BF5C003A0}"/>
    <cellStyle name="Normal 2 5 4 5" xfId="1226" xr:uid="{00000000-0005-0000-0000-000056110000}"/>
    <cellStyle name="Normal 2 5 4 5 2" xfId="3456" xr:uid="{00000000-0005-0000-0000-000057110000}"/>
    <cellStyle name="Normal 2 5 4 5 2 2" xfId="7679" xr:uid="{00000000-0005-0000-0000-000058110000}"/>
    <cellStyle name="Normal 2 5 4 5 2 2 2" xfId="24562" xr:uid="{3EBE31E2-3C37-43D1-817E-5E072616C4C1}"/>
    <cellStyle name="Normal 2 5 4 5 2 2 3" xfId="33008" xr:uid="{AAC56B05-C88B-4D50-B27A-47DAEEB6A50F}"/>
    <cellStyle name="Normal 2 5 4 5 2 2 4" xfId="16121" xr:uid="{A4D64066-4FFF-483D-AAE0-8E7DFF12963B}"/>
    <cellStyle name="Normal 2 5 4 5 2 3" xfId="20344" xr:uid="{56D9BFD7-8955-4E9D-BA1D-D4A941FD54A8}"/>
    <cellStyle name="Normal 2 5 4 5 2 4" xfId="28791" xr:uid="{947A01D2-315B-4900-A0BB-3D643770B592}"/>
    <cellStyle name="Normal 2 5 4 5 2 5" xfId="11903" xr:uid="{7047A793-6A86-4C34-AF81-14D6EE0F7FDC}"/>
    <cellStyle name="Normal 2 5 4 5 3" xfId="5534" xr:uid="{00000000-0005-0000-0000-000059110000}"/>
    <cellStyle name="Normal 2 5 4 5 3 2" xfId="22417" xr:uid="{563B5FE9-849E-4B16-B806-42A2D87F594E}"/>
    <cellStyle name="Normal 2 5 4 5 3 3" xfId="30863" xr:uid="{16504A27-206B-4D78-BA01-07C62F20B071}"/>
    <cellStyle name="Normal 2 5 4 5 3 4" xfId="13976" xr:uid="{6182DA8A-5CA0-46AB-99DD-4FDEF529E82D}"/>
    <cellStyle name="Normal 2 5 4 5 4" xfId="18199" xr:uid="{CF431A52-533E-44DF-B260-8414FC92CC9B}"/>
    <cellStyle name="Normal 2 5 4 5 5" xfId="26644" xr:uid="{EAA159E4-31E4-4342-89E0-7F5DA72C0C4B}"/>
    <cellStyle name="Normal 2 5 4 5 6" xfId="9758" xr:uid="{9F4E31AC-8B38-4BFC-AA7F-00FC3B818A93}"/>
    <cellStyle name="Normal 2 5 4 6" xfId="1639" xr:uid="{00000000-0005-0000-0000-00005A110000}"/>
    <cellStyle name="Normal 2 5 4 6 2" xfId="3869" xr:uid="{00000000-0005-0000-0000-00005B110000}"/>
    <cellStyle name="Normal 2 5 4 6 2 2" xfId="8092" xr:uid="{00000000-0005-0000-0000-00005C110000}"/>
    <cellStyle name="Normal 2 5 4 6 2 2 2" xfId="24975" xr:uid="{717F43A2-D1B4-45FD-92A9-33D7B9CE278B}"/>
    <cellStyle name="Normal 2 5 4 6 2 2 3" xfId="33421" xr:uid="{8B7E3643-69A9-458B-A2DC-E99776B4AC0F}"/>
    <cellStyle name="Normal 2 5 4 6 2 2 4" xfId="16534" xr:uid="{670B9EB3-3C4C-45B7-B9EA-181700618B4C}"/>
    <cellStyle name="Normal 2 5 4 6 2 3" xfId="20757" xr:uid="{5E6DEE40-E537-4C07-9CE9-E22C7D0C0C86}"/>
    <cellStyle name="Normal 2 5 4 6 2 4" xfId="29204" xr:uid="{AA40267F-5EB6-4E3D-AFDA-0BC78E63FEF1}"/>
    <cellStyle name="Normal 2 5 4 6 2 5" xfId="12316" xr:uid="{1D48D0DF-F683-4525-BFB1-04B13B9AB3E1}"/>
    <cellStyle name="Normal 2 5 4 6 3" xfId="5947" xr:uid="{00000000-0005-0000-0000-00005D110000}"/>
    <cellStyle name="Normal 2 5 4 6 3 2" xfId="22830" xr:uid="{A17B2CB1-98AD-4AC1-B014-87EC28B655C2}"/>
    <cellStyle name="Normal 2 5 4 6 3 3" xfId="31276" xr:uid="{C903F54B-9726-4895-BE4A-8A6954907E3C}"/>
    <cellStyle name="Normal 2 5 4 6 3 4" xfId="14389" xr:uid="{4C6CC2AF-2CA6-4F7F-8825-F483D1E51178}"/>
    <cellStyle name="Normal 2 5 4 6 4" xfId="18612" xr:uid="{4A86AB52-9CC6-4789-98BD-A604F4BA647E}"/>
    <cellStyle name="Normal 2 5 4 6 5" xfId="27057" xr:uid="{27CDB76C-2C6A-46CA-A138-D8CB5C2A0956}"/>
    <cellStyle name="Normal 2 5 4 6 6" xfId="10171" xr:uid="{24AAD993-AB2F-427E-8F5C-493962A6FDFF}"/>
    <cellStyle name="Normal 2 5 4 7" xfId="2053" xr:uid="{00000000-0005-0000-0000-00005E110000}"/>
    <cellStyle name="Normal 2 5 4 7 2" xfId="4282" xr:uid="{00000000-0005-0000-0000-00005F110000}"/>
    <cellStyle name="Normal 2 5 4 7 2 2" xfId="8505" xr:uid="{00000000-0005-0000-0000-000060110000}"/>
    <cellStyle name="Normal 2 5 4 7 2 2 2" xfId="25388" xr:uid="{EC42E323-49B2-4F53-92D9-D65D88F1F0CC}"/>
    <cellStyle name="Normal 2 5 4 7 2 2 3" xfId="33834" xr:uid="{6326F856-3016-4855-9626-C7426A336E4A}"/>
    <cellStyle name="Normal 2 5 4 7 2 2 4" xfId="16947" xr:uid="{7A0BB1E0-BF28-4518-93C8-03AAFB13029E}"/>
    <cellStyle name="Normal 2 5 4 7 2 3" xfId="21170" xr:uid="{1B0DC24B-26BB-459D-8EA0-3A123BF5ED4D}"/>
    <cellStyle name="Normal 2 5 4 7 2 4" xfId="29617" xr:uid="{45E7C3C7-6460-4FE1-B606-DD16BA636511}"/>
    <cellStyle name="Normal 2 5 4 7 2 5" xfId="12729" xr:uid="{9E186AAA-2262-40E8-99C4-525E216BC2F3}"/>
    <cellStyle name="Normal 2 5 4 7 3" xfId="6360" xr:uid="{00000000-0005-0000-0000-000061110000}"/>
    <cellStyle name="Normal 2 5 4 7 3 2" xfId="23243" xr:uid="{997EB32D-9B52-4348-984E-134E6497EE9B}"/>
    <cellStyle name="Normal 2 5 4 7 3 3" xfId="31689" xr:uid="{CCCEC898-7DBC-4B0D-AD9D-DCFD80EA3695}"/>
    <cellStyle name="Normal 2 5 4 7 3 4" xfId="14802" xr:uid="{04025445-9F24-4F65-8590-AD328306982F}"/>
    <cellStyle name="Normal 2 5 4 7 4" xfId="19025" xr:uid="{F6AAAECF-BABA-4A7E-81E3-D75F0598F82D}"/>
    <cellStyle name="Normal 2 5 4 7 5" xfId="27470" xr:uid="{DA36ECC8-A165-4F00-A55B-59F901938E63}"/>
    <cellStyle name="Normal 2 5 4 7 6" xfId="10584" xr:uid="{1B2E1215-FCF0-49BA-AE3E-891B3B29C6B0}"/>
    <cellStyle name="Normal 2 5 4 8" xfId="2489" xr:uid="{00000000-0005-0000-0000-000062110000}"/>
    <cellStyle name="Normal 2 5 4 8 2" xfId="6773" xr:uid="{00000000-0005-0000-0000-000063110000}"/>
    <cellStyle name="Normal 2 5 4 8 2 2" xfId="23656" xr:uid="{FEAEB166-0848-490F-992C-A7C39C5FA15E}"/>
    <cellStyle name="Normal 2 5 4 8 2 3" xfId="32102" xr:uid="{48885474-778D-4E4C-A8AD-2E8457CDC8DB}"/>
    <cellStyle name="Normal 2 5 4 8 2 4" xfId="15215" xr:uid="{F453F53D-0BC4-4E9F-9A17-A15D124143F4}"/>
    <cellStyle name="Normal 2 5 4 8 3" xfId="19438" xr:uid="{685A4E0F-4147-49B6-A17D-607A0D0A6764}"/>
    <cellStyle name="Normal 2 5 4 8 4" xfId="27883" xr:uid="{887D6190-4F67-4BEA-8000-1EE292C218F3}"/>
    <cellStyle name="Normal 2 5 4 8 5" xfId="10997" xr:uid="{5DD11A0B-C97F-4045-B70B-B421ADF49ACE}"/>
    <cellStyle name="Normal 2 5 4 9" xfId="4707" xr:uid="{00000000-0005-0000-0000-000064110000}"/>
    <cellStyle name="Normal 2 5 4 9 2" xfId="21590" xr:uid="{306872C5-A733-45A9-B377-B7D74C4D78AF}"/>
    <cellStyle name="Normal 2 5 4 9 3" xfId="30036" xr:uid="{31F4DF52-7C8E-4E4F-9697-98211916F1FE}"/>
    <cellStyle name="Normal 2 5 4 9 4" xfId="13149" xr:uid="{AF11C52B-0206-403A-9F83-4F56C54088DF}"/>
    <cellStyle name="Normal 2 5 5" xfId="803" xr:uid="{00000000-0005-0000-0000-000065110000}"/>
    <cellStyle name="Normal 2 5 5 2" xfId="3042" xr:uid="{00000000-0005-0000-0000-000066110000}"/>
    <cellStyle name="Normal 2 5 5 2 2" xfId="7265" xr:uid="{00000000-0005-0000-0000-000067110000}"/>
    <cellStyle name="Normal 2 5 5 2 2 2" xfId="24148" xr:uid="{286328DA-13CE-493D-B035-419067AE70F9}"/>
    <cellStyle name="Normal 2 5 5 2 2 3" xfId="32594" xr:uid="{C4903EF4-596E-42B0-AC04-0853B3BCF28D}"/>
    <cellStyle name="Normal 2 5 5 2 2 4" xfId="15707" xr:uid="{506C0DB5-4B22-4A04-96A5-87B68539B5A7}"/>
    <cellStyle name="Normal 2 5 5 2 3" xfId="19930" xr:uid="{B2616CA2-5CC7-441B-8430-977B1777B4D4}"/>
    <cellStyle name="Normal 2 5 5 2 4" xfId="28377" xr:uid="{66B2E864-D7C3-4496-BBA5-F16C39F311A1}"/>
    <cellStyle name="Normal 2 5 5 2 5" xfId="11489" xr:uid="{D39E901F-02A7-4972-9FDD-B2867A76A592}"/>
    <cellStyle name="Normal 2 5 5 3" xfId="5120" xr:uid="{00000000-0005-0000-0000-000068110000}"/>
    <cellStyle name="Normal 2 5 5 3 2" xfId="22003" xr:uid="{94010A0F-8481-424A-AB25-FEF7C91420F1}"/>
    <cellStyle name="Normal 2 5 5 3 3" xfId="30449" xr:uid="{821CEAA0-331F-481C-8C40-9CF71F423C13}"/>
    <cellStyle name="Normal 2 5 5 3 4" xfId="13562" xr:uid="{64F047D1-A575-47CC-9B26-EBF07296F839}"/>
    <cellStyle name="Normal 2 5 5 4" xfId="17785" xr:uid="{CF1F0F47-005D-4008-BFF0-C62031DB6432}"/>
    <cellStyle name="Normal 2 5 5 5" xfId="26230" xr:uid="{4CCF406B-A0DF-41D1-B057-D7FA76841E7E}"/>
    <cellStyle name="Normal 2 5 5 6" xfId="9344" xr:uid="{CAB7706F-769D-461D-8331-0095DE37753D}"/>
    <cellStyle name="Normal 2 5 6" xfId="1225" xr:uid="{00000000-0005-0000-0000-000069110000}"/>
    <cellStyle name="Normal 2 5 6 2" xfId="3455" xr:uid="{00000000-0005-0000-0000-00006A110000}"/>
    <cellStyle name="Normal 2 5 6 2 2" xfId="7678" xr:uid="{00000000-0005-0000-0000-00006B110000}"/>
    <cellStyle name="Normal 2 5 6 2 2 2" xfId="24561" xr:uid="{BA52D9F5-12B8-4A3A-AFB4-25313C95C50E}"/>
    <cellStyle name="Normal 2 5 6 2 2 3" xfId="33007" xr:uid="{0373997D-5A49-47BD-92CE-FE49D7E649C8}"/>
    <cellStyle name="Normal 2 5 6 2 2 4" xfId="16120" xr:uid="{9E3F06CC-198E-481C-AC67-06C55BA2F7AC}"/>
    <cellStyle name="Normal 2 5 6 2 3" xfId="20343" xr:uid="{86E98138-D807-4648-ABC9-D30089D18418}"/>
    <cellStyle name="Normal 2 5 6 2 4" xfId="28790" xr:uid="{91E413BA-8A07-4EF9-811F-4F45E3813ABF}"/>
    <cellStyle name="Normal 2 5 6 2 5" xfId="11902" xr:uid="{AF72470D-09A5-4DB8-ADDF-BF452E160660}"/>
    <cellStyle name="Normal 2 5 6 3" xfId="5533" xr:uid="{00000000-0005-0000-0000-00006C110000}"/>
    <cellStyle name="Normal 2 5 6 3 2" xfId="22416" xr:uid="{C2B7066C-5E99-493F-8807-3E77D8AE6BA1}"/>
    <cellStyle name="Normal 2 5 6 3 3" xfId="30862" xr:uid="{FFB30418-9C99-4B77-BAC3-8FB960669D9A}"/>
    <cellStyle name="Normal 2 5 6 3 4" xfId="13975" xr:uid="{D5BA314C-100A-4D38-B897-23E9DCFF6EBA}"/>
    <cellStyle name="Normal 2 5 6 4" xfId="18198" xr:uid="{3718D52B-9DD2-4226-851F-64E2966D2318}"/>
    <cellStyle name="Normal 2 5 6 5" xfId="26643" xr:uid="{68E92236-34F8-45A7-AE94-F73F370F90A9}"/>
    <cellStyle name="Normal 2 5 6 6" xfId="9757" xr:uid="{7C3FF7A0-E7BC-4088-A9ED-8860B71320AB}"/>
    <cellStyle name="Normal 2 5 7" xfId="1638" xr:uid="{00000000-0005-0000-0000-00006D110000}"/>
    <cellStyle name="Normal 2 5 7 2" xfId="3868" xr:uid="{00000000-0005-0000-0000-00006E110000}"/>
    <cellStyle name="Normal 2 5 7 2 2" xfId="8091" xr:uid="{00000000-0005-0000-0000-00006F110000}"/>
    <cellStyle name="Normal 2 5 7 2 2 2" xfId="24974" xr:uid="{38A4CB93-62F2-49F5-B784-4D5E67BC9864}"/>
    <cellStyle name="Normal 2 5 7 2 2 3" xfId="33420" xr:uid="{7C4F6A9A-F54D-495A-B2BE-0C940878C29A}"/>
    <cellStyle name="Normal 2 5 7 2 2 4" xfId="16533" xr:uid="{607A1AB7-D2FE-45FC-8BA6-109D81B23A01}"/>
    <cellStyle name="Normal 2 5 7 2 3" xfId="20756" xr:uid="{F8D4D146-6A54-4C74-AC7C-28C51D3BB4C2}"/>
    <cellStyle name="Normal 2 5 7 2 4" xfId="29203" xr:uid="{B095DEBF-DD03-4B83-95A2-8B00E13FE3FF}"/>
    <cellStyle name="Normal 2 5 7 2 5" xfId="12315" xr:uid="{E3C24FBE-7075-45C3-9DE3-0FF0A3B3661C}"/>
    <cellStyle name="Normal 2 5 7 3" xfId="5946" xr:uid="{00000000-0005-0000-0000-000070110000}"/>
    <cellStyle name="Normal 2 5 7 3 2" xfId="22829" xr:uid="{6F16FBA4-A7D4-4898-82D3-131727230335}"/>
    <cellStyle name="Normal 2 5 7 3 3" xfId="31275" xr:uid="{69F32C61-8422-4704-A825-251ED0E6301C}"/>
    <cellStyle name="Normal 2 5 7 3 4" xfId="14388" xr:uid="{ED5BE444-BE6E-405D-8EC0-42892FD0FD0D}"/>
    <cellStyle name="Normal 2 5 7 4" xfId="18611" xr:uid="{61B59D41-F19F-46F3-B704-03749338A022}"/>
    <cellStyle name="Normal 2 5 7 5" xfId="27056" xr:uid="{E7EE81DA-D6E9-4A5E-A163-0384C3876091}"/>
    <cellStyle name="Normal 2 5 7 6" xfId="10170" xr:uid="{9EE3FB2B-AF9A-4273-B8CC-480A0A02B48A}"/>
    <cellStyle name="Normal 2 5 8" xfId="2052" xr:uid="{00000000-0005-0000-0000-000071110000}"/>
    <cellStyle name="Normal 2 5 8 2" xfId="4281" xr:uid="{00000000-0005-0000-0000-000072110000}"/>
    <cellStyle name="Normal 2 5 8 2 2" xfId="8504" xr:uid="{00000000-0005-0000-0000-000073110000}"/>
    <cellStyle name="Normal 2 5 8 2 2 2" xfId="25387" xr:uid="{767CA5E7-57FD-47D4-AF8B-8C5FE2DB80C4}"/>
    <cellStyle name="Normal 2 5 8 2 2 3" xfId="33833" xr:uid="{0210F0F7-CA33-4878-94E0-7FCC7D7AB8D3}"/>
    <cellStyle name="Normal 2 5 8 2 2 4" xfId="16946" xr:uid="{F89888BE-A554-4D4A-BF59-7F108CEAB503}"/>
    <cellStyle name="Normal 2 5 8 2 3" xfId="21169" xr:uid="{6C146900-C465-44BD-8943-CAACB8191E6D}"/>
    <cellStyle name="Normal 2 5 8 2 4" xfId="29616" xr:uid="{C26F2397-451E-47E9-B4AC-F0ED493D89B7}"/>
    <cellStyle name="Normal 2 5 8 2 5" xfId="12728" xr:uid="{7811FCDA-CD8C-4D0A-A1C1-5534005EF8E5}"/>
    <cellStyle name="Normal 2 5 8 3" xfId="6359" xr:uid="{00000000-0005-0000-0000-000074110000}"/>
    <cellStyle name="Normal 2 5 8 3 2" xfId="23242" xr:uid="{9804CFB8-F4A1-4041-85CC-871ACE3C8775}"/>
    <cellStyle name="Normal 2 5 8 3 3" xfId="31688" xr:uid="{CAC2C111-85A7-4865-9852-28EB80811980}"/>
    <cellStyle name="Normal 2 5 8 3 4" xfId="14801" xr:uid="{B523E6EE-578B-43A8-B2D3-61CB3B4B1680}"/>
    <cellStyle name="Normal 2 5 8 4" xfId="19024" xr:uid="{2ED5F952-8FBB-4BDF-A8E2-A0B8B12B9519}"/>
    <cellStyle name="Normal 2 5 8 5" xfId="27469" xr:uid="{8C9A181E-7B57-460C-B92F-1E19911E3D40}"/>
    <cellStyle name="Normal 2 5 8 6" xfId="10583" xr:uid="{B27B7B36-A164-408A-881E-47A5BD0C135B}"/>
    <cellStyle name="Normal 2 5 9" xfId="2488" xr:uid="{00000000-0005-0000-0000-000075110000}"/>
    <cellStyle name="Normal 2 5 9 2" xfId="6772" xr:uid="{00000000-0005-0000-0000-000076110000}"/>
    <cellStyle name="Normal 2 5 9 2 2" xfId="23655" xr:uid="{4D182476-9942-48C4-98B9-E76161345D32}"/>
    <cellStyle name="Normal 2 5 9 2 3" xfId="32101" xr:uid="{2A001669-7367-430C-92CC-EE390AA3995B}"/>
    <cellStyle name="Normal 2 5 9 2 4" xfId="15214" xr:uid="{9A018CD8-5E63-4E53-99B7-9B38679C709A}"/>
    <cellStyle name="Normal 2 5 9 3" xfId="19437" xr:uid="{EF6F0EFC-8EEB-4582-ADFA-08313A62A64C}"/>
    <cellStyle name="Normal 2 5 9 4" xfId="27882" xr:uid="{5DB4E65D-48BB-4CDF-84FE-7925F964A57E}"/>
    <cellStyle name="Normal 2 5 9 5" xfId="10996" xr:uid="{92742487-3D30-4C80-94B3-EBD818C14FD0}"/>
    <cellStyle name="Normal 2 5_Dropdowns" xfId="34157" xr:uid="{3221B470-057E-4D8F-A354-D6EE2A196C96}"/>
    <cellStyle name="Normal 2 6" xfId="322" xr:uid="{00000000-0005-0000-0000-000077110000}"/>
    <cellStyle name="Normal 2 6 2" xfId="34202" xr:uid="{58DDB411-C010-4EFA-9BE3-554559AFC8E2}"/>
    <cellStyle name="Normal 2 7" xfId="769" xr:uid="{00000000-0005-0000-0000-000078110000}"/>
    <cellStyle name="Normal 2 8" xfId="4495" xr:uid="{00000000-0005-0000-0000-000079110000}"/>
    <cellStyle name="Normal 2 8 2" xfId="25611" xr:uid="{5F7C9865-D9F1-4A48-9839-6859227192C6}"/>
    <cellStyle name="Normal 2 8 3" xfId="21381" xr:uid="{F764C01E-D7F7-4FFF-89BE-8149998EDA83}"/>
    <cellStyle name="Normal 2 8 4" xfId="12940" xr:uid="{DD09F1DE-6AA0-4C44-B04C-C6BCDF400261}"/>
    <cellStyle name="Normal 2 9" xfId="34188" xr:uid="{E61FB315-2B2F-4022-81E4-07767317A196}"/>
    <cellStyle name="Normal 2_Dropdowns" xfId="34106" xr:uid="{CFDEE942-FE63-4972-B0EA-29991A4C8FC0}"/>
    <cellStyle name="Normal 20" xfId="34218" xr:uid="{2A0E7407-FC38-4615-9623-7F632F2EE91E}"/>
    <cellStyle name="Normal 21" xfId="34088" xr:uid="{90A794E9-B5A4-44E8-A38D-BA3FCACFBAA1}"/>
    <cellStyle name="Normal 22" xfId="34138" xr:uid="{EB62DB75-7F6F-45F8-B4FE-039A67D91BAD}"/>
    <cellStyle name="Normal 22 2" xfId="34065" xr:uid="{10A15D76-41ED-4777-B1F3-FB72BBC010DB}"/>
    <cellStyle name="Normal 22_Dropdowns" xfId="34198" xr:uid="{91977C94-E0F1-4445-AAD5-61D8DEB689BB}"/>
    <cellStyle name="Normal 23" xfId="34191" xr:uid="{281872D3-54A9-4517-9BBC-298467FAD47E}"/>
    <cellStyle name="Normal 24" xfId="34069" xr:uid="{84EA3BD1-D4F1-4DA9-B027-9DA483BDB0A5}"/>
    <cellStyle name="Normal 25" xfId="34150" xr:uid="{9BF542C0-DCDB-4E20-A7B1-B0C1F71062FE}"/>
    <cellStyle name="Normal 26" xfId="34180" xr:uid="{25A6E1C0-3C84-4B76-B7C4-0F385ABE1581}"/>
    <cellStyle name="Normal 27" xfId="34120" xr:uid="{0AD268A9-E522-460A-8AD0-5B2CFB32104E}"/>
    <cellStyle name="Normal 3" xfId="323" xr:uid="{00000000-0005-0000-0000-00007A110000}"/>
    <cellStyle name="Normal 3 2" xfId="324" xr:uid="{00000000-0005-0000-0000-00007B110000}"/>
    <cellStyle name="Normal 3 2 10" xfId="17376" xr:uid="{8138DD96-9637-429F-A64F-F3E7E0EBE8FE}"/>
    <cellStyle name="Normal 3 2 11" xfId="25820" xr:uid="{1B2D9CFA-EEA6-4395-8F35-9FD220AA0DBE}"/>
    <cellStyle name="Normal 3 2 12" xfId="34059" xr:uid="{E2341AC8-28AC-475F-9D3C-174476879A85}"/>
    <cellStyle name="Normal 3 2 13" xfId="8935" xr:uid="{B58B6931-7EBB-4959-8F27-719CF01BEB3F}"/>
    <cellStyle name="Normal 3 2 2" xfId="325" xr:uid="{00000000-0005-0000-0000-00007C110000}"/>
    <cellStyle name="Normal 3 2 2 2" xfId="810" xr:uid="{00000000-0005-0000-0000-00007D110000}"/>
    <cellStyle name="Normal 3 2 2 2 2" xfId="34115" xr:uid="{32074074-717D-4561-834F-170DBB13095E}"/>
    <cellStyle name="Normal 3 2 2 3" xfId="34097" xr:uid="{0E4195D8-CE55-43F1-87EE-286B574772A0}"/>
    <cellStyle name="Normal 3 2 2_Dropdowns" xfId="34086" xr:uid="{CC2673D2-854D-47E3-89B0-17A724E02363}"/>
    <cellStyle name="Normal 3 2 3" xfId="326" xr:uid="{00000000-0005-0000-0000-00007E110000}"/>
    <cellStyle name="Normal 3 2 3 10" xfId="17377" xr:uid="{896205B4-B700-4601-B70B-9A0893FF66E4}"/>
    <cellStyle name="Normal 3 2 3 11" xfId="25821" xr:uid="{438D26D0-D88A-4235-B7FD-38EDBB4AAFF0}"/>
    <cellStyle name="Normal 3 2 3 12" xfId="34070" xr:uid="{A61C0C25-E6C1-4742-BBE8-460BC343BF63}"/>
    <cellStyle name="Normal 3 2 3 13" xfId="8936" xr:uid="{557E215F-D8FD-4852-A66E-E1B70A9F05D8}"/>
    <cellStyle name="Normal 3 2 3 2" xfId="327" xr:uid="{00000000-0005-0000-0000-00007F110000}"/>
    <cellStyle name="Normal 3 2 3 2 10" xfId="25822" xr:uid="{6925F366-C71C-4CB9-8957-5AA6E33B6AD1}"/>
    <cellStyle name="Normal 3 2 3 2 11" xfId="8937" xr:uid="{355485A6-F367-49FA-BED7-053915017D7E}"/>
    <cellStyle name="Normal 3 2 3 2 2" xfId="328" xr:uid="{00000000-0005-0000-0000-000080110000}"/>
    <cellStyle name="Normal 3 2 3 2 2 10" xfId="8938" xr:uid="{01829827-737B-447B-B3D5-6E54DE26025A}"/>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24156" xr:uid="{12534CDA-BFFE-4B50-9B0D-CA51D80534EA}"/>
    <cellStyle name="Normal 3 2 3 2 2 2 2 2 3" xfId="32602" xr:uid="{EA8E6C4F-0BBB-4A0F-A91D-35749CA19E5B}"/>
    <cellStyle name="Normal 3 2 3 2 2 2 2 2 4" xfId="15715" xr:uid="{5433B127-C891-4349-BECF-CD08E43FBB77}"/>
    <cellStyle name="Normal 3 2 3 2 2 2 2 3" xfId="19938" xr:uid="{0BEBE71E-FE8B-4801-9FB9-4183F1A7DB00}"/>
    <cellStyle name="Normal 3 2 3 2 2 2 2 4" xfId="28385" xr:uid="{D8610D6E-6BC6-423A-99A2-C78562098FBC}"/>
    <cellStyle name="Normal 3 2 3 2 2 2 2 5" xfId="11497" xr:uid="{D21735D7-71D1-44AC-81C8-03D9FAFB6913}"/>
    <cellStyle name="Normal 3 2 3 2 2 2 3" xfId="5128" xr:uid="{00000000-0005-0000-0000-000084110000}"/>
    <cellStyle name="Normal 3 2 3 2 2 2 3 2" xfId="22011" xr:uid="{F74E20E0-05EE-4AD8-9337-FB3238045855}"/>
    <cellStyle name="Normal 3 2 3 2 2 2 3 3" xfId="30457" xr:uid="{7E12D6CE-9DD2-4FB1-B9A7-5EF36914ECD1}"/>
    <cellStyle name="Normal 3 2 3 2 2 2 3 4" xfId="13570" xr:uid="{3F6365F9-317A-4254-923E-16926F347439}"/>
    <cellStyle name="Normal 3 2 3 2 2 2 4" xfId="17793" xr:uid="{E2DC0863-B75F-4C6E-BACC-8A877ECE37C0}"/>
    <cellStyle name="Normal 3 2 3 2 2 2 5" xfId="26238" xr:uid="{4A84D0D1-3CC2-49DA-ABD5-BA549AD55063}"/>
    <cellStyle name="Normal 3 2 3 2 2 2 6" xfId="9352" xr:uid="{61999C61-DCAB-4787-9653-2211BA85671E}"/>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24569" xr:uid="{A52221B2-F5EC-4FCA-BDB7-0817EF637FAB}"/>
    <cellStyle name="Normal 3 2 3 2 2 3 2 2 3" xfId="33015" xr:uid="{33500588-A7FF-47DE-B5C7-DF34197E262C}"/>
    <cellStyle name="Normal 3 2 3 2 2 3 2 2 4" xfId="16128" xr:uid="{98D43002-8702-4149-81F9-707173A65282}"/>
    <cellStyle name="Normal 3 2 3 2 2 3 2 3" xfId="20351" xr:uid="{853DFC70-8687-4670-92A4-C5A3CB4C727A}"/>
    <cellStyle name="Normal 3 2 3 2 2 3 2 4" xfId="28798" xr:uid="{F5151C11-36DA-4009-9F18-AEF1D92E5C22}"/>
    <cellStyle name="Normal 3 2 3 2 2 3 2 5" xfId="11910" xr:uid="{F82C4906-045F-4D18-9654-3BE7D86A496B}"/>
    <cellStyle name="Normal 3 2 3 2 2 3 3" xfId="5541" xr:uid="{00000000-0005-0000-0000-000088110000}"/>
    <cellStyle name="Normal 3 2 3 2 2 3 3 2" xfId="22424" xr:uid="{F85C888D-A487-4770-94A1-4B3283A9FB90}"/>
    <cellStyle name="Normal 3 2 3 2 2 3 3 3" xfId="30870" xr:uid="{D2E8013A-5F90-44DE-9354-16DA2A22CFD4}"/>
    <cellStyle name="Normal 3 2 3 2 2 3 3 4" xfId="13983" xr:uid="{118D4008-BE9D-4C77-A92A-DFF2D553E53F}"/>
    <cellStyle name="Normal 3 2 3 2 2 3 4" xfId="18206" xr:uid="{04401567-B603-4016-A1A8-89CA9D2DF103}"/>
    <cellStyle name="Normal 3 2 3 2 2 3 5" xfId="26651" xr:uid="{FD9AED02-234F-45BE-9095-7B5645837455}"/>
    <cellStyle name="Normal 3 2 3 2 2 3 6" xfId="9765" xr:uid="{BB9C24B6-D3C9-4F68-8EC7-C100DC2C61B8}"/>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24982" xr:uid="{FF9A2C48-D07C-4A10-9B66-09FAC1F8336D}"/>
    <cellStyle name="Normal 3 2 3 2 2 4 2 2 3" xfId="33428" xr:uid="{013A8A2B-2E03-47B8-BF07-728B474386E0}"/>
    <cellStyle name="Normal 3 2 3 2 2 4 2 2 4" xfId="16541" xr:uid="{796893FA-2ADD-4A7B-BFE1-4B44C84C438D}"/>
    <cellStyle name="Normal 3 2 3 2 2 4 2 3" xfId="20764" xr:uid="{538C99AB-00A6-42D6-8C7C-4B3875E63FC5}"/>
    <cellStyle name="Normal 3 2 3 2 2 4 2 4" xfId="29211" xr:uid="{3F9ACAB5-5EAB-42D6-9262-EFC2491CE495}"/>
    <cellStyle name="Normal 3 2 3 2 2 4 2 5" xfId="12323" xr:uid="{E7E37982-F595-4232-98E2-7F3B33E85493}"/>
    <cellStyle name="Normal 3 2 3 2 2 4 3" xfId="5954" xr:uid="{00000000-0005-0000-0000-00008C110000}"/>
    <cellStyle name="Normal 3 2 3 2 2 4 3 2" xfId="22837" xr:uid="{AB0E7D20-04FA-4FF1-AE36-24969FAD6B53}"/>
    <cellStyle name="Normal 3 2 3 2 2 4 3 3" xfId="31283" xr:uid="{18136EC4-E58F-4924-9415-E66FF5B25B56}"/>
    <cellStyle name="Normal 3 2 3 2 2 4 3 4" xfId="14396" xr:uid="{582BA3BD-A7FF-4E90-8062-2718FC3B9636}"/>
    <cellStyle name="Normal 3 2 3 2 2 4 4" xfId="18619" xr:uid="{9712596D-11BC-4C96-BEE4-861A42B4CDB8}"/>
    <cellStyle name="Normal 3 2 3 2 2 4 5" xfId="27064" xr:uid="{496E8AC9-52A7-419C-820E-2BA3CD7A9E77}"/>
    <cellStyle name="Normal 3 2 3 2 2 4 6" xfId="10178" xr:uid="{C0A858BE-4E7E-4E0B-9965-92C7393D52B3}"/>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25395" xr:uid="{02C77F2F-E6F6-4F9E-B040-2D7BC241D730}"/>
    <cellStyle name="Normal 3 2 3 2 2 5 2 2 3" xfId="33841" xr:uid="{A6968FC4-DEEC-46C3-BBB8-2A04F60B7726}"/>
    <cellStyle name="Normal 3 2 3 2 2 5 2 2 4" xfId="16954" xr:uid="{FD82460C-0221-40D7-89BE-8930880C0D9B}"/>
    <cellStyle name="Normal 3 2 3 2 2 5 2 3" xfId="21177" xr:uid="{B179895D-A967-4647-BB52-0C7A48D42AA4}"/>
    <cellStyle name="Normal 3 2 3 2 2 5 2 4" xfId="29624" xr:uid="{F8B0FA65-F585-4534-A304-440EEB7872FC}"/>
    <cellStyle name="Normal 3 2 3 2 2 5 2 5" xfId="12736" xr:uid="{6A6C2C98-598B-4AA3-8C49-EA25748A9A7F}"/>
    <cellStyle name="Normal 3 2 3 2 2 5 3" xfId="6367" xr:uid="{00000000-0005-0000-0000-000090110000}"/>
    <cellStyle name="Normal 3 2 3 2 2 5 3 2" xfId="23250" xr:uid="{D49F5C68-E31C-4200-822E-476520D65CFA}"/>
    <cellStyle name="Normal 3 2 3 2 2 5 3 3" xfId="31696" xr:uid="{AECADA0E-8F62-4D64-BB5C-8F62D3932FA8}"/>
    <cellStyle name="Normal 3 2 3 2 2 5 3 4" xfId="14809" xr:uid="{C53A9021-A77B-44A8-AE3D-141A34ECE6DB}"/>
    <cellStyle name="Normal 3 2 3 2 2 5 4" xfId="19032" xr:uid="{CB4C6001-8775-45CC-BB15-CD6917042DFE}"/>
    <cellStyle name="Normal 3 2 3 2 2 5 5" xfId="27477" xr:uid="{85EDDB5E-A530-465F-84E6-EF22500FB099}"/>
    <cellStyle name="Normal 3 2 3 2 2 5 6" xfId="10591" xr:uid="{A50DDCA0-95F3-4233-824C-8F2BB688BB8C}"/>
    <cellStyle name="Normal 3 2 3 2 2 6" xfId="2496" xr:uid="{00000000-0005-0000-0000-000091110000}"/>
    <cellStyle name="Normal 3 2 3 2 2 6 2" xfId="6780" xr:uid="{00000000-0005-0000-0000-000092110000}"/>
    <cellStyle name="Normal 3 2 3 2 2 6 2 2" xfId="23663" xr:uid="{A1939576-E1BD-4D68-9FA1-167D4BE7BC74}"/>
    <cellStyle name="Normal 3 2 3 2 2 6 2 3" xfId="32109" xr:uid="{2D72E3C6-C449-4C38-AF47-0C1749FC9D4B}"/>
    <cellStyle name="Normal 3 2 3 2 2 6 2 4" xfId="15222" xr:uid="{099B52CC-4FFA-4100-9829-BA2448D81A01}"/>
    <cellStyle name="Normal 3 2 3 2 2 6 3" xfId="19445" xr:uid="{1858278E-23FC-4975-B82D-4417D5C0D730}"/>
    <cellStyle name="Normal 3 2 3 2 2 6 4" xfId="27890" xr:uid="{65E09107-9304-4DBA-AA99-6D6EEBBC8B62}"/>
    <cellStyle name="Normal 3 2 3 2 2 6 5" xfId="11004" xr:uid="{F8B73418-6CCC-4D35-8567-D3998058FFD6}"/>
    <cellStyle name="Normal 3 2 3 2 2 7" xfId="4714" xr:uid="{00000000-0005-0000-0000-000093110000}"/>
    <cellStyle name="Normal 3 2 3 2 2 7 2" xfId="21597" xr:uid="{6A905D2C-3B76-4A8D-8F79-20672DCA936D}"/>
    <cellStyle name="Normal 3 2 3 2 2 7 3" xfId="30043" xr:uid="{DB1DA807-B3F3-4A95-9388-9D766E671294}"/>
    <cellStyle name="Normal 3 2 3 2 2 7 4" xfId="13156" xr:uid="{1D37B9F4-6AA0-43CF-86B9-51701284C3C2}"/>
    <cellStyle name="Normal 3 2 3 2 2 8" xfId="17379" xr:uid="{59749600-9706-47A1-B7FD-BB255E7568B5}"/>
    <cellStyle name="Normal 3 2 3 2 2 9" xfId="25823" xr:uid="{8D94ED79-5EAA-4FD2-944D-46A73C0D9DBE}"/>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24155" xr:uid="{48584B29-28D9-4AD8-BFE5-AB7EE22F09DA}"/>
    <cellStyle name="Normal 3 2 3 2 3 2 2 3" xfId="32601" xr:uid="{450DD584-C784-48EA-897D-9EAAC789E4D1}"/>
    <cellStyle name="Normal 3 2 3 2 3 2 2 4" xfId="15714" xr:uid="{198279FF-AA20-44BA-9BE0-11D3857EF1D6}"/>
    <cellStyle name="Normal 3 2 3 2 3 2 3" xfId="19937" xr:uid="{FB2EE740-0664-478B-92C9-3277ED1DE8A3}"/>
    <cellStyle name="Normal 3 2 3 2 3 2 4" xfId="28384" xr:uid="{E713266B-E2A2-4A22-B89D-45609D22D710}"/>
    <cellStyle name="Normal 3 2 3 2 3 2 5" xfId="11496" xr:uid="{5083A923-37A9-4355-B764-D4946BF16CD2}"/>
    <cellStyle name="Normal 3 2 3 2 3 3" xfId="5127" xr:uid="{00000000-0005-0000-0000-000097110000}"/>
    <cellStyle name="Normal 3 2 3 2 3 3 2" xfId="22010" xr:uid="{35CBE24C-1D9A-4B8D-95F6-7B21FF9F5563}"/>
    <cellStyle name="Normal 3 2 3 2 3 3 3" xfId="30456" xr:uid="{9B47DE63-44B4-4BA1-B113-09090B6AF4FE}"/>
    <cellStyle name="Normal 3 2 3 2 3 3 4" xfId="13569" xr:uid="{593DD57E-9224-4D55-A42E-6EA981B39B58}"/>
    <cellStyle name="Normal 3 2 3 2 3 4" xfId="17792" xr:uid="{6975DCCE-FE08-4236-90DD-1E07A22F04D7}"/>
    <cellStyle name="Normal 3 2 3 2 3 5" xfId="26237" xr:uid="{48B1A6F5-0C0B-4287-94F1-E1DAE963830B}"/>
    <cellStyle name="Normal 3 2 3 2 3 6" xfId="9351" xr:uid="{B14CE94A-5C7C-4C96-9605-71B19CD4D1B8}"/>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24568" xr:uid="{A425A3BF-6F90-49A5-AA55-830DD8634AD9}"/>
    <cellStyle name="Normal 3 2 3 2 4 2 2 3" xfId="33014" xr:uid="{A1A8F173-61E8-460B-9D03-5ED14C03F673}"/>
    <cellStyle name="Normal 3 2 3 2 4 2 2 4" xfId="16127" xr:uid="{DC20D682-EBD1-4AEA-81BD-ECED5CBB4C4D}"/>
    <cellStyle name="Normal 3 2 3 2 4 2 3" xfId="20350" xr:uid="{A9A54635-310D-40D1-9C8A-A10FAB8FFF6E}"/>
    <cellStyle name="Normal 3 2 3 2 4 2 4" xfId="28797" xr:uid="{05F51833-ABAA-4C79-BE85-F972FA8A2654}"/>
    <cellStyle name="Normal 3 2 3 2 4 2 5" xfId="11909" xr:uid="{33EE1BA7-44A5-47A0-923A-A320FE662F90}"/>
    <cellStyle name="Normal 3 2 3 2 4 3" xfId="5540" xr:uid="{00000000-0005-0000-0000-00009B110000}"/>
    <cellStyle name="Normal 3 2 3 2 4 3 2" xfId="22423" xr:uid="{4F822C4B-CE70-4406-8DC7-1E0E05131ACF}"/>
    <cellStyle name="Normal 3 2 3 2 4 3 3" xfId="30869" xr:uid="{5F5BBC0D-41B2-4777-A2A9-C9CCADFE162A}"/>
    <cellStyle name="Normal 3 2 3 2 4 3 4" xfId="13982" xr:uid="{2A57D75F-A458-46FA-85CD-F61E6FAE431D}"/>
    <cellStyle name="Normal 3 2 3 2 4 4" xfId="18205" xr:uid="{278AF4A3-EE55-4EA0-96C7-DDB45DB31505}"/>
    <cellStyle name="Normal 3 2 3 2 4 5" xfId="26650" xr:uid="{8BEAA2AB-A8DC-4CEB-AA8A-FB5D25245753}"/>
    <cellStyle name="Normal 3 2 3 2 4 6" xfId="9764" xr:uid="{653BD1A3-6931-4773-B1ED-7436509DAE77}"/>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24981" xr:uid="{F40CF83A-8604-461E-B38E-FB725077CAE9}"/>
    <cellStyle name="Normal 3 2 3 2 5 2 2 3" xfId="33427" xr:uid="{6EF4FFA9-5550-4064-BA2F-706679D9600F}"/>
    <cellStyle name="Normal 3 2 3 2 5 2 2 4" xfId="16540" xr:uid="{9F838813-0393-4959-9314-A9B20169FA3B}"/>
    <cellStyle name="Normal 3 2 3 2 5 2 3" xfId="20763" xr:uid="{F5B9FEA1-D33C-436F-B772-C2CFBD5A74E4}"/>
    <cellStyle name="Normal 3 2 3 2 5 2 4" xfId="29210" xr:uid="{99EA7213-9058-45AF-8FAA-4AD29DD81B4C}"/>
    <cellStyle name="Normal 3 2 3 2 5 2 5" xfId="12322" xr:uid="{583E58E6-B8BE-4118-93D2-C23D600C717D}"/>
    <cellStyle name="Normal 3 2 3 2 5 3" xfId="5953" xr:uid="{00000000-0005-0000-0000-00009F110000}"/>
    <cellStyle name="Normal 3 2 3 2 5 3 2" xfId="22836" xr:uid="{B30E14CC-B159-4378-85BB-029DE6F35C86}"/>
    <cellStyle name="Normal 3 2 3 2 5 3 3" xfId="31282" xr:uid="{00EF3464-443F-45A5-ADE2-FD24B437EA9A}"/>
    <cellStyle name="Normal 3 2 3 2 5 3 4" xfId="14395" xr:uid="{0849888D-8AED-4A05-845E-2A8302521B8C}"/>
    <cellStyle name="Normal 3 2 3 2 5 4" xfId="18618" xr:uid="{C34132C4-60E1-43E3-BCBF-5E529B5275EE}"/>
    <cellStyle name="Normal 3 2 3 2 5 5" xfId="27063" xr:uid="{37741783-C42C-4DC6-80D9-B954C2B5C902}"/>
    <cellStyle name="Normal 3 2 3 2 5 6" xfId="10177" xr:uid="{27E8FEF3-A045-463C-9206-68593FD1A3A0}"/>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25394" xr:uid="{61DD2641-FB00-4596-A32D-0155823A478A}"/>
    <cellStyle name="Normal 3 2 3 2 6 2 2 3" xfId="33840" xr:uid="{D2A27A7B-237C-4650-9E08-E6589F7CEA5B}"/>
    <cellStyle name="Normal 3 2 3 2 6 2 2 4" xfId="16953" xr:uid="{CFF6F71E-6891-431C-81AC-2562171E1868}"/>
    <cellStyle name="Normal 3 2 3 2 6 2 3" xfId="21176" xr:uid="{FBA3A74F-6369-45B3-8F2C-99154EA5D138}"/>
    <cellStyle name="Normal 3 2 3 2 6 2 4" xfId="29623" xr:uid="{FFF9D447-D8D7-4D58-B0BB-0A85130019D1}"/>
    <cellStyle name="Normal 3 2 3 2 6 2 5" xfId="12735" xr:uid="{6845D07E-3CC9-41F7-9AFC-3B2CF2A9FDE1}"/>
    <cellStyle name="Normal 3 2 3 2 6 3" xfId="6366" xr:uid="{00000000-0005-0000-0000-0000A3110000}"/>
    <cellStyle name="Normal 3 2 3 2 6 3 2" xfId="23249" xr:uid="{1A53C1B9-9EAE-4E62-A962-1B50115E1B8E}"/>
    <cellStyle name="Normal 3 2 3 2 6 3 3" xfId="31695" xr:uid="{4D1467AB-04E7-4822-B437-EE368521B8E1}"/>
    <cellStyle name="Normal 3 2 3 2 6 3 4" xfId="14808" xr:uid="{4789FACB-1F57-4A2C-88AD-7CFAB56EC947}"/>
    <cellStyle name="Normal 3 2 3 2 6 4" xfId="19031" xr:uid="{7BBF4BBC-C971-4C1C-B601-D5EF19CB6F28}"/>
    <cellStyle name="Normal 3 2 3 2 6 5" xfId="27476" xr:uid="{5D53C027-DAF8-4173-BA56-1D5B8FF0DCAB}"/>
    <cellStyle name="Normal 3 2 3 2 6 6" xfId="10590" xr:uid="{AEB7786C-C774-4BAD-85F8-DCDD7B778968}"/>
    <cellStyle name="Normal 3 2 3 2 7" xfId="2495" xr:uid="{00000000-0005-0000-0000-0000A4110000}"/>
    <cellStyle name="Normal 3 2 3 2 7 2" xfId="6779" xr:uid="{00000000-0005-0000-0000-0000A5110000}"/>
    <cellStyle name="Normal 3 2 3 2 7 2 2" xfId="23662" xr:uid="{CB01C540-57E5-40AF-9923-BC30FB18BFDB}"/>
    <cellStyle name="Normal 3 2 3 2 7 2 3" xfId="32108" xr:uid="{EE60FA94-5D37-4117-8793-F95B347E35D8}"/>
    <cellStyle name="Normal 3 2 3 2 7 2 4" xfId="15221" xr:uid="{A20523FB-6706-4299-9AFE-22223F5F6055}"/>
    <cellStyle name="Normal 3 2 3 2 7 3" xfId="19444" xr:uid="{48CC144C-940C-489D-A07B-CA610CDB26F1}"/>
    <cellStyle name="Normal 3 2 3 2 7 4" xfId="27889" xr:uid="{67F8EEE6-FCAD-4448-9CB3-9D0EA0E4A9BF}"/>
    <cellStyle name="Normal 3 2 3 2 7 5" xfId="11003" xr:uid="{858F24AB-2DE3-4ACB-9497-EDEEB034BD18}"/>
    <cellStyle name="Normal 3 2 3 2 8" xfId="4713" xr:uid="{00000000-0005-0000-0000-0000A6110000}"/>
    <cellStyle name="Normal 3 2 3 2 8 2" xfId="21596" xr:uid="{D841953E-B134-44CC-B46F-27272CCB0D20}"/>
    <cellStyle name="Normal 3 2 3 2 8 3" xfId="30042" xr:uid="{EDBD7401-DCA8-43ED-8B3D-4D95D4CC84F2}"/>
    <cellStyle name="Normal 3 2 3 2 8 4" xfId="13155" xr:uid="{5F4DCCB2-F1A7-4F6A-B17C-D1BBE298491A}"/>
    <cellStyle name="Normal 3 2 3 2 9" xfId="17378" xr:uid="{8B681307-2171-4818-89C6-5B546AB32DFF}"/>
    <cellStyle name="Normal 3 2 3 3" xfId="329" xr:uid="{00000000-0005-0000-0000-0000A7110000}"/>
    <cellStyle name="Normal 3 2 3 3 10" xfId="8939" xr:uid="{D1F80EC2-B763-4D10-A599-12FCA9F2C5FC}"/>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24157" xr:uid="{DA209864-203E-484D-98D0-39970C7D6B9E}"/>
    <cellStyle name="Normal 3 2 3 3 2 2 2 3" xfId="32603" xr:uid="{800B7D9D-E8CE-4029-9D5F-C577D352A30D}"/>
    <cellStyle name="Normal 3 2 3 3 2 2 2 4" xfId="15716" xr:uid="{A123D605-5F72-4ECD-BC32-B77D9EB1B0F0}"/>
    <cellStyle name="Normal 3 2 3 3 2 2 3" xfId="19939" xr:uid="{2A1F3273-8BB1-4253-A651-591F5BF71EF7}"/>
    <cellStyle name="Normal 3 2 3 3 2 2 4" xfId="28386" xr:uid="{D822A84A-A5B2-4C44-B871-6850CA0C3768}"/>
    <cellStyle name="Normal 3 2 3 3 2 2 5" xfId="11498" xr:uid="{15B4F547-3FB7-4506-9722-AD4193EFB9BD}"/>
    <cellStyle name="Normal 3 2 3 3 2 3" xfId="5129" xr:uid="{00000000-0005-0000-0000-0000AB110000}"/>
    <cellStyle name="Normal 3 2 3 3 2 3 2" xfId="22012" xr:uid="{19E9E383-6350-4401-9FEE-75E7E1AA5DC5}"/>
    <cellStyle name="Normal 3 2 3 3 2 3 3" xfId="30458" xr:uid="{A362BD65-2345-4512-9E23-F8F27C33350F}"/>
    <cellStyle name="Normal 3 2 3 3 2 3 4" xfId="13571" xr:uid="{7EFD96A3-EA50-46F2-9D2F-87871D1D3239}"/>
    <cellStyle name="Normal 3 2 3 3 2 4" xfId="17794" xr:uid="{89349A2B-13FD-4622-A6AE-C1A7761CBE47}"/>
    <cellStyle name="Normal 3 2 3 3 2 5" xfId="26239" xr:uid="{A572E47C-37D0-41AA-83FC-A121E3C7DBC0}"/>
    <cellStyle name="Normal 3 2 3 3 2 6" xfId="9353" xr:uid="{6BEAB883-32B0-43E2-BEA2-6910C0777752}"/>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24570" xr:uid="{7C79D3DA-5A5A-44F9-AFE7-05635EF57AF5}"/>
    <cellStyle name="Normal 3 2 3 3 3 2 2 3" xfId="33016" xr:uid="{391147CC-5292-4449-8A44-C42F88B5334A}"/>
    <cellStyle name="Normal 3 2 3 3 3 2 2 4" xfId="16129" xr:uid="{BDE8B277-F037-4BCD-8CF1-E24653F930BA}"/>
    <cellStyle name="Normal 3 2 3 3 3 2 3" xfId="20352" xr:uid="{CA7F1B10-E029-4A80-8005-4A6FC2F26F25}"/>
    <cellStyle name="Normal 3 2 3 3 3 2 4" xfId="28799" xr:uid="{18C0130E-52D6-4628-B257-F86F83EDBD89}"/>
    <cellStyle name="Normal 3 2 3 3 3 2 5" xfId="11911" xr:uid="{0146722B-557D-4C68-9688-73AB1F9D8D67}"/>
    <cellStyle name="Normal 3 2 3 3 3 3" xfId="5542" xr:uid="{00000000-0005-0000-0000-0000AF110000}"/>
    <cellStyle name="Normal 3 2 3 3 3 3 2" xfId="22425" xr:uid="{EBF38E80-8877-4311-AA1C-3073644F2F22}"/>
    <cellStyle name="Normal 3 2 3 3 3 3 3" xfId="30871" xr:uid="{559CD711-BAB7-4681-B99D-3954BD3B27F9}"/>
    <cellStyle name="Normal 3 2 3 3 3 3 4" xfId="13984" xr:uid="{E88025FA-0474-4293-8099-7B3E65EE9F70}"/>
    <cellStyle name="Normal 3 2 3 3 3 4" xfId="18207" xr:uid="{33C753C8-F368-44A1-8904-DAFCEC95F326}"/>
    <cellStyle name="Normal 3 2 3 3 3 5" xfId="26652" xr:uid="{FDB09348-7500-4E61-9B8D-E43EFDCF7AC2}"/>
    <cellStyle name="Normal 3 2 3 3 3 6" xfId="9766" xr:uid="{763FB61D-1CA3-4C7D-B447-0578933658C4}"/>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24983" xr:uid="{BC45C2C1-85AB-41EC-A332-8D84B414DDA8}"/>
    <cellStyle name="Normal 3 2 3 3 4 2 2 3" xfId="33429" xr:uid="{5E8A9D3C-0803-4FDB-BD73-49867BDDFE24}"/>
    <cellStyle name="Normal 3 2 3 3 4 2 2 4" xfId="16542" xr:uid="{C97403FF-F767-4CFD-85D6-32BD07B1228E}"/>
    <cellStyle name="Normal 3 2 3 3 4 2 3" xfId="20765" xr:uid="{AA0A9E28-80E3-4090-A701-DC324DB977FE}"/>
    <cellStyle name="Normal 3 2 3 3 4 2 4" xfId="29212" xr:uid="{DB1740DD-CFF3-4166-B444-AC214B6DD980}"/>
    <cellStyle name="Normal 3 2 3 3 4 2 5" xfId="12324" xr:uid="{F03817D2-ACD5-4866-9ACD-6231E1B0F999}"/>
    <cellStyle name="Normal 3 2 3 3 4 3" xfId="5955" xr:uid="{00000000-0005-0000-0000-0000B3110000}"/>
    <cellStyle name="Normal 3 2 3 3 4 3 2" xfId="22838" xr:uid="{34DDB39B-18FA-48BA-B9FE-DDB4E19A0601}"/>
    <cellStyle name="Normal 3 2 3 3 4 3 3" xfId="31284" xr:uid="{AFC29A25-32AA-497B-95EE-3922A5620087}"/>
    <cellStyle name="Normal 3 2 3 3 4 3 4" xfId="14397" xr:uid="{0CD48565-910E-48CB-AA5C-C812AF4C2429}"/>
    <cellStyle name="Normal 3 2 3 3 4 4" xfId="18620" xr:uid="{ED19F40C-CCD0-418F-8C1B-65A82293FE69}"/>
    <cellStyle name="Normal 3 2 3 3 4 5" xfId="27065" xr:uid="{B44110F9-EB46-458C-A572-D99C41260B04}"/>
    <cellStyle name="Normal 3 2 3 3 4 6" xfId="10179" xr:uid="{CE0A1757-5C48-4AE9-9856-5603FB6E5C1A}"/>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25396" xr:uid="{DB8EA224-3B34-4C48-AC46-28B3DAB4AC18}"/>
    <cellStyle name="Normal 3 2 3 3 5 2 2 3" xfId="33842" xr:uid="{23D80422-FF31-490A-A303-9A4F6CDDCD70}"/>
    <cellStyle name="Normal 3 2 3 3 5 2 2 4" xfId="16955" xr:uid="{29D03D93-3142-4D3E-B2A9-5EE0E0C0ED60}"/>
    <cellStyle name="Normal 3 2 3 3 5 2 3" xfId="21178" xr:uid="{4CF0CC33-D90E-4D05-8910-68E343603EA1}"/>
    <cellStyle name="Normal 3 2 3 3 5 2 4" xfId="29625" xr:uid="{EE5594BD-E86E-42B9-9BFF-17D84EA48D8E}"/>
    <cellStyle name="Normal 3 2 3 3 5 2 5" xfId="12737" xr:uid="{F15655E3-7645-48DE-A9E6-29B28AECDAD3}"/>
    <cellStyle name="Normal 3 2 3 3 5 3" xfId="6368" xr:uid="{00000000-0005-0000-0000-0000B7110000}"/>
    <cellStyle name="Normal 3 2 3 3 5 3 2" xfId="23251" xr:uid="{95DA9878-AC06-493E-A3D4-5193C69B69DD}"/>
    <cellStyle name="Normal 3 2 3 3 5 3 3" xfId="31697" xr:uid="{7BEEAA66-EFF9-4832-90AC-B2036D816993}"/>
    <cellStyle name="Normal 3 2 3 3 5 3 4" xfId="14810" xr:uid="{829877CE-B24A-44AA-9331-F4D4AF0DA199}"/>
    <cellStyle name="Normal 3 2 3 3 5 4" xfId="19033" xr:uid="{97133537-C8DC-4303-A567-052695020F03}"/>
    <cellStyle name="Normal 3 2 3 3 5 5" xfId="27478" xr:uid="{86FCB36F-BD4F-4879-9EAB-0F2BE9AC9E77}"/>
    <cellStyle name="Normal 3 2 3 3 5 6" xfId="10592" xr:uid="{EE0B5871-B0B5-4F92-BF5F-DB2BE3DF87AD}"/>
    <cellStyle name="Normal 3 2 3 3 6" xfId="2497" xr:uid="{00000000-0005-0000-0000-0000B8110000}"/>
    <cellStyle name="Normal 3 2 3 3 6 2" xfId="6781" xr:uid="{00000000-0005-0000-0000-0000B9110000}"/>
    <cellStyle name="Normal 3 2 3 3 6 2 2" xfId="23664" xr:uid="{83688CD0-ABA6-4A15-A6F6-FE24137767DD}"/>
    <cellStyle name="Normal 3 2 3 3 6 2 3" xfId="32110" xr:uid="{C17B930F-2205-48A4-9817-E15FFA7BC0D8}"/>
    <cellStyle name="Normal 3 2 3 3 6 2 4" xfId="15223" xr:uid="{3EC3F77C-4E7C-475A-B9F1-4F3A6F705198}"/>
    <cellStyle name="Normal 3 2 3 3 6 3" xfId="19446" xr:uid="{4C7F5F12-36CB-4CCF-9577-896CAEEE10D3}"/>
    <cellStyle name="Normal 3 2 3 3 6 4" xfId="27891" xr:uid="{E0161EB4-99A6-49A7-8BB3-85060691358C}"/>
    <cellStyle name="Normal 3 2 3 3 6 5" xfId="11005" xr:uid="{172FA69B-029D-4DCF-AEBA-4A53D5D8A1E9}"/>
    <cellStyle name="Normal 3 2 3 3 7" xfId="4715" xr:uid="{00000000-0005-0000-0000-0000BA110000}"/>
    <cellStyle name="Normal 3 2 3 3 7 2" xfId="21598" xr:uid="{4EDAD82F-3451-4BD4-AEAA-17D54D10E05A}"/>
    <cellStyle name="Normal 3 2 3 3 7 3" xfId="30044" xr:uid="{D6154696-51C1-4550-A4B4-FCB4BB57D6B3}"/>
    <cellStyle name="Normal 3 2 3 3 7 4" xfId="13157" xr:uid="{C97D2C06-22CF-4B75-8797-A78F01073BFC}"/>
    <cellStyle name="Normal 3 2 3 3 8" xfId="17380" xr:uid="{DF438193-486C-4F5E-9799-427F43CA58B4}"/>
    <cellStyle name="Normal 3 2 3 3 9" xfId="25824" xr:uid="{D7D99E80-5EE9-463B-8225-811B3E86270C}"/>
    <cellStyle name="Normal 3 2 3 4" xfId="811" xr:uid="{00000000-0005-0000-0000-0000BB110000}"/>
    <cellStyle name="Normal 3 2 3 4 2" xfId="3048" xr:uid="{00000000-0005-0000-0000-0000BC110000}"/>
    <cellStyle name="Normal 3 2 3 4 2 2" xfId="7271" xr:uid="{00000000-0005-0000-0000-0000BD110000}"/>
    <cellStyle name="Normal 3 2 3 4 2 2 2" xfId="24154" xr:uid="{37C090B4-EFD1-4C21-9558-9F2717184473}"/>
    <cellStyle name="Normal 3 2 3 4 2 2 3" xfId="32600" xr:uid="{C0C0A091-3D02-4BCF-97CA-06A8D6AB45FA}"/>
    <cellStyle name="Normal 3 2 3 4 2 2 4" xfId="15713" xr:uid="{371C7CFB-4D6C-4944-9DF8-E3C26609A2DB}"/>
    <cellStyle name="Normal 3 2 3 4 2 3" xfId="19936" xr:uid="{E12E63F4-3A53-41FE-821A-7D7DA5AE08C6}"/>
    <cellStyle name="Normal 3 2 3 4 2 4" xfId="28383" xr:uid="{9C41E560-2F0A-4360-8633-4E5DDB873342}"/>
    <cellStyle name="Normal 3 2 3 4 2 5" xfId="11495" xr:uid="{0F1B72ED-961B-4732-AC03-B04417FF727E}"/>
    <cellStyle name="Normal 3 2 3 4 3" xfId="5126" xr:uid="{00000000-0005-0000-0000-0000BE110000}"/>
    <cellStyle name="Normal 3 2 3 4 3 2" xfId="22009" xr:uid="{DC6DAF85-6270-4FC4-9F42-0FE93905EE1C}"/>
    <cellStyle name="Normal 3 2 3 4 3 3" xfId="30455" xr:uid="{6B356A1A-807C-4C1A-8C64-B9B2CA0415C0}"/>
    <cellStyle name="Normal 3 2 3 4 3 4" xfId="13568" xr:uid="{42EDCC19-D656-4061-832D-0C17A804ED2E}"/>
    <cellStyle name="Normal 3 2 3 4 4" xfId="17791" xr:uid="{9CE6E812-D4CD-440A-9D37-E556F19C05DD}"/>
    <cellStyle name="Normal 3 2 3 4 5" xfId="26236" xr:uid="{557AF6D5-08F1-4426-AF02-7771DA3787D4}"/>
    <cellStyle name="Normal 3 2 3 4 6" xfId="9350" xr:uid="{EE278ED7-B98B-40F6-BEE4-80DC683FC687}"/>
    <cellStyle name="Normal 3 2 3 5" xfId="1231" xr:uid="{00000000-0005-0000-0000-0000BF110000}"/>
    <cellStyle name="Normal 3 2 3 5 2" xfId="3461" xr:uid="{00000000-0005-0000-0000-0000C0110000}"/>
    <cellStyle name="Normal 3 2 3 5 2 2" xfId="7684" xr:uid="{00000000-0005-0000-0000-0000C1110000}"/>
    <cellStyle name="Normal 3 2 3 5 2 2 2" xfId="24567" xr:uid="{EB44A6DD-B6F4-4AF4-AAD7-C10797EB2460}"/>
    <cellStyle name="Normal 3 2 3 5 2 2 3" xfId="33013" xr:uid="{BABC3D5D-B426-4C2A-8F6D-A83BB5EE9626}"/>
    <cellStyle name="Normal 3 2 3 5 2 2 4" xfId="16126" xr:uid="{A309ADD2-8E85-4E03-B5DC-8CB6EB47D10A}"/>
    <cellStyle name="Normal 3 2 3 5 2 3" xfId="20349" xr:uid="{7963AD95-E056-4534-8030-4A21894329F1}"/>
    <cellStyle name="Normal 3 2 3 5 2 4" xfId="28796" xr:uid="{44B3A6D7-F8DE-4B4C-A483-E693D6D3D7E5}"/>
    <cellStyle name="Normal 3 2 3 5 2 5" xfId="11908" xr:uid="{44CC8857-B3D9-490B-8E8B-503D9E9A4755}"/>
    <cellStyle name="Normal 3 2 3 5 3" xfId="5539" xr:uid="{00000000-0005-0000-0000-0000C2110000}"/>
    <cellStyle name="Normal 3 2 3 5 3 2" xfId="22422" xr:uid="{6A272D6E-496F-452A-9070-C1AB6845329E}"/>
    <cellStyle name="Normal 3 2 3 5 3 3" xfId="30868" xr:uid="{A0EF4864-7EB3-4E6F-BFE8-0C30982840B3}"/>
    <cellStyle name="Normal 3 2 3 5 3 4" xfId="13981" xr:uid="{020A5DDA-C48E-49F5-B148-CB512CA82030}"/>
    <cellStyle name="Normal 3 2 3 5 4" xfId="18204" xr:uid="{26E06AC2-911F-4B70-B69F-C3D1655246E5}"/>
    <cellStyle name="Normal 3 2 3 5 5" xfId="26649" xr:uid="{6B38B7AB-0BC8-46CB-90D3-3F079A238238}"/>
    <cellStyle name="Normal 3 2 3 5 6" xfId="9763" xr:uid="{1E361660-EA53-4E96-AEDB-3F530BD3DE18}"/>
    <cellStyle name="Normal 3 2 3 6" xfId="1644" xr:uid="{00000000-0005-0000-0000-0000C3110000}"/>
    <cellStyle name="Normal 3 2 3 6 2" xfId="3874" xr:uid="{00000000-0005-0000-0000-0000C4110000}"/>
    <cellStyle name="Normal 3 2 3 6 2 2" xfId="8097" xr:uid="{00000000-0005-0000-0000-0000C5110000}"/>
    <cellStyle name="Normal 3 2 3 6 2 2 2" xfId="24980" xr:uid="{E81A41CA-A43E-4343-8A6B-F534ABD632F9}"/>
    <cellStyle name="Normal 3 2 3 6 2 2 3" xfId="33426" xr:uid="{D08268A9-8C3E-4DF4-8E45-DB8FEC34A9B1}"/>
    <cellStyle name="Normal 3 2 3 6 2 2 4" xfId="16539" xr:uid="{8777D30C-FBCD-4971-AEAA-F1BDBB3A512A}"/>
    <cellStyle name="Normal 3 2 3 6 2 3" xfId="20762" xr:uid="{FA07E4A9-BF45-4941-84B3-217473A83A9A}"/>
    <cellStyle name="Normal 3 2 3 6 2 4" xfId="29209" xr:uid="{2F12C934-22D5-49BF-AA92-87D7DDDBB1FF}"/>
    <cellStyle name="Normal 3 2 3 6 2 5" xfId="12321" xr:uid="{806B2B1B-A6E4-4245-9706-4B769F41C13E}"/>
    <cellStyle name="Normal 3 2 3 6 3" xfId="5952" xr:uid="{00000000-0005-0000-0000-0000C6110000}"/>
    <cellStyle name="Normal 3 2 3 6 3 2" xfId="22835" xr:uid="{0EBDEA70-C61B-4E43-8186-E888FEA6C370}"/>
    <cellStyle name="Normal 3 2 3 6 3 3" xfId="31281" xr:uid="{5F946159-843A-4056-8ECC-4E2D7407C427}"/>
    <cellStyle name="Normal 3 2 3 6 3 4" xfId="14394" xr:uid="{9AB63B45-3581-4D41-AFE5-4A19D780792D}"/>
    <cellStyle name="Normal 3 2 3 6 4" xfId="18617" xr:uid="{E0F4F4E3-532D-423D-B546-1E63C6A2681D}"/>
    <cellStyle name="Normal 3 2 3 6 5" xfId="27062" xr:uid="{5D68F4A2-F869-4397-B309-A55B9138C3F2}"/>
    <cellStyle name="Normal 3 2 3 6 6" xfId="10176" xr:uid="{F25CA3B9-DAE8-4A07-A433-8F24BA50886D}"/>
    <cellStyle name="Normal 3 2 3 7" xfId="2058" xr:uid="{00000000-0005-0000-0000-0000C7110000}"/>
    <cellStyle name="Normal 3 2 3 7 2" xfId="4287" xr:uid="{00000000-0005-0000-0000-0000C8110000}"/>
    <cellStyle name="Normal 3 2 3 7 2 2" xfId="8510" xr:uid="{00000000-0005-0000-0000-0000C9110000}"/>
    <cellStyle name="Normal 3 2 3 7 2 2 2" xfId="25393" xr:uid="{EC609BE4-52AA-4FC4-A1D6-63A8AB455E20}"/>
    <cellStyle name="Normal 3 2 3 7 2 2 3" xfId="33839" xr:uid="{99D5FF77-066A-4418-9012-34D00C37B147}"/>
    <cellStyle name="Normal 3 2 3 7 2 2 4" xfId="16952" xr:uid="{28402DF6-2F55-4175-AE57-C1E9C2E5C6DE}"/>
    <cellStyle name="Normal 3 2 3 7 2 3" xfId="21175" xr:uid="{1F927D93-CAD6-4882-96EE-2140B95816B8}"/>
    <cellStyle name="Normal 3 2 3 7 2 4" xfId="29622" xr:uid="{C01F873D-6570-41C5-A12F-E9594338CD91}"/>
    <cellStyle name="Normal 3 2 3 7 2 5" xfId="12734" xr:uid="{0204319B-6C0F-425F-AF58-19907B10BBB8}"/>
    <cellStyle name="Normal 3 2 3 7 3" xfId="6365" xr:uid="{00000000-0005-0000-0000-0000CA110000}"/>
    <cellStyle name="Normal 3 2 3 7 3 2" xfId="23248" xr:uid="{35EEB5D8-BB5C-4D85-82F3-97C28650645B}"/>
    <cellStyle name="Normal 3 2 3 7 3 3" xfId="31694" xr:uid="{3C8ACF34-6C10-4357-B4BE-3EE122F542CD}"/>
    <cellStyle name="Normal 3 2 3 7 3 4" xfId="14807" xr:uid="{7C7948DA-155F-4CE7-9868-E65A3ECFFC3E}"/>
    <cellStyle name="Normal 3 2 3 7 4" xfId="19030" xr:uid="{91E4D1AB-43CC-403E-860A-B4789884A2A3}"/>
    <cellStyle name="Normal 3 2 3 7 5" xfId="27475" xr:uid="{2617A43F-8307-4C84-BB08-517086FCE289}"/>
    <cellStyle name="Normal 3 2 3 7 6" xfId="10589" xr:uid="{69FAD0E9-7679-46D2-ADA6-1B032E2E8E0D}"/>
    <cellStyle name="Normal 3 2 3 8" xfId="2494" xr:uid="{00000000-0005-0000-0000-0000CB110000}"/>
    <cellStyle name="Normal 3 2 3 8 2" xfId="6778" xr:uid="{00000000-0005-0000-0000-0000CC110000}"/>
    <cellStyle name="Normal 3 2 3 8 2 2" xfId="23661" xr:uid="{CA365FFF-CBE0-4A2C-B2FE-E3E581692F9C}"/>
    <cellStyle name="Normal 3 2 3 8 2 3" xfId="32107" xr:uid="{466E5354-DBFE-4D33-86F8-A81AF0B70BF9}"/>
    <cellStyle name="Normal 3 2 3 8 2 4" xfId="15220" xr:uid="{B8463ECD-8479-483F-A1D1-8BE6B22E3BF7}"/>
    <cellStyle name="Normal 3 2 3 8 3" xfId="19443" xr:uid="{5CA1E542-C2BC-4E7B-A7B1-4B6F05103419}"/>
    <cellStyle name="Normal 3 2 3 8 4" xfId="27888" xr:uid="{1B3805E9-EAF6-4E1A-96E7-4C09EB29D203}"/>
    <cellStyle name="Normal 3 2 3 8 5" xfId="11002" xr:uid="{2B3CBCBF-8343-4007-83E7-0F67BD67DFB0}"/>
    <cellStyle name="Normal 3 2 3 9" xfId="4712" xr:uid="{00000000-0005-0000-0000-0000CD110000}"/>
    <cellStyle name="Normal 3 2 3 9 2" xfId="21595" xr:uid="{4279D09E-FFC2-40B2-9810-856FCEA1C667}"/>
    <cellStyle name="Normal 3 2 3 9 3" xfId="30041" xr:uid="{2BB07044-2301-43DB-A520-FCB71A661D19}"/>
    <cellStyle name="Normal 3 2 3 9 4" xfId="13154" xr:uid="{88BBF497-2608-48EE-97B0-03BEF1DC2DA6}"/>
    <cellStyle name="Normal 3 2 4" xfId="809" xr:uid="{00000000-0005-0000-0000-0000CE110000}"/>
    <cellStyle name="Normal 3 2 4 2" xfId="3047" xr:uid="{00000000-0005-0000-0000-0000CF110000}"/>
    <cellStyle name="Normal 3 2 4 2 2" xfId="7270" xr:uid="{00000000-0005-0000-0000-0000D0110000}"/>
    <cellStyle name="Normal 3 2 4 2 2 2" xfId="24153" xr:uid="{5E9BA8D1-B06B-4A28-BBB4-952FD6963833}"/>
    <cellStyle name="Normal 3 2 4 2 2 3" xfId="32599" xr:uid="{F2143BF6-9364-4DC1-A5D8-A4E8827D310B}"/>
    <cellStyle name="Normal 3 2 4 2 2 4" xfId="15712" xr:uid="{1729E9C8-0FE9-40A5-B4F0-E8F0EA5B7476}"/>
    <cellStyle name="Normal 3 2 4 2 3" xfId="19935" xr:uid="{BD8007DE-0E7C-419B-9855-75A25F0C41A3}"/>
    <cellStyle name="Normal 3 2 4 2 4" xfId="28382" xr:uid="{735537D5-C80F-4E51-A2B7-2AE50729B8CD}"/>
    <cellStyle name="Normal 3 2 4 2 5" xfId="11494" xr:uid="{FFF847DA-2AAB-4D17-8D93-CA28839BEEE0}"/>
    <cellStyle name="Normal 3 2 4 3" xfId="5125" xr:uid="{00000000-0005-0000-0000-0000D1110000}"/>
    <cellStyle name="Normal 3 2 4 3 2" xfId="22008" xr:uid="{08FC0EC1-7A8C-41F8-8BA1-05F4575598CD}"/>
    <cellStyle name="Normal 3 2 4 3 3" xfId="30454" xr:uid="{24B4047C-3028-4DE5-8037-C3C4D278BED1}"/>
    <cellStyle name="Normal 3 2 4 3 4" xfId="13567" xr:uid="{7F3156BB-5F63-460D-B365-34445C9E711F}"/>
    <cellStyle name="Normal 3 2 4 4" xfId="17790" xr:uid="{4FF303D0-01DB-469F-B006-866C89D9510E}"/>
    <cellStyle name="Normal 3 2 4 5" xfId="26235" xr:uid="{6336567A-02E4-459E-9D82-A0A118D70EF5}"/>
    <cellStyle name="Normal 3 2 4 6" xfId="9349" xr:uid="{B122ADB0-E9CC-496E-9579-FCDB263A5F81}"/>
    <cellStyle name="Normal 3 2 5" xfId="1230" xr:uid="{00000000-0005-0000-0000-0000D2110000}"/>
    <cellStyle name="Normal 3 2 5 2" xfId="3460" xr:uid="{00000000-0005-0000-0000-0000D3110000}"/>
    <cellStyle name="Normal 3 2 5 2 2" xfId="7683" xr:uid="{00000000-0005-0000-0000-0000D4110000}"/>
    <cellStyle name="Normal 3 2 5 2 2 2" xfId="24566" xr:uid="{BBE3B544-4BBF-469C-9F9F-8121C1C7CE41}"/>
    <cellStyle name="Normal 3 2 5 2 2 3" xfId="33012" xr:uid="{565233FF-1689-4621-94D4-B3AA7175A1AE}"/>
    <cellStyle name="Normal 3 2 5 2 2 4" xfId="16125" xr:uid="{3143E781-897A-4FA3-9100-B6631F0CDA88}"/>
    <cellStyle name="Normal 3 2 5 2 3" xfId="20348" xr:uid="{A91027C6-5BA7-4178-A263-26C0902F9AD7}"/>
    <cellStyle name="Normal 3 2 5 2 4" xfId="28795" xr:uid="{4CFF3806-AA2E-47D4-90F5-344382950ECF}"/>
    <cellStyle name="Normal 3 2 5 2 5" xfId="11907" xr:uid="{15C6C942-AF2B-4BB9-B094-2382390E7CE7}"/>
    <cellStyle name="Normal 3 2 5 3" xfId="5538" xr:uid="{00000000-0005-0000-0000-0000D5110000}"/>
    <cellStyle name="Normal 3 2 5 3 2" xfId="22421" xr:uid="{BA294199-4EBF-4158-97F5-FCED8A59C867}"/>
    <cellStyle name="Normal 3 2 5 3 3" xfId="30867" xr:uid="{69C9ABB6-87FA-4A6F-8BA5-965DF80E18C5}"/>
    <cellStyle name="Normal 3 2 5 3 4" xfId="13980" xr:uid="{363D9391-BE89-4D2A-85CA-4FE234AC7FF3}"/>
    <cellStyle name="Normal 3 2 5 4" xfId="18203" xr:uid="{BA210CF6-C21C-41C0-BEA7-F6E63631FE67}"/>
    <cellStyle name="Normal 3 2 5 5" xfId="26648" xr:uid="{58CBAA36-C63E-4EF0-B67C-6EF32ED1BAB9}"/>
    <cellStyle name="Normal 3 2 5 6" xfId="9762" xr:uid="{869BCECC-D0F0-4CD6-BBE8-49B06AFBDBA8}"/>
    <cellStyle name="Normal 3 2 6" xfId="1643" xr:uid="{00000000-0005-0000-0000-0000D6110000}"/>
    <cellStyle name="Normal 3 2 6 2" xfId="3873" xr:uid="{00000000-0005-0000-0000-0000D7110000}"/>
    <cellStyle name="Normal 3 2 6 2 2" xfId="8096" xr:uid="{00000000-0005-0000-0000-0000D8110000}"/>
    <cellStyle name="Normal 3 2 6 2 2 2" xfId="24979" xr:uid="{4FF4E4CD-EE48-4854-8F56-9A9352ED1F47}"/>
    <cellStyle name="Normal 3 2 6 2 2 3" xfId="33425" xr:uid="{5245CE67-475C-49D7-94FA-9BB3B06DCA27}"/>
    <cellStyle name="Normal 3 2 6 2 2 4" xfId="16538" xr:uid="{EA07F33A-9718-451D-9051-C7A1245C0BD1}"/>
    <cellStyle name="Normal 3 2 6 2 3" xfId="20761" xr:uid="{6E72BF28-1426-496C-8C18-358A22609358}"/>
    <cellStyle name="Normal 3 2 6 2 4" xfId="29208" xr:uid="{F2C94750-A1A1-4BB9-9B22-77B7400E6E15}"/>
    <cellStyle name="Normal 3 2 6 2 5" xfId="12320" xr:uid="{2AD8C9EA-3719-48B7-813D-2BD1A22EA480}"/>
    <cellStyle name="Normal 3 2 6 3" xfId="5951" xr:uid="{00000000-0005-0000-0000-0000D9110000}"/>
    <cellStyle name="Normal 3 2 6 3 2" xfId="22834" xr:uid="{F0AC69E4-E11A-494D-A15E-F8376E10B7DA}"/>
    <cellStyle name="Normal 3 2 6 3 3" xfId="31280" xr:uid="{F206A87A-5EDB-4B2D-9ED1-134308AF4CA5}"/>
    <cellStyle name="Normal 3 2 6 3 4" xfId="14393" xr:uid="{1E5C8505-88A8-468A-95C0-DBF9945C47F3}"/>
    <cellStyle name="Normal 3 2 6 4" xfId="18616" xr:uid="{848CE5B4-77C3-4FEF-9925-C1CC6BC3E3E8}"/>
    <cellStyle name="Normal 3 2 6 5" xfId="27061" xr:uid="{6B67E59B-1CA8-4BE6-8905-D25DB5C7E3A5}"/>
    <cellStyle name="Normal 3 2 6 6" xfId="10175" xr:uid="{C6667A16-0503-4DAA-A0AC-9B445C7A8CEC}"/>
    <cellStyle name="Normal 3 2 7" xfId="2057" xr:uid="{00000000-0005-0000-0000-0000DA110000}"/>
    <cellStyle name="Normal 3 2 7 2" xfId="4286" xr:uid="{00000000-0005-0000-0000-0000DB110000}"/>
    <cellStyle name="Normal 3 2 7 2 2" xfId="8509" xr:uid="{00000000-0005-0000-0000-0000DC110000}"/>
    <cellStyle name="Normal 3 2 7 2 2 2" xfId="25392" xr:uid="{BEB32901-2159-4F19-AE08-05AEA49D0A61}"/>
    <cellStyle name="Normal 3 2 7 2 2 3" xfId="33838" xr:uid="{ACF0CD88-7AD1-4697-8B9A-9FA78DD61F92}"/>
    <cellStyle name="Normal 3 2 7 2 2 4" xfId="16951" xr:uid="{D7676AB0-ADAA-420C-8852-5FBF43F38FAC}"/>
    <cellStyle name="Normal 3 2 7 2 3" xfId="21174" xr:uid="{18E0DB93-0BFC-4B36-82A1-FBD64EE79F09}"/>
    <cellStyle name="Normal 3 2 7 2 4" xfId="29621" xr:uid="{2C38ACB3-C5A5-4993-ACD6-8A172D42B380}"/>
    <cellStyle name="Normal 3 2 7 2 5" xfId="12733" xr:uid="{0497A181-4515-402C-954E-28D3221FEB8C}"/>
    <cellStyle name="Normal 3 2 7 3" xfId="6364" xr:uid="{00000000-0005-0000-0000-0000DD110000}"/>
    <cellStyle name="Normal 3 2 7 3 2" xfId="23247" xr:uid="{33EE3F45-C778-4B31-8516-ABE3FF91F36D}"/>
    <cellStyle name="Normal 3 2 7 3 3" xfId="31693" xr:uid="{9F770D1F-12FD-43BC-BEA3-0E8B92BF9924}"/>
    <cellStyle name="Normal 3 2 7 3 4" xfId="14806" xr:uid="{8156CA5E-4417-429D-A413-B5647C35EC86}"/>
    <cellStyle name="Normal 3 2 7 4" xfId="19029" xr:uid="{AE2D8D22-9C02-4371-91F8-0E350660E803}"/>
    <cellStyle name="Normal 3 2 7 5" xfId="27474" xr:uid="{4BEF65CA-4569-4E44-9BE9-3DA1A7C93981}"/>
    <cellStyle name="Normal 3 2 7 6" xfId="10588" xr:uid="{90C732C2-9BB7-435E-B576-F3317E4B0221}"/>
    <cellStyle name="Normal 3 2 8" xfId="2493" xr:uid="{00000000-0005-0000-0000-0000DE110000}"/>
    <cellStyle name="Normal 3 2 8 2" xfId="6777" xr:uid="{00000000-0005-0000-0000-0000DF110000}"/>
    <cellStyle name="Normal 3 2 8 2 2" xfId="23660" xr:uid="{D2525C65-1F4C-40A1-ABFF-4CCF86E6E632}"/>
    <cellStyle name="Normal 3 2 8 2 3" xfId="32106" xr:uid="{ADE55BAB-B254-450D-9461-83741ACD4A39}"/>
    <cellStyle name="Normal 3 2 8 2 4" xfId="15219" xr:uid="{1ECAC051-DC76-4C72-ADE9-83E922AD56C1}"/>
    <cellStyle name="Normal 3 2 8 3" xfId="19442" xr:uid="{013F9D07-C0EF-4854-B5BA-1CDC474EEB46}"/>
    <cellStyle name="Normal 3 2 8 4" xfId="27887" xr:uid="{26DC4CBD-DD3D-4C15-BDD6-B3AF6E5E7D86}"/>
    <cellStyle name="Normal 3 2 8 5" xfId="11001" xr:uid="{D7C76319-517C-48C6-9874-E3DC3F0E43FF}"/>
    <cellStyle name="Normal 3 2 9" xfId="4711" xr:uid="{00000000-0005-0000-0000-0000E0110000}"/>
    <cellStyle name="Normal 3 2 9 2" xfId="21594" xr:uid="{6ACF7BCF-97A7-46B4-9C15-4E1BFF08EEB3}"/>
    <cellStyle name="Normal 3 2 9 3" xfId="30040" xr:uid="{A080C0D2-7521-4E71-8318-84E2378DB825}"/>
    <cellStyle name="Normal 3 2 9 4" xfId="13153" xr:uid="{8827237A-74F4-4B66-9349-0C4F17120467}"/>
    <cellStyle name="Normal 3 2_Item C7" xfId="34073" xr:uid="{8033EBCC-164E-4C91-BDA7-24D56846C18C}"/>
    <cellStyle name="Normal 3 3" xfId="330" xr:uid="{00000000-0005-0000-0000-0000E1110000}"/>
    <cellStyle name="Normal 3 3 2" xfId="331" xr:uid="{00000000-0005-0000-0000-0000E2110000}"/>
    <cellStyle name="Normal 3 3 2 2" xfId="25953" xr:uid="{3656CC66-AC99-4917-B447-1485F97A904A}"/>
    <cellStyle name="Normal 3 3 3" xfId="332" xr:uid="{00000000-0005-0000-0000-0000E3110000}"/>
    <cellStyle name="Normal 3 3 4" xfId="34142" xr:uid="{C738F3AD-BBAD-480B-B17D-FC6515D46EA6}"/>
    <cellStyle name="Normal 3 3_Dropdowns" xfId="34066" xr:uid="{1757DEBA-BB3B-4024-8A66-CE7E034EF7C5}"/>
    <cellStyle name="Normal 3 4" xfId="333" xr:uid="{00000000-0005-0000-0000-0000E4110000}"/>
    <cellStyle name="Normal 3 4 2" xfId="34060" xr:uid="{9A3D1EF5-9F41-463B-95EE-B95D897E8D8A}"/>
    <cellStyle name="Normal 3 5" xfId="334" xr:uid="{00000000-0005-0000-0000-0000E5110000}"/>
    <cellStyle name="Normal 3 5 2" xfId="34064" xr:uid="{F5AA9ABC-CCA9-4741-BCD3-1706F2C37488}"/>
    <cellStyle name="Normal 3 5 3" xfId="34102" xr:uid="{90A3C6A1-0E1A-48E3-8B22-D9258F37104A}"/>
    <cellStyle name="Normal 3 5 4" xfId="34212" xr:uid="{E43097C9-2A35-4A5F-B2C6-69A4BF0A4CD4}"/>
    <cellStyle name="Normal 3 5_Dropdowns" xfId="34154" xr:uid="{FC60A61C-55F3-4478-8871-877667DC3A25}"/>
    <cellStyle name="Normal 3 6" xfId="808" xr:uid="{00000000-0005-0000-0000-0000E6110000}"/>
    <cellStyle name="Normal 3 7" xfId="34186" xr:uid="{368405BC-7B03-4557-81D1-B45C5C4E84A6}"/>
    <cellStyle name="Normal 3 8" xfId="34193" xr:uid="{3DCDBC25-D152-4D37-92BA-DE5BBB96DBD4}"/>
    <cellStyle name="Normal 3_Dropdowns" xfId="34062" xr:uid="{B3E9B432-8F07-4EF7-95BF-637A5F81B34E}"/>
    <cellStyle name="Normal 4" xfId="335" xr:uid="{00000000-0005-0000-0000-0000E7110000}"/>
    <cellStyle name="Normal 4 10" xfId="17381" xr:uid="{17518B8A-9A83-4ED0-8D48-01C1CE21DA43}"/>
    <cellStyle name="Normal 4 11" xfId="25825" xr:uid="{22D0A7A5-3F18-41AF-808E-8ADC039123F3}"/>
    <cellStyle name="Normal 4 12" xfId="8940" xr:uid="{B7B9194B-2836-48F1-9A11-BEEAE013856D}"/>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25397" xr:uid="{F3F61EB1-449F-49FC-9037-CBC69E607F06}"/>
    <cellStyle name="Normal 4 2 2 10 2 2 3" xfId="33843" xr:uid="{120DDBD7-79E1-46FC-B25D-1BA3D61DF1B5}"/>
    <cellStyle name="Normal 4 2 2 10 2 2 4" xfId="16956" xr:uid="{82220EEE-E951-419E-8FED-C8CDBC20DAA9}"/>
    <cellStyle name="Normal 4 2 2 10 2 3" xfId="21179" xr:uid="{AAB6331E-1B94-41AE-868A-D95C6378D63D}"/>
    <cellStyle name="Normal 4 2 2 10 2 4" xfId="29626" xr:uid="{0F977FF1-A4E2-47EB-8CD5-A0E9E3898E25}"/>
    <cellStyle name="Normal 4 2 2 10 2 5" xfId="12738" xr:uid="{E3C265FE-B5DE-461F-A44B-982B1F94E0B9}"/>
    <cellStyle name="Normal 4 2 2 10 3" xfId="6369" xr:uid="{00000000-0005-0000-0000-0000ED110000}"/>
    <cellStyle name="Normal 4 2 2 10 3 2" xfId="23252" xr:uid="{04A3A543-7F52-4135-B661-6D10D8909B49}"/>
    <cellStyle name="Normal 4 2 2 10 3 3" xfId="31698" xr:uid="{D0E256FA-EBDB-42AF-9BBD-B2F36B526036}"/>
    <cellStyle name="Normal 4 2 2 10 3 4" xfId="14811" xr:uid="{25ABC80B-450A-4A50-AEE8-CEE7DBA830BD}"/>
    <cellStyle name="Normal 4 2 2 10 4" xfId="19034" xr:uid="{D8735714-79DF-43D1-A29F-4AB04E7F0A5A}"/>
    <cellStyle name="Normal 4 2 2 10 5" xfId="27479" xr:uid="{BC8821BF-E246-4CC3-9D39-FFB918A08E1F}"/>
    <cellStyle name="Normal 4 2 2 10 6" xfId="10593" xr:uid="{047DD16D-732E-499D-A92F-F55199C1296A}"/>
    <cellStyle name="Normal 4 2 2 11" xfId="2498" xr:uid="{00000000-0005-0000-0000-0000EE110000}"/>
    <cellStyle name="Normal 4 2 2 11 2" xfId="6782" xr:uid="{00000000-0005-0000-0000-0000EF110000}"/>
    <cellStyle name="Normal 4 2 2 11 2 2" xfId="23665" xr:uid="{9BDC87B0-FA3D-4941-9BF0-4B516AB62FCF}"/>
    <cellStyle name="Normal 4 2 2 11 2 3" xfId="32111" xr:uid="{493EB789-BF5B-417E-B9CA-432408ACDF2C}"/>
    <cellStyle name="Normal 4 2 2 11 2 4" xfId="15224" xr:uid="{963C859B-215F-492F-AB1B-A90AB3130113}"/>
    <cellStyle name="Normal 4 2 2 11 3" xfId="19447" xr:uid="{D795D4D7-B990-4ACB-8DC0-A7A7CA3A4ABC}"/>
    <cellStyle name="Normal 4 2 2 11 4" xfId="27892" xr:uid="{837E1CEB-F81B-4F91-81E9-A84BF1C89333}"/>
    <cellStyle name="Normal 4 2 2 11 5" xfId="11006" xr:uid="{2CEB9173-EEF8-4F6B-B3BF-B7F4702EC9A5}"/>
    <cellStyle name="Normal 4 2 2 12" xfId="4717" xr:uid="{00000000-0005-0000-0000-0000F0110000}"/>
    <cellStyle name="Normal 4 2 2 12 2" xfId="21600" xr:uid="{45AB66A6-A77F-43FB-911B-791C523CD33A}"/>
    <cellStyle name="Normal 4 2 2 12 3" xfId="30046" xr:uid="{796E35BD-917E-4ABD-BFC2-FDA278D1F981}"/>
    <cellStyle name="Normal 4 2 2 12 4" xfId="13159" xr:uid="{E5FCEC92-E499-46DA-85C2-AACE70328726}"/>
    <cellStyle name="Normal 4 2 2 13" xfId="17382" xr:uid="{381C7E65-2C4F-4352-9743-5D0E8737613D}"/>
    <cellStyle name="Normal 4 2 2 14" xfId="25826" xr:uid="{0D261871-20AE-494A-B787-92B597AB2ADE}"/>
    <cellStyle name="Normal 4 2 2 15" xfId="8941" xr:uid="{31AD5CF8-17E7-46AC-90D2-63B2FC265D17}"/>
    <cellStyle name="Normal 4 2 2 2" xfId="338" xr:uid="{00000000-0005-0000-0000-0000F1110000}"/>
    <cellStyle name="Normal 4 2 2 3" xfId="339" xr:uid="{00000000-0005-0000-0000-0000F2110000}"/>
    <cellStyle name="Normal 4 2 2 3 10" xfId="4718" xr:uid="{00000000-0005-0000-0000-0000F3110000}"/>
    <cellStyle name="Normal 4 2 2 3 10 2" xfId="21601" xr:uid="{64E54493-FD24-41F6-B2E4-66A641750799}"/>
    <cellStyle name="Normal 4 2 2 3 10 3" xfId="30047" xr:uid="{33160F6E-4D5A-4631-B6DE-59B251AB7771}"/>
    <cellStyle name="Normal 4 2 2 3 10 4" xfId="13160" xr:uid="{89E1BBBD-6313-4BA8-AFE7-EEBA25A67CA4}"/>
    <cellStyle name="Normal 4 2 2 3 11" xfId="17383" xr:uid="{44474602-6697-4907-831E-538CCE551E13}"/>
    <cellStyle name="Normal 4 2 2 3 12" xfId="25827" xr:uid="{39A32FF4-15BF-4208-9D21-5B1C73210550}"/>
    <cellStyle name="Normal 4 2 2 3 13" xfId="8942" xr:uid="{7C2760B6-5819-44CE-8175-0989401742DE}"/>
    <cellStyle name="Normal 4 2 2 3 2" xfId="340" xr:uid="{00000000-0005-0000-0000-0000F4110000}"/>
    <cellStyle name="Normal 4 2 2 3 2 10" xfId="17384" xr:uid="{63602A23-8C15-4E95-8BA9-0CEDC339AE0B}"/>
    <cellStyle name="Normal 4 2 2 3 2 11" xfId="25828" xr:uid="{068B7B72-881E-43E8-B04C-79CD57212C62}"/>
    <cellStyle name="Normal 4 2 2 3 2 12" xfId="8943" xr:uid="{C73163D7-05F0-452B-A27D-5894AC25CAEC}"/>
    <cellStyle name="Normal 4 2 2 3 2 2" xfId="341" xr:uid="{00000000-0005-0000-0000-0000F5110000}"/>
    <cellStyle name="Normal 4 2 2 3 2 2 10" xfId="25829" xr:uid="{3C3D0637-50A3-4D9A-8D2A-65569AC70EE4}"/>
    <cellStyle name="Normal 4 2 2 3 2 2 11" xfId="8944" xr:uid="{F1DB7E68-335A-4B62-A510-5B5E00924253}"/>
    <cellStyle name="Normal 4 2 2 3 2 2 2" xfId="342" xr:uid="{00000000-0005-0000-0000-0000F6110000}"/>
    <cellStyle name="Normal 4 2 2 3 2 2 2 10" xfId="8945" xr:uid="{55A44880-C6B2-4995-89FE-B8B0A420FA7B}"/>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24162" xr:uid="{A8C526EA-21FB-4DC4-840B-68F9E5B9C86B}"/>
    <cellStyle name="Normal 4 2 2 3 2 2 2 2 2 2 3" xfId="32608" xr:uid="{59407218-53A5-43DF-AFFA-06F883CB99FB}"/>
    <cellStyle name="Normal 4 2 2 3 2 2 2 2 2 2 4" xfId="15721" xr:uid="{B57079A6-FFDC-4AF7-A1CD-609BFD91F6BE}"/>
    <cellStyle name="Normal 4 2 2 3 2 2 2 2 2 3" xfId="19944" xr:uid="{29301D3B-2A51-4DC9-A584-FF0D69C9F607}"/>
    <cellStyle name="Normal 4 2 2 3 2 2 2 2 2 4" xfId="28391" xr:uid="{A5A2F8FF-130D-4C75-93A8-FA97A49FC83E}"/>
    <cellStyle name="Normal 4 2 2 3 2 2 2 2 2 5" xfId="11503" xr:uid="{B17BC538-1C33-4893-9964-C54EE7045E90}"/>
    <cellStyle name="Normal 4 2 2 3 2 2 2 2 3" xfId="5134" xr:uid="{00000000-0005-0000-0000-0000FA110000}"/>
    <cellStyle name="Normal 4 2 2 3 2 2 2 2 3 2" xfId="22017" xr:uid="{FB471BF5-F4F6-4D4D-9C4D-32A7F85F32A1}"/>
    <cellStyle name="Normal 4 2 2 3 2 2 2 2 3 3" xfId="30463" xr:uid="{EB98D94B-67F9-4DCF-86D6-0B0BF84C594E}"/>
    <cellStyle name="Normal 4 2 2 3 2 2 2 2 3 4" xfId="13576" xr:uid="{054BE3E9-9000-4103-B3AA-24DE02F88527}"/>
    <cellStyle name="Normal 4 2 2 3 2 2 2 2 4" xfId="17799" xr:uid="{F3E9B208-38BB-4842-82B6-E72966A491C4}"/>
    <cellStyle name="Normal 4 2 2 3 2 2 2 2 5" xfId="26244" xr:uid="{AFC761BC-D073-474D-862D-F3B729D001AB}"/>
    <cellStyle name="Normal 4 2 2 3 2 2 2 2 6" xfId="9358" xr:uid="{D621999B-BB9F-40BC-B2BB-8B0D6D0C6BDB}"/>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24575" xr:uid="{21BB6774-CD88-4D5B-81E6-A2C6D961EF75}"/>
    <cellStyle name="Normal 4 2 2 3 2 2 2 3 2 2 3" xfId="33021" xr:uid="{29979CB6-7293-4799-B78F-7BB7863925FC}"/>
    <cellStyle name="Normal 4 2 2 3 2 2 2 3 2 2 4" xfId="16134" xr:uid="{B6E61291-6A90-41BD-94C5-D06A1A1CE2B7}"/>
    <cellStyle name="Normal 4 2 2 3 2 2 2 3 2 3" xfId="20357" xr:uid="{831C5C48-FD14-493A-8D25-27E4E125ECF3}"/>
    <cellStyle name="Normal 4 2 2 3 2 2 2 3 2 4" xfId="28804" xr:uid="{80190E74-44EB-49D9-9595-F0845A80C542}"/>
    <cellStyle name="Normal 4 2 2 3 2 2 2 3 2 5" xfId="11916" xr:uid="{376FBD7F-537E-4434-AA53-CA62BF042817}"/>
    <cellStyle name="Normal 4 2 2 3 2 2 2 3 3" xfId="5547" xr:uid="{00000000-0005-0000-0000-0000FE110000}"/>
    <cellStyle name="Normal 4 2 2 3 2 2 2 3 3 2" xfId="22430" xr:uid="{2668F901-1D87-48BC-BADD-8A48FAF6E160}"/>
    <cellStyle name="Normal 4 2 2 3 2 2 2 3 3 3" xfId="30876" xr:uid="{47605C0C-5E39-423C-A357-25FD3674068E}"/>
    <cellStyle name="Normal 4 2 2 3 2 2 2 3 3 4" xfId="13989" xr:uid="{74F8C4E1-3738-49E3-B6C3-27A6877FD134}"/>
    <cellStyle name="Normal 4 2 2 3 2 2 2 3 4" xfId="18212" xr:uid="{3D9B7070-98F8-481F-B1F8-DD201EC1CB5B}"/>
    <cellStyle name="Normal 4 2 2 3 2 2 2 3 5" xfId="26657" xr:uid="{00172287-F67F-4CDB-B8B2-DE9F50D60C59}"/>
    <cellStyle name="Normal 4 2 2 3 2 2 2 3 6" xfId="9771" xr:uid="{F53EA896-B36D-47B4-997A-41E5B8CB8DB2}"/>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24988" xr:uid="{2AB3776E-0D15-4292-B429-2DE4BF32BCB0}"/>
    <cellStyle name="Normal 4 2 2 3 2 2 2 4 2 2 3" xfId="33434" xr:uid="{A3915172-6457-4E48-803A-C9DA95705531}"/>
    <cellStyle name="Normal 4 2 2 3 2 2 2 4 2 2 4" xfId="16547" xr:uid="{2E8DFE1C-62A4-464D-9838-CA2FF4DC62AD}"/>
    <cellStyle name="Normal 4 2 2 3 2 2 2 4 2 3" xfId="20770" xr:uid="{68197045-D5D7-4652-B1CE-121FF0FB7940}"/>
    <cellStyle name="Normal 4 2 2 3 2 2 2 4 2 4" xfId="29217" xr:uid="{DA9A1005-94A7-4663-9705-31C580D07264}"/>
    <cellStyle name="Normal 4 2 2 3 2 2 2 4 2 5" xfId="12329" xr:uid="{C11B1D04-1243-4303-9DD6-6375A901453C}"/>
    <cellStyle name="Normal 4 2 2 3 2 2 2 4 3" xfId="5960" xr:uid="{00000000-0005-0000-0000-000002120000}"/>
    <cellStyle name="Normal 4 2 2 3 2 2 2 4 3 2" xfId="22843" xr:uid="{EB1F781A-1492-440A-B3C2-B6075755B492}"/>
    <cellStyle name="Normal 4 2 2 3 2 2 2 4 3 3" xfId="31289" xr:uid="{1F40D0CF-3870-4387-9A0D-B673D722A0FB}"/>
    <cellStyle name="Normal 4 2 2 3 2 2 2 4 3 4" xfId="14402" xr:uid="{356F5249-3EB4-49CC-813D-EFD9CBE1D788}"/>
    <cellStyle name="Normal 4 2 2 3 2 2 2 4 4" xfId="18625" xr:uid="{45F262D7-4C51-4281-9CA6-F6EC74B85592}"/>
    <cellStyle name="Normal 4 2 2 3 2 2 2 4 5" xfId="27070" xr:uid="{6557CD9C-BD8E-4ED8-82B0-9624EF3D7766}"/>
    <cellStyle name="Normal 4 2 2 3 2 2 2 4 6" xfId="10184" xr:uid="{E776A230-8017-4FAF-8916-33FC92A60243}"/>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25401" xr:uid="{F88B99A4-3EEE-47D8-A1BD-8248BB1AFBF4}"/>
    <cellStyle name="Normal 4 2 2 3 2 2 2 5 2 2 3" xfId="33847" xr:uid="{F9C08473-F17F-4BB5-A6EC-C098A62AB8B3}"/>
    <cellStyle name="Normal 4 2 2 3 2 2 2 5 2 2 4" xfId="16960" xr:uid="{EFCD45CB-4B04-478D-A357-72F86EE47208}"/>
    <cellStyle name="Normal 4 2 2 3 2 2 2 5 2 3" xfId="21183" xr:uid="{88137B26-495D-4CBE-8396-4EB5E9FCCB01}"/>
    <cellStyle name="Normal 4 2 2 3 2 2 2 5 2 4" xfId="29630" xr:uid="{D37DE8CF-AEBB-467A-99D5-7D4ADA775995}"/>
    <cellStyle name="Normal 4 2 2 3 2 2 2 5 2 5" xfId="12742" xr:uid="{3DC0B492-0AF5-4054-80F4-6B8183FB6391}"/>
    <cellStyle name="Normal 4 2 2 3 2 2 2 5 3" xfId="6373" xr:uid="{00000000-0005-0000-0000-000006120000}"/>
    <cellStyle name="Normal 4 2 2 3 2 2 2 5 3 2" xfId="23256" xr:uid="{52905197-556E-40A0-9433-3137FC0B53DF}"/>
    <cellStyle name="Normal 4 2 2 3 2 2 2 5 3 3" xfId="31702" xr:uid="{A2C1F927-2E90-4C7C-ADAE-208001693643}"/>
    <cellStyle name="Normal 4 2 2 3 2 2 2 5 3 4" xfId="14815" xr:uid="{14B6D155-DDB1-485C-A7D7-286ED099A3A2}"/>
    <cellStyle name="Normal 4 2 2 3 2 2 2 5 4" xfId="19038" xr:uid="{71BFA8DA-7E2C-452F-B033-7F0A604DBE94}"/>
    <cellStyle name="Normal 4 2 2 3 2 2 2 5 5" xfId="27483" xr:uid="{B5968A02-152A-492E-936B-5D64929356EF}"/>
    <cellStyle name="Normal 4 2 2 3 2 2 2 5 6" xfId="10597" xr:uid="{7CA499D2-6053-4C3B-9F05-25ABC7423FC3}"/>
    <cellStyle name="Normal 4 2 2 3 2 2 2 6" xfId="2502" xr:uid="{00000000-0005-0000-0000-000007120000}"/>
    <cellStyle name="Normal 4 2 2 3 2 2 2 6 2" xfId="6786" xr:uid="{00000000-0005-0000-0000-000008120000}"/>
    <cellStyle name="Normal 4 2 2 3 2 2 2 6 2 2" xfId="23669" xr:uid="{E2B3EFBC-D261-4377-B6A4-85EE4141809F}"/>
    <cellStyle name="Normal 4 2 2 3 2 2 2 6 2 3" xfId="32115" xr:uid="{466E84CF-E9E4-40F3-A125-07798E317EBB}"/>
    <cellStyle name="Normal 4 2 2 3 2 2 2 6 2 4" xfId="15228" xr:uid="{CFBA20F0-F7DF-4B48-8868-919EBD1FED3D}"/>
    <cellStyle name="Normal 4 2 2 3 2 2 2 6 3" xfId="19451" xr:uid="{B2ACAEFB-F8BC-429A-8D2E-CFA302DFE8BC}"/>
    <cellStyle name="Normal 4 2 2 3 2 2 2 6 4" xfId="27896" xr:uid="{5385D6AF-DB07-4D17-9276-EECC375CD150}"/>
    <cellStyle name="Normal 4 2 2 3 2 2 2 6 5" xfId="11010" xr:uid="{4B39492B-CBE9-4392-A9AE-2AE7B3537696}"/>
    <cellStyle name="Normal 4 2 2 3 2 2 2 7" xfId="4721" xr:uid="{00000000-0005-0000-0000-000009120000}"/>
    <cellStyle name="Normal 4 2 2 3 2 2 2 7 2" xfId="21604" xr:uid="{0564C091-29C7-4FA2-A9BA-48E232C980FA}"/>
    <cellStyle name="Normal 4 2 2 3 2 2 2 7 3" xfId="30050" xr:uid="{E9DCB9D9-F9E2-4CCF-8934-08E85A01BE60}"/>
    <cellStyle name="Normal 4 2 2 3 2 2 2 7 4" xfId="13163" xr:uid="{D8BCBF87-10C7-4973-8F1A-94736D133601}"/>
    <cellStyle name="Normal 4 2 2 3 2 2 2 8" xfId="17386" xr:uid="{747156D4-7A28-42C5-91F3-526DA974887F}"/>
    <cellStyle name="Normal 4 2 2 3 2 2 2 9" xfId="25830" xr:uid="{13A26A75-33CF-451D-8504-6A27180D8CC7}"/>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24161" xr:uid="{DDA6C9ED-6861-4BF1-97C3-0A53BA7CB6F4}"/>
    <cellStyle name="Normal 4 2 2 3 2 2 3 2 2 3" xfId="32607" xr:uid="{1AA937F0-4537-4E22-A626-847A65F03AD0}"/>
    <cellStyle name="Normal 4 2 2 3 2 2 3 2 2 4" xfId="15720" xr:uid="{9BA29544-163C-42FD-907C-9F4CF750C4A9}"/>
    <cellStyle name="Normal 4 2 2 3 2 2 3 2 3" xfId="19943" xr:uid="{4EC09C6B-285A-4E93-989F-B9D77E2FC8BD}"/>
    <cellStyle name="Normal 4 2 2 3 2 2 3 2 4" xfId="28390" xr:uid="{5F5E0855-21EB-4C2E-94AC-4812D8DEA0A6}"/>
    <cellStyle name="Normal 4 2 2 3 2 2 3 2 5" xfId="11502" xr:uid="{E41FA1A8-1840-4977-B55B-345776CA5747}"/>
    <cellStyle name="Normal 4 2 2 3 2 2 3 3" xfId="5133" xr:uid="{00000000-0005-0000-0000-00000D120000}"/>
    <cellStyle name="Normal 4 2 2 3 2 2 3 3 2" xfId="22016" xr:uid="{326E28C7-740A-4492-807F-3C6ADADBF065}"/>
    <cellStyle name="Normal 4 2 2 3 2 2 3 3 3" xfId="30462" xr:uid="{0ACFC81D-4EF7-4F7D-8B04-49B8C564866F}"/>
    <cellStyle name="Normal 4 2 2 3 2 2 3 3 4" xfId="13575" xr:uid="{43D162FD-2A66-4309-902C-A3D9AB53060B}"/>
    <cellStyle name="Normal 4 2 2 3 2 2 3 4" xfId="17798" xr:uid="{6E72CB6D-FBC7-4064-BE6F-DFA7DCAB48BE}"/>
    <cellStyle name="Normal 4 2 2 3 2 2 3 5" xfId="26243" xr:uid="{B2F2FD4F-5561-41D1-A99C-08006EC55817}"/>
    <cellStyle name="Normal 4 2 2 3 2 2 3 6" xfId="9357" xr:uid="{E60F1ECB-AC08-4CC4-B2BE-A14194EB6771}"/>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24574" xr:uid="{196D7D69-6495-4C88-B8A5-32BDFE085BA1}"/>
    <cellStyle name="Normal 4 2 2 3 2 2 4 2 2 3" xfId="33020" xr:uid="{C4423DAE-18C4-4498-9D43-011DDD160126}"/>
    <cellStyle name="Normal 4 2 2 3 2 2 4 2 2 4" xfId="16133" xr:uid="{1C63B7F7-0A6B-467E-A978-C301104C4050}"/>
    <cellStyle name="Normal 4 2 2 3 2 2 4 2 3" xfId="20356" xr:uid="{18C244C5-F13E-4F70-AE3D-2EDE44771FCF}"/>
    <cellStyle name="Normal 4 2 2 3 2 2 4 2 4" xfId="28803" xr:uid="{E7F8C0E2-0E15-489E-9BEF-B65DF8CF58CD}"/>
    <cellStyle name="Normal 4 2 2 3 2 2 4 2 5" xfId="11915" xr:uid="{28853AE9-16C3-429B-8A19-B993EFE98CD3}"/>
    <cellStyle name="Normal 4 2 2 3 2 2 4 3" xfId="5546" xr:uid="{00000000-0005-0000-0000-000011120000}"/>
    <cellStyle name="Normal 4 2 2 3 2 2 4 3 2" xfId="22429" xr:uid="{F358F885-C5E3-4D3E-81A6-5B486F19F7D2}"/>
    <cellStyle name="Normal 4 2 2 3 2 2 4 3 3" xfId="30875" xr:uid="{33422AB6-596E-4F40-91D5-927CD715ADC4}"/>
    <cellStyle name="Normal 4 2 2 3 2 2 4 3 4" xfId="13988" xr:uid="{A6118A55-7E97-4E5B-AFE0-B24597EC0A18}"/>
    <cellStyle name="Normal 4 2 2 3 2 2 4 4" xfId="18211" xr:uid="{0D17B6D8-5AFB-4396-9290-2879C0018019}"/>
    <cellStyle name="Normal 4 2 2 3 2 2 4 5" xfId="26656" xr:uid="{257E9DC2-38D1-4A4D-AD1D-58947FAC73C0}"/>
    <cellStyle name="Normal 4 2 2 3 2 2 4 6" xfId="9770" xr:uid="{E3F4F148-C599-4371-989F-A868BB9A1B38}"/>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24987" xr:uid="{28A7A2E1-D606-4496-A35C-5AAD67104171}"/>
    <cellStyle name="Normal 4 2 2 3 2 2 5 2 2 3" xfId="33433" xr:uid="{1672C188-578F-44A4-979F-85DFBB0AF47F}"/>
    <cellStyle name="Normal 4 2 2 3 2 2 5 2 2 4" xfId="16546" xr:uid="{3CFD3018-6B76-4CE1-9CD2-27E9ADF7B76F}"/>
    <cellStyle name="Normal 4 2 2 3 2 2 5 2 3" xfId="20769" xr:uid="{9BD92F68-5571-47D2-8B70-E530CC8AEABA}"/>
    <cellStyle name="Normal 4 2 2 3 2 2 5 2 4" xfId="29216" xr:uid="{0BEE3B14-071B-4CD5-AF7F-C29D0382DF30}"/>
    <cellStyle name="Normal 4 2 2 3 2 2 5 2 5" xfId="12328" xr:uid="{C069643B-51F3-4CF3-8DA4-EDB47B4EF939}"/>
    <cellStyle name="Normal 4 2 2 3 2 2 5 3" xfId="5959" xr:uid="{00000000-0005-0000-0000-000015120000}"/>
    <cellStyle name="Normal 4 2 2 3 2 2 5 3 2" xfId="22842" xr:uid="{2B5EAF48-188B-4A75-A7DA-C2BF1A69285B}"/>
    <cellStyle name="Normal 4 2 2 3 2 2 5 3 3" xfId="31288" xr:uid="{24AD591E-E470-4E53-BEA6-661EE2534F5D}"/>
    <cellStyle name="Normal 4 2 2 3 2 2 5 3 4" xfId="14401" xr:uid="{E0C91635-A17E-4B19-B4F8-1C5382C84727}"/>
    <cellStyle name="Normal 4 2 2 3 2 2 5 4" xfId="18624" xr:uid="{9891AE0F-91A6-40B7-998A-9E23C39DE2A3}"/>
    <cellStyle name="Normal 4 2 2 3 2 2 5 5" xfId="27069" xr:uid="{56128945-B002-489F-8E6B-B021994C23A2}"/>
    <cellStyle name="Normal 4 2 2 3 2 2 5 6" xfId="10183" xr:uid="{A5CBD15A-EC5F-48A3-95D5-FE883C096513}"/>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25400" xr:uid="{B8F29EE3-5323-4FBB-B7E5-C3D556910112}"/>
    <cellStyle name="Normal 4 2 2 3 2 2 6 2 2 3" xfId="33846" xr:uid="{2C758304-807F-4704-A1A4-15BD31F6ED70}"/>
    <cellStyle name="Normal 4 2 2 3 2 2 6 2 2 4" xfId="16959" xr:uid="{EA378CCE-2641-46A8-A565-CB205643434E}"/>
    <cellStyle name="Normal 4 2 2 3 2 2 6 2 3" xfId="21182" xr:uid="{06B47B9A-12D3-4F92-9B9F-C3919246B803}"/>
    <cellStyle name="Normal 4 2 2 3 2 2 6 2 4" xfId="29629" xr:uid="{52A170B3-BD7A-4BB8-939A-4427324210CC}"/>
    <cellStyle name="Normal 4 2 2 3 2 2 6 2 5" xfId="12741" xr:uid="{3C4A60EB-79E9-49B1-A060-11243E2F07BC}"/>
    <cellStyle name="Normal 4 2 2 3 2 2 6 3" xfId="6372" xr:uid="{00000000-0005-0000-0000-000019120000}"/>
    <cellStyle name="Normal 4 2 2 3 2 2 6 3 2" xfId="23255" xr:uid="{D08E7756-1A9F-4EDB-B1BB-ABEF2A8D2AC1}"/>
    <cellStyle name="Normal 4 2 2 3 2 2 6 3 3" xfId="31701" xr:uid="{427363A0-E398-4764-9469-239F3026D31F}"/>
    <cellStyle name="Normal 4 2 2 3 2 2 6 3 4" xfId="14814" xr:uid="{1D472D07-5F31-4E7D-B9C9-903DF673149A}"/>
    <cellStyle name="Normal 4 2 2 3 2 2 6 4" xfId="19037" xr:uid="{15821FB4-21F2-42AA-B7E4-6B8E6B8ED13C}"/>
    <cellStyle name="Normal 4 2 2 3 2 2 6 5" xfId="27482" xr:uid="{6A7FC734-F29E-4CD3-BC20-50B8C93DBBED}"/>
    <cellStyle name="Normal 4 2 2 3 2 2 6 6" xfId="10596" xr:uid="{5EE3855F-0147-4851-8745-5829F9757822}"/>
    <cellStyle name="Normal 4 2 2 3 2 2 7" xfId="2501" xr:uid="{00000000-0005-0000-0000-00001A120000}"/>
    <cellStyle name="Normal 4 2 2 3 2 2 7 2" xfId="6785" xr:uid="{00000000-0005-0000-0000-00001B120000}"/>
    <cellStyle name="Normal 4 2 2 3 2 2 7 2 2" xfId="23668" xr:uid="{A45F870C-7760-4D2D-A47A-95F204CB645A}"/>
    <cellStyle name="Normal 4 2 2 3 2 2 7 2 3" xfId="32114" xr:uid="{1DB1E820-A7DF-4925-8F4C-8453DE69197E}"/>
    <cellStyle name="Normal 4 2 2 3 2 2 7 2 4" xfId="15227" xr:uid="{D2F08A1D-0DC8-44CD-8778-3E65E8CCF5A6}"/>
    <cellStyle name="Normal 4 2 2 3 2 2 7 3" xfId="19450" xr:uid="{65BC521B-2658-4805-A66B-9AD7F7285A31}"/>
    <cellStyle name="Normal 4 2 2 3 2 2 7 4" xfId="27895" xr:uid="{B52EBEBA-7425-4128-95C7-91C051F41822}"/>
    <cellStyle name="Normal 4 2 2 3 2 2 7 5" xfId="11009" xr:uid="{B12AD468-49E4-4A98-9B8B-484E6099A2A4}"/>
    <cellStyle name="Normal 4 2 2 3 2 2 8" xfId="4720" xr:uid="{00000000-0005-0000-0000-00001C120000}"/>
    <cellStyle name="Normal 4 2 2 3 2 2 8 2" xfId="21603" xr:uid="{B79276DD-B9CF-4750-B93C-0D5CDCF20A1F}"/>
    <cellStyle name="Normal 4 2 2 3 2 2 8 3" xfId="30049" xr:uid="{879CA293-5B6A-4418-824C-D21B8E2DCD7A}"/>
    <cellStyle name="Normal 4 2 2 3 2 2 8 4" xfId="13162" xr:uid="{ABE4162C-95D3-41FD-A63E-CAA3CB06C544}"/>
    <cellStyle name="Normal 4 2 2 3 2 2 9" xfId="17385" xr:uid="{669E598F-64A6-4FA7-AD03-156F9208AEC6}"/>
    <cellStyle name="Normal 4 2 2 3 2 3" xfId="343" xr:uid="{00000000-0005-0000-0000-00001D120000}"/>
    <cellStyle name="Normal 4 2 2 3 2 3 10" xfId="8946" xr:uid="{B4BE9362-4E34-41CE-9AAB-1142780681A6}"/>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24163" xr:uid="{B7064058-E2DD-4B38-8DC6-DF5A41E52022}"/>
    <cellStyle name="Normal 4 2 2 3 2 3 2 2 2 3" xfId="32609" xr:uid="{7C97CA57-E8D8-4FBF-9FB7-405E73E643A7}"/>
    <cellStyle name="Normal 4 2 2 3 2 3 2 2 2 4" xfId="15722" xr:uid="{FB94EF6A-37EB-40D4-9995-19754FC51E7C}"/>
    <cellStyle name="Normal 4 2 2 3 2 3 2 2 3" xfId="19945" xr:uid="{528070D4-64D5-47F4-82EF-BC9F6408D270}"/>
    <cellStyle name="Normal 4 2 2 3 2 3 2 2 4" xfId="28392" xr:uid="{AFFD2F72-2DB7-4A84-980F-0B9F827F0414}"/>
    <cellStyle name="Normal 4 2 2 3 2 3 2 2 5" xfId="11504" xr:uid="{8CDA1AE6-14FA-4BC1-B119-96044EE67C46}"/>
    <cellStyle name="Normal 4 2 2 3 2 3 2 3" xfId="5135" xr:uid="{00000000-0005-0000-0000-000021120000}"/>
    <cellStyle name="Normal 4 2 2 3 2 3 2 3 2" xfId="22018" xr:uid="{5FC0AB39-DF2F-4F60-95C4-68A246CF2767}"/>
    <cellStyle name="Normal 4 2 2 3 2 3 2 3 3" xfId="30464" xr:uid="{D443B7A3-6505-40D0-80A6-9414BA9D768C}"/>
    <cellStyle name="Normal 4 2 2 3 2 3 2 3 4" xfId="13577" xr:uid="{73CA909B-7E62-4130-969C-21E8AD266B4E}"/>
    <cellStyle name="Normal 4 2 2 3 2 3 2 4" xfId="17800" xr:uid="{4B244768-A907-4560-9FF3-302DDD1091F7}"/>
    <cellStyle name="Normal 4 2 2 3 2 3 2 5" xfId="26245" xr:uid="{AFEF6620-CEE8-4189-9B3C-9788F204C998}"/>
    <cellStyle name="Normal 4 2 2 3 2 3 2 6" xfId="9359" xr:uid="{CA606CA6-A2B5-4A41-9A04-E548506823C7}"/>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24576" xr:uid="{F18DD852-87DE-447D-877B-99CE0DA0CA0C}"/>
    <cellStyle name="Normal 4 2 2 3 2 3 3 2 2 3" xfId="33022" xr:uid="{9E6D51BC-D579-47FB-95DF-1B12AB2F6A04}"/>
    <cellStyle name="Normal 4 2 2 3 2 3 3 2 2 4" xfId="16135" xr:uid="{0057A112-157F-45D4-8C9E-9FC10B1FD1EC}"/>
    <cellStyle name="Normal 4 2 2 3 2 3 3 2 3" xfId="20358" xr:uid="{7E60EC10-81C8-47C9-9D73-DC5C611DD747}"/>
    <cellStyle name="Normal 4 2 2 3 2 3 3 2 4" xfId="28805" xr:uid="{E07DEB71-5166-446A-89D7-5E0181B17090}"/>
    <cellStyle name="Normal 4 2 2 3 2 3 3 2 5" xfId="11917" xr:uid="{62B9125B-3999-42CA-979D-8657B3F25DAE}"/>
    <cellStyle name="Normal 4 2 2 3 2 3 3 3" xfId="5548" xr:uid="{00000000-0005-0000-0000-000025120000}"/>
    <cellStyle name="Normal 4 2 2 3 2 3 3 3 2" xfId="22431" xr:uid="{8F47FA52-58A3-46A3-9B75-B48052763518}"/>
    <cellStyle name="Normal 4 2 2 3 2 3 3 3 3" xfId="30877" xr:uid="{16D332BD-475E-43D2-B804-311873B5DDC3}"/>
    <cellStyle name="Normal 4 2 2 3 2 3 3 3 4" xfId="13990" xr:uid="{7AED68BB-3D7E-4BD8-9C49-639816868161}"/>
    <cellStyle name="Normal 4 2 2 3 2 3 3 4" xfId="18213" xr:uid="{D4411016-57ED-438C-A6CF-CC36982CCBA6}"/>
    <cellStyle name="Normal 4 2 2 3 2 3 3 5" xfId="26658" xr:uid="{99EECF66-C0C3-4A8A-AFD7-3F2AB77ECC0B}"/>
    <cellStyle name="Normal 4 2 2 3 2 3 3 6" xfId="9772" xr:uid="{00B9B31A-BCDB-41D9-9D67-FAF390884E3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24989" xr:uid="{AE220F25-70E0-4410-A3F9-BDCE16B299FA}"/>
    <cellStyle name="Normal 4 2 2 3 2 3 4 2 2 3" xfId="33435" xr:uid="{8AD4DC60-4694-478E-B84D-023A9FCFB9A5}"/>
    <cellStyle name="Normal 4 2 2 3 2 3 4 2 2 4" xfId="16548" xr:uid="{2D3F96AC-D225-4614-B35B-9C342E290104}"/>
    <cellStyle name="Normal 4 2 2 3 2 3 4 2 3" xfId="20771" xr:uid="{9933EB0C-5F49-4369-8C08-A7805DF9AFCA}"/>
    <cellStyle name="Normal 4 2 2 3 2 3 4 2 4" xfId="29218" xr:uid="{C3A01508-6FEA-41DA-9E1B-79CBF1D0B2D6}"/>
    <cellStyle name="Normal 4 2 2 3 2 3 4 2 5" xfId="12330" xr:uid="{5108A6E5-4D88-4AD9-B7CC-C12EABCFF916}"/>
    <cellStyle name="Normal 4 2 2 3 2 3 4 3" xfId="5961" xr:uid="{00000000-0005-0000-0000-000029120000}"/>
    <cellStyle name="Normal 4 2 2 3 2 3 4 3 2" xfId="22844" xr:uid="{831D03D4-AB1A-4BEA-AB1B-0849056C4916}"/>
    <cellStyle name="Normal 4 2 2 3 2 3 4 3 3" xfId="31290" xr:uid="{18561AE6-5EBE-48BD-B685-E89F0BD7F7E4}"/>
    <cellStyle name="Normal 4 2 2 3 2 3 4 3 4" xfId="14403" xr:uid="{5C449FFA-26CC-4695-BA4C-A06ABA8DD996}"/>
    <cellStyle name="Normal 4 2 2 3 2 3 4 4" xfId="18626" xr:uid="{81A8D7E2-7409-4159-B350-630330F6989D}"/>
    <cellStyle name="Normal 4 2 2 3 2 3 4 5" xfId="27071" xr:uid="{73A0E191-E8E0-4F8A-A72C-8FFA45D5C0E9}"/>
    <cellStyle name="Normal 4 2 2 3 2 3 4 6" xfId="10185" xr:uid="{EE406B90-BF2B-4D75-86ED-095CB0D5642B}"/>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25402" xr:uid="{04EEAF45-4873-4A89-935D-999C56EEC3A6}"/>
    <cellStyle name="Normal 4 2 2 3 2 3 5 2 2 3" xfId="33848" xr:uid="{D6339400-A103-4C50-A2BC-A7E77975ADD3}"/>
    <cellStyle name="Normal 4 2 2 3 2 3 5 2 2 4" xfId="16961" xr:uid="{D5A1F6FA-BCA3-4CB2-9337-4ABFF63E280D}"/>
    <cellStyle name="Normal 4 2 2 3 2 3 5 2 3" xfId="21184" xr:uid="{AB41FBCE-01C9-4C61-A155-E5709B26EE00}"/>
    <cellStyle name="Normal 4 2 2 3 2 3 5 2 4" xfId="29631" xr:uid="{88237647-98DE-4763-87A9-93D479093CAF}"/>
    <cellStyle name="Normal 4 2 2 3 2 3 5 2 5" xfId="12743" xr:uid="{8462AC6A-B4EA-4649-9842-9A85A0AC53B6}"/>
    <cellStyle name="Normal 4 2 2 3 2 3 5 3" xfId="6374" xr:uid="{00000000-0005-0000-0000-00002D120000}"/>
    <cellStyle name="Normal 4 2 2 3 2 3 5 3 2" xfId="23257" xr:uid="{16BC0736-3308-4143-91EB-3A81F867E572}"/>
    <cellStyle name="Normal 4 2 2 3 2 3 5 3 3" xfId="31703" xr:uid="{853C29E6-C9B0-4507-8611-7BDB8379B7A6}"/>
    <cellStyle name="Normal 4 2 2 3 2 3 5 3 4" xfId="14816" xr:uid="{3BB80084-1A91-44A6-ABA7-6780FEFAB071}"/>
    <cellStyle name="Normal 4 2 2 3 2 3 5 4" xfId="19039" xr:uid="{D521CA75-11FB-413C-BD5F-D56260E9107F}"/>
    <cellStyle name="Normal 4 2 2 3 2 3 5 5" xfId="27484" xr:uid="{F8BF1CE7-4F0A-434E-AD3D-0BDDC6DAE684}"/>
    <cellStyle name="Normal 4 2 2 3 2 3 5 6" xfId="10598" xr:uid="{D336368D-419E-4E32-9ACF-27E72D017FEC}"/>
    <cellStyle name="Normal 4 2 2 3 2 3 6" xfId="2503" xr:uid="{00000000-0005-0000-0000-00002E120000}"/>
    <cellStyle name="Normal 4 2 2 3 2 3 6 2" xfId="6787" xr:uid="{00000000-0005-0000-0000-00002F120000}"/>
    <cellStyle name="Normal 4 2 2 3 2 3 6 2 2" xfId="23670" xr:uid="{33EA6DF3-3C89-44CB-8B97-A786C276DC56}"/>
    <cellStyle name="Normal 4 2 2 3 2 3 6 2 3" xfId="32116" xr:uid="{70C5F829-DB1B-4049-9D68-37AF651AA2B3}"/>
    <cellStyle name="Normal 4 2 2 3 2 3 6 2 4" xfId="15229" xr:uid="{00A64C73-1FAD-4F83-9758-D018A338A2DA}"/>
    <cellStyle name="Normal 4 2 2 3 2 3 6 3" xfId="19452" xr:uid="{1B423396-6C21-4321-B87B-5DAEC3568E82}"/>
    <cellStyle name="Normal 4 2 2 3 2 3 6 4" xfId="27897" xr:uid="{E1301398-847E-4981-8B4E-761AD6EC5737}"/>
    <cellStyle name="Normal 4 2 2 3 2 3 6 5" xfId="11011" xr:uid="{398F5B40-D5BA-44E9-A33D-29F7D0799BC3}"/>
    <cellStyle name="Normal 4 2 2 3 2 3 7" xfId="4722" xr:uid="{00000000-0005-0000-0000-000030120000}"/>
    <cellStyle name="Normal 4 2 2 3 2 3 7 2" xfId="21605" xr:uid="{FA5DB5B4-70AB-4F31-9DC4-9071D5854F81}"/>
    <cellStyle name="Normal 4 2 2 3 2 3 7 3" xfId="30051" xr:uid="{B9E9F552-6B38-4377-A5BA-80D27B23963B}"/>
    <cellStyle name="Normal 4 2 2 3 2 3 7 4" xfId="13164" xr:uid="{060F4491-29F5-425C-BD19-48E1E910DF71}"/>
    <cellStyle name="Normal 4 2 2 3 2 3 8" xfId="17387" xr:uid="{04F48946-6291-4E8B-93C4-17B6EE6C3BF2}"/>
    <cellStyle name="Normal 4 2 2 3 2 3 9" xfId="25831" xr:uid="{97AD90E7-17FA-4C41-9A23-E72966E29437}"/>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24160" xr:uid="{70122059-AB0F-4F3F-8AB1-F63631452368}"/>
    <cellStyle name="Normal 4 2 2 3 2 4 2 2 3" xfId="32606" xr:uid="{14DC81AC-4045-4BB1-9651-6D2391A745A0}"/>
    <cellStyle name="Normal 4 2 2 3 2 4 2 2 4" xfId="15719" xr:uid="{FB1A9166-831C-46BA-B7F4-12A722736F35}"/>
    <cellStyle name="Normal 4 2 2 3 2 4 2 3" xfId="19942" xr:uid="{C566D5E8-618A-4444-B792-5E699228A675}"/>
    <cellStyle name="Normal 4 2 2 3 2 4 2 4" xfId="28389" xr:uid="{3BF7BA5C-BD18-47CD-A3BC-C8972BCCD793}"/>
    <cellStyle name="Normal 4 2 2 3 2 4 2 5" xfId="11501" xr:uid="{34E87663-1EA7-4BDF-ACB5-98133BAB472E}"/>
    <cellStyle name="Normal 4 2 2 3 2 4 3" xfId="5132" xr:uid="{00000000-0005-0000-0000-000034120000}"/>
    <cellStyle name="Normal 4 2 2 3 2 4 3 2" xfId="22015" xr:uid="{22173EA9-E6F6-49EE-AC92-B40E7615051D}"/>
    <cellStyle name="Normal 4 2 2 3 2 4 3 3" xfId="30461" xr:uid="{3ADA6690-53BF-458A-9001-565D41BA25E5}"/>
    <cellStyle name="Normal 4 2 2 3 2 4 3 4" xfId="13574" xr:uid="{91201298-DECB-4056-A5DF-54D6566AC156}"/>
    <cellStyle name="Normal 4 2 2 3 2 4 4" xfId="17797" xr:uid="{C8F8033B-3BA3-48B9-8B2A-794EF8936BBB}"/>
    <cellStyle name="Normal 4 2 2 3 2 4 5" xfId="26242" xr:uid="{86036E7E-2F66-4971-BD26-1B58B6DB9C34}"/>
    <cellStyle name="Normal 4 2 2 3 2 4 6" xfId="9356" xr:uid="{DC816FD3-9F42-4E7A-9C56-0C8CCB1E91B2}"/>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24573" xr:uid="{006DF773-B015-4761-8A72-AF829FDDE2DF}"/>
    <cellStyle name="Normal 4 2 2 3 2 5 2 2 3" xfId="33019" xr:uid="{BB13EB63-D162-402F-AAB1-E70DFF57EAE0}"/>
    <cellStyle name="Normal 4 2 2 3 2 5 2 2 4" xfId="16132" xr:uid="{FDDF93BC-0596-48EC-A1E8-12A99B9B9F97}"/>
    <cellStyle name="Normal 4 2 2 3 2 5 2 3" xfId="20355" xr:uid="{E1AD5302-8089-4DA1-AF37-F8BC5E6B2FFC}"/>
    <cellStyle name="Normal 4 2 2 3 2 5 2 4" xfId="28802" xr:uid="{DF9DD435-C48C-4940-A767-25B5053603DC}"/>
    <cellStyle name="Normal 4 2 2 3 2 5 2 5" xfId="11914" xr:uid="{45ADE3D4-A639-47F2-9B9B-528FAB467991}"/>
    <cellStyle name="Normal 4 2 2 3 2 5 3" xfId="5545" xr:uid="{00000000-0005-0000-0000-000038120000}"/>
    <cellStyle name="Normal 4 2 2 3 2 5 3 2" xfId="22428" xr:uid="{FC5CEE56-AFF6-4906-816E-9041D9F7A2DE}"/>
    <cellStyle name="Normal 4 2 2 3 2 5 3 3" xfId="30874" xr:uid="{CEF57FCC-8707-4114-A343-AEB2EE776838}"/>
    <cellStyle name="Normal 4 2 2 3 2 5 3 4" xfId="13987" xr:uid="{09D6AF8B-D16C-490A-95CE-6B905FE1760C}"/>
    <cellStyle name="Normal 4 2 2 3 2 5 4" xfId="18210" xr:uid="{52EEB8C4-BB07-488B-8BA4-3AA5E39293F5}"/>
    <cellStyle name="Normal 4 2 2 3 2 5 5" xfId="26655" xr:uid="{466B892D-CEB4-42E2-BAA8-A023B19AF822}"/>
    <cellStyle name="Normal 4 2 2 3 2 5 6" xfId="9769" xr:uid="{E2EB5966-E335-41CC-A3F2-3D9B7697541F}"/>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24986" xr:uid="{30C7B8A0-3306-4D2C-B9A3-D385855ACE26}"/>
    <cellStyle name="Normal 4 2 2 3 2 6 2 2 3" xfId="33432" xr:uid="{380BFD01-172B-4FC4-936C-D48F6128B6F8}"/>
    <cellStyle name="Normal 4 2 2 3 2 6 2 2 4" xfId="16545" xr:uid="{302CD2FB-9C9F-4593-BEE6-E5EC6C85DE47}"/>
    <cellStyle name="Normal 4 2 2 3 2 6 2 3" xfId="20768" xr:uid="{0FFBE9EB-AFBA-48FB-BBFE-0E3917C22D2E}"/>
    <cellStyle name="Normal 4 2 2 3 2 6 2 4" xfId="29215" xr:uid="{4EEC2A5A-3A1C-4D2C-8FC6-E0B3164241BE}"/>
    <cellStyle name="Normal 4 2 2 3 2 6 2 5" xfId="12327" xr:uid="{C920B1E6-DE25-4617-B17A-EB51EC595BEB}"/>
    <cellStyle name="Normal 4 2 2 3 2 6 3" xfId="5958" xr:uid="{00000000-0005-0000-0000-00003C120000}"/>
    <cellStyle name="Normal 4 2 2 3 2 6 3 2" xfId="22841" xr:uid="{8D733890-98CE-48D0-BB00-6A2A71B6B2F3}"/>
    <cellStyle name="Normal 4 2 2 3 2 6 3 3" xfId="31287" xr:uid="{D0A6CDAE-0A74-447E-AD57-CEC2671309BE}"/>
    <cellStyle name="Normal 4 2 2 3 2 6 3 4" xfId="14400" xr:uid="{8D5C585C-F015-40E5-A990-6662FD6F97D0}"/>
    <cellStyle name="Normal 4 2 2 3 2 6 4" xfId="18623" xr:uid="{1BA27828-806F-4A23-83A0-D2242742BFAD}"/>
    <cellStyle name="Normal 4 2 2 3 2 6 5" xfId="27068" xr:uid="{E6C9DFA3-B137-4E74-AB25-68969C713F25}"/>
    <cellStyle name="Normal 4 2 2 3 2 6 6" xfId="10182" xr:uid="{76B6AD69-1BBF-4AB4-8223-8D6206791C9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25399" xr:uid="{290EDF79-57B0-479E-BCF7-64642CF549B0}"/>
    <cellStyle name="Normal 4 2 2 3 2 7 2 2 3" xfId="33845" xr:uid="{D981C5EF-30AD-44F4-ACEE-7865F3D24ECD}"/>
    <cellStyle name="Normal 4 2 2 3 2 7 2 2 4" xfId="16958" xr:uid="{920BC30E-BC36-4939-A32E-C70087638CB8}"/>
    <cellStyle name="Normal 4 2 2 3 2 7 2 3" xfId="21181" xr:uid="{5D7E35C3-687F-4F93-A266-7DB156ADA143}"/>
    <cellStyle name="Normal 4 2 2 3 2 7 2 4" xfId="29628" xr:uid="{0B9869FA-A63B-4F5E-BF3B-1832C969727C}"/>
    <cellStyle name="Normal 4 2 2 3 2 7 2 5" xfId="12740" xr:uid="{3EFF892D-4A17-4084-BDAF-19A271E9F467}"/>
    <cellStyle name="Normal 4 2 2 3 2 7 3" xfId="6371" xr:uid="{00000000-0005-0000-0000-000040120000}"/>
    <cellStyle name="Normal 4 2 2 3 2 7 3 2" xfId="23254" xr:uid="{8E4C51CA-3D14-4E86-B5FA-71AEB874304F}"/>
    <cellStyle name="Normal 4 2 2 3 2 7 3 3" xfId="31700" xr:uid="{328E3D1C-7A32-4200-9EDE-A87565E452F0}"/>
    <cellStyle name="Normal 4 2 2 3 2 7 3 4" xfId="14813" xr:uid="{99D36E71-78E1-48A2-BEC3-388DCD2D2626}"/>
    <cellStyle name="Normal 4 2 2 3 2 7 4" xfId="19036" xr:uid="{B33FA0D7-AD9B-4155-993E-65E0018D5F91}"/>
    <cellStyle name="Normal 4 2 2 3 2 7 5" xfId="27481" xr:uid="{EAA119AB-92F9-4EF4-BD04-7C665F188E40}"/>
    <cellStyle name="Normal 4 2 2 3 2 7 6" xfId="10595" xr:uid="{F59EA58D-A694-4645-9616-EA9F1F43F5DE}"/>
    <cellStyle name="Normal 4 2 2 3 2 8" xfId="2500" xr:uid="{00000000-0005-0000-0000-000041120000}"/>
    <cellStyle name="Normal 4 2 2 3 2 8 2" xfId="6784" xr:uid="{00000000-0005-0000-0000-000042120000}"/>
    <cellStyle name="Normal 4 2 2 3 2 8 2 2" xfId="23667" xr:uid="{5A9D08E9-F9C6-4DCD-87E0-31AA5ECF1028}"/>
    <cellStyle name="Normal 4 2 2 3 2 8 2 3" xfId="32113" xr:uid="{ECBDDAAF-058D-415A-A3EA-7FE0DA01B506}"/>
    <cellStyle name="Normal 4 2 2 3 2 8 2 4" xfId="15226" xr:uid="{6D9DD2AB-1F82-4526-B938-C5106B36DEAC}"/>
    <cellStyle name="Normal 4 2 2 3 2 8 3" xfId="19449" xr:uid="{99A0B8AC-4B6C-42F2-B45E-960741686BBD}"/>
    <cellStyle name="Normal 4 2 2 3 2 8 4" xfId="27894" xr:uid="{BFF12589-2013-4C22-A3A5-5A033AC65B6A}"/>
    <cellStyle name="Normal 4 2 2 3 2 8 5" xfId="11008" xr:uid="{94711E18-3B8D-4FF1-A91B-E8F7D361A1D8}"/>
    <cellStyle name="Normal 4 2 2 3 2 9" xfId="4719" xr:uid="{00000000-0005-0000-0000-000043120000}"/>
    <cellStyle name="Normal 4 2 2 3 2 9 2" xfId="21602" xr:uid="{4C26D4D5-8361-4FD4-8D80-F13FE891CFEF}"/>
    <cellStyle name="Normal 4 2 2 3 2 9 3" xfId="30048" xr:uid="{B3104C45-E463-420C-B582-249E8C37A5D6}"/>
    <cellStyle name="Normal 4 2 2 3 2 9 4" xfId="13161" xr:uid="{C9E1790D-610D-43CB-A08B-9459C0FEEA8C}"/>
    <cellStyle name="Normal 4 2 2 3 3" xfId="344" xr:uid="{00000000-0005-0000-0000-000044120000}"/>
    <cellStyle name="Normal 4 2 2 3 3 10" xfId="25832" xr:uid="{53DFC4F3-3D4C-4207-AC94-24E2B1502BA5}"/>
    <cellStyle name="Normal 4 2 2 3 3 11" xfId="8947" xr:uid="{7D69EE07-83C4-4EAD-B96F-75CA62078C69}"/>
    <cellStyle name="Normal 4 2 2 3 3 2" xfId="345" xr:uid="{00000000-0005-0000-0000-000045120000}"/>
    <cellStyle name="Normal 4 2 2 3 3 2 10" xfId="8948" xr:uid="{5FDAE079-41BC-440B-A934-DD075F2E7445}"/>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24165" xr:uid="{36971F71-05FE-4C94-941D-39A3B82ABE23}"/>
    <cellStyle name="Normal 4 2 2 3 3 2 2 2 2 3" xfId="32611" xr:uid="{7A8C90B4-9C42-4744-B411-167D9E6E3AE5}"/>
    <cellStyle name="Normal 4 2 2 3 3 2 2 2 2 4" xfId="15724" xr:uid="{3E07328E-DBFA-4359-AE35-6CB773877964}"/>
    <cellStyle name="Normal 4 2 2 3 3 2 2 2 3" xfId="19947" xr:uid="{58C51660-1D51-4CF3-82D3-3B73E3A6E265}"/>
    <cellStyle name="Normal 4 2 2 3 3 2 2 2 4" xfId="28394" xr:uid="{0D4337AE-C834-4494-BC20-DF02089D0BB3}"/>
    <cellStyle name="Normal 4 2 2 3 3 2 2 2 5" xfId="11506" xr:uid="{9A2598C3-B3C3-433B-8ACD-77B6D3B30F83}"/>
    <cellStyle name="Normal 4 2 2 3 3 2 2 3" xfId="5137" xr:uid="{00000000-0005-0000-0000-000049120000}"/>
    <cellStyle name="Normal 4 2 2 3 3 2 2 3 2" xfId="22020" xr:uid="{3E70CFAD-7070-447F-A539-0B00A16C4070}"/>
    <cellStyle name="Normal 4 2 2 3 3 2 2 3 3" xfId="30466" xr:uid="{8711F988-80F1-4F11-9922-A45FFE5CB5C8}"/>
    <cellStyle name="Normal 4 2 2 3 3 2 2 3 4" xfId="13579" xr:uid="{8A996C7F-6ADF-4F55-A222-CCB72EC95D98}"/>
    <cellStyle name="Normal 4 2 2 3 3 2 2 4" xfId="17802" xr:uid="{B23E34E2-0D4B-4C04-B790-22E247E1EB0E}"/>
    <cellStyle name="Normal 4 2 2 3 3 2 2 5" xfId="26247" xr:uid="{DFF3B37E-6EB3-4DC9-8D5E-273AF6619916}"/>
    <cellStyle name="Normal 4 2 2 3 3 2 2 6" xfId="9361" xr:uid="{91276C86-0107-411B-88CC-5BEE234BF606}"/>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24578" xr:uid="{15808B16-08A8-4D06-9316-899D1AF65D11}"/>
    <cellStyle name="Normal 4 2 2 3 3 2 3 2 2 3" xfId="33024" xr:uid="{068B83B4-E4C2-4FF0-A909-724DC25153C3}"/>
    <cellStyle name="Normal 4 2 2 3 3 2 3 2 2 4" xfId="16137" xr:uid="{5A1B5FCC-12B8-4F25-8E08-19CCEA44B2BB}"/>
    <cellStyle name="Normal 4 2 2 3 3 2 3 2 3" xfId="20360" xr:uid="{1961D76D-2015-46FA-AC5E-7F1560AAE43F}"/>
    <cellStyle name="Normal 4 2 2 3 3 2 3 2 4" xfId="28807" xr:uid="{8E660BBF-4C3E-4FAB-A6FC-CB084B8D68FB}"/>
    <cellStyle name="Normal 4 2 2 3 3 2 3 2 5" xfId="11919" xr:uid="{3CC38CA0-FD2F-4601-B6F8-AA20C01BA8E4}"/>
    <cellStyle name="Normal 4 2 2 3 3 2 3 3" xfId="5550" xr:uid="{00000000-0005-0000-0000-00004D120000}"/>
    <cellStyle name="Normal 4 2 2 3 3 2 3 3 2" xfId="22433" xr:uid="{90F4CD16-13CA-420B-8ED0-0BC38143BB4D}"/>
    <cellStyle name="Normal 4 2 2 3 3 2 3 3 3" xfId="30879" xr:uid="{571F3D12-859A-4F03-A667-E6CCCF589EE5}"/>
    <cellStyle name="Normal 4 2 2 3 3 2 3 3 4" xfId="13992" xr:uid="{C738A2B7-1428-4D07-87FE-119D312927CC}"/>
    <cellStyle name="Normal 4 2 2 3 3 2 3 4" xfId="18215" xr:uid="{C5FDADB3-85E1-4BF0-8AC7-7034BC917762}"/>
    <cellStyle name="Normal 4 2 2 3 3 2 3 5" xfId="26660" xr:uid="{25F22058-FA96-4BE1-A6E7-4F2584D7070E}"/>
    <cellStyle name="Normal 4 2 2 3 3 2 3 6" xfId="9774" xr:uid="{D62EA29A-7905-497C-A749-A84B50FBF578}"/>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24991" xr:uid="{680EAB02-B887-423E-9257-736015B770B0}"/>
    <cellStyle name="Normal 4 2 2 3 3 2 4 2 2 3" xfId="33437" xr:uid="{98587392-5CFC-4F75-87E6-EF9F299CCCF8}"/>
    <cellStyle name="Normal 4 2 2 3 3 2 4 2 2 4" xfId="16550" xr:uid="{25CB7474-7EFF-44D0-B90E-7ED3F928518B}"/>
    <cellStyle name="Normal 4 2 2 3 3 2 4 2 3" xfId="20773" xr:uid="{8715AB26-DB49-472E-AE37-74E37D949422}"/>
    <cellStyle name="Normal 4 2 2 3 3 2 4 2 4" xfId="29220" xr:uid="{F00B8685-B452-4CF1-A804-AACDCA36BCA7}"/>
    <cellStyle name="Normal 4 2 2 3 3 2 4 2 5" xfId="12332" xr:uid="{47319289-9342-4526-88FD-38ADCC5E4073}"/>
    <cellStyle name="Normal 4 2 2 3 3 2 4 3" xfId="5963" xr:uid="{00000000-0005-0000-0000-000051120000}"/>
    <cellStyle name="Normal 4 2 2 3 3 2 4 3 2" xfId="22846" xr:uid="{18B3CAC0-0443-4A9C-95C2-A6E7E1497933}"/>
    <cellStyle name="Normal 4 2 2 3 3 2 4 3 3" xfId="31292" xr:uid="{7A67CBFB-5BEF-4693-A39C-191C53A74093}"/>
    <cellStyle name="Normal 4 2 2 3 3 2 4 3 4" xfId="14405" xr:uid="{DDF610CF-B609-4209-B21A-56467750027A}"/>
    <cellStyle name="Normal 4 2 2 3 3 2 4 4" xfId="18628" xr:uid="{0FDEF20D-D966-4C9D-B86C-FEAAD3A60036}"/>
    <cellStyle name="Normal 4 2 2 3 3 2 4 5" xfId="27073" xr:uid="{A6725E51-4A9D-42DD-9604-A6687196E113}"/>
    <cellStyle name="Normal 4 2 2 3 3 2 4 6" xfId="10187" xr:uid="{C5064B2C-F303-468B-97DE-27F7761DF1F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25404" xr:uid="{BBBFB582-C7FB-4722-984C-E3543F9F55A7}"/>
    <cellStyle name="Normal 4 2 2 3 3 2 5 2 2 3" xfId="33850" xr:uid="{0C09C862-9C79-4453-AA8B-8FD22C53D18E}"/>
    <cellStyle name="Normal 4 2 2 3 3 2 5 2 2 4" xfId="16963" xr:uid="{BCE0C0BC-3DE4-49A1-96A5-AB450B1DD872}"/>
    <cellStyle name="Normal 4 2 2 3 3 2 5 2 3" xfId="21186" xr:uid="{D47017D2-397E-4FC0-94B6-217566BA6552}"/>
    <cellStyle name="Normal 4 2 2 3 3 2 5 2 4" xfId="29633" xr:uid="{17213C08-4B7D-495A-BE8A-B6BCC7CF36FF}"/>
    <cellStyle name="Normal 4 2 2 3 3 2 5 2 5" xfId="12745" xr:uid="{26B46F0D-B66F-4620-84DE-D457CF2D563F}"/>
    <cellStyle name="Normal 4 2 2 3 3 2 5 3" xfId="6376" xr:uid="{00000000-0005-0000-0000-000055120000}"/>
    <cellStyle name="Normal 4 2 2 3 3 2 5 3 2" xfId="23259" xr:uid="{0A8ECA86-939D-4867-B2B5-D8A8D6FD258B}"/>
    <cellStyle name="Normal 4 2 2 3 3 2 5 3 3" xfId="31705" xr:uid="{800C2C07-E2ED-413B-8EBA-35F304110A3A}"/>
    <cellStyle name="Normal 4 2 2 3 3 2 5 3 4" xfId="14818" xr:uid="{027DAFAA-8153-4EFF-B0E5-8A8ABE84BFE6}"/>
    <cellStyle name="Normal 4 2 2 3 3 2 5 4" xfId="19041" xr:uid="{265807C3-6CB5-4E6B-8D89-0043E0E039DB}"/>
    <cellStyle name="Normal 4 2 2 3 3 2 5 5" xfId="27486" xr:uid="{4BE420D4-1FBD-4B70-B689-56A2024C110E}"/>
    <cellStyle name="Normal 4 2 2 3 3 2 5 6" xfId="10600" xr:uid="{AFF5B9FD-E563-4B32-8F89-7B8BE88712F8}"/>
    <cellStyle name="Normal 4 2 2 3 3 2 6" xfId="2505" xr:uid="{00000000-0005-0000-0000-000056120000}"/>
    <cellStyle name="Normal 4 2 2 3 3 2 6 2" xfId="6789" xr:uid="{00000000-0005-0000-0000-000057120000}"/>
    <cellStyle name="Normal 4 2 2 3 3 2 6 2 2" xfId="23672" xr:uid="{E8A93798-B04D-41A6-B18F-20E465995FCE}"/>
    <cellStyle name="Normal 4 2 2 3 3 2 6 2 3" xfId="32118" xr:uid="{AB91AA1C-1704-44C5-8FAF-F9DA49679D27}"/>
    <cellStyle name="Normal 4 2 2 3 3 2 6 2 4" xfId="15231" xr:uid="{BA3A3456-D2A2-4170-9155-0F46DD4485AD}"/>
    <cellStyle name="Normal 4 2 2 3 3 2 6 3" xfId="19454" xr:uid="{4665EB6D-03BD-4508-8794-DBFC32AF2EED}"/>
    <cellStyle name="Normal 4 2 2 3 3 2 6 4" xfId="27899" xr:uid="{8BB79856-0A54-4B7F-BF2B-0943CC5E2F1E}"/>
    <cellStyle name="Normal 4 2 2 3 3 2 6 5" xfId="11013" xr:uid="{2AA7DE03-E2AB-403D-8CA2-7C2A2FD62AE6}"/>
    <cellStyle name="Normal 4 2 2 3 3 2 7" xfId="4724" xr:uid="{00000000-0005-0000-0000-000058120000}"/>
    <cellStyle name="Normal 4 2 2 3 3 2 7 2" xfId="21607" xr:uid="{03216787-3997-46C8-8790-284690453480}"/>
    <cellStyle name="Normal 4 2 2 3 3 2 7 3" xfId="30053" xr:uid="{5842DDC4-40E8-460D-A10F-BB8673ABFC27}"/>
    <cellStyle name="Normal 4 2 2 3 3 2 7 4" xfId="13166" xr:uid="{28CCE2A2-F969-4E21-B32B-66B29B4AFC91}"/>
    <cellStyle name="Normal 4 2 2 3 3 2 8" xfId="17389" xr:uid="{A6B0403F-FC12-4B99-9D71-4C8BE8B68DA0}"/>
    <cellStyle name="Normal 4 2 2 3 3 2 9" xfId="25833" xr:uid="{25EAD782-C9A1-432F-B864-729645020B7B}"/>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24164" xr:uid="{076E145E-EB22-466A-980A-1BD78033A215}"/>
    <cellStyle name="Normal 4 2 2 3 3 3 2 2 3" xfId="32610" xr:uid="{C7308730-8412-498C-AFE3-A2F74F4035CE}"/>
    <cellStyle name="Normal 4 2 2 3 3 3 2 2 4" xfId="15723" xr:uid="{FBBB5EE7-701B-490F-907C-3CF9BBA09DD3}"/>
    <cellStyle name="Normal 4 2 2 3 3 3 2 3" xfId="19946" xr:uid="{9BAD4FA8-A31D-4519-9CC3-AEED8B47D1D5}"/>
    <cellStyle name="Normal 4 2 2 3 3 3 2 4" xfId="28393" xr:uid="{C7319E1E-B81D-4B1F-A7B2-2AE96EEBFB76}"/>
    <cellStyle name="Normal 4 2 2 3 3 3 2 5" xfId="11505" xr:uid="{39D159AF-CC00-44D2-8214-3D5AA0D042BF}"/>
    <cellStyle name="Normal 4 2 2 3 3 3 3" xfId="5136" xr:uid="{00000000-0005-0000-0000-00005C120000}"/>
    <cellStyle name="Normal 4 2 2 3 3 3 3 2" xfId="22019" xr:uid="{0CF456AB-9389-4E9D-AD53-310A1C1E257C}"/>
    <cellStyle name="Normal 4 2 2 3 3 3 3 3" xfId="30465" xr:uid="{BCC0DF04-A812-4D39-A171-F7DFDDE80451}"/>
    <cellStyle name="Normal 4 2 2 3 3 3 3 4" xfId="13578" xr:uid="{4665E71F-9BAF-4B06-BF91-78F4A0847715}"/>
    <cellStyle name="Normal 4 2 2 3 3 3 4" xfId="17801" xr:uid="{3A49F90C-EE48-477F-9526-8DC6E23DEF46}"/>
    <cellStyle name="Normal 4 2 2 3 3 3 5" xfId="26246" xr:uid="{66F83C5F-2A29-46A1-A5B6-7EAE9712A23F}"/>
    <cellStyle name="Normal 4 2 2 3 3 3 6" xfId="9360" xr:uid="{8742FFA3-856B-47CB-905F-8DD525EA394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24577" xr:uid="{210C1F14-C539-4EAC-86BF-99411C562C01}"/>
    <cellStyle name="Normal 4 2 2 3 3 4 2 2 3" xfId="33023" xr:uid="{1624E79C-7AC8-4043-8E27-33DD03FE1B83}"/>
    <cellStyle name="Normal 4 2 2 3 3 4 2 2 4" xfId="16136" xr:uid="{F6063AE1-4D37-4D20-A648-363C3E7476B6}"/>
    <cellStyle name="Normal 4 2 2 3 3 4 2 3" xfId="20359" xr:uid="{BD227C77-6E73-4DD3-853D-DB0ADE189F86}"/>
    <cellStyle name="Normal 4 2 2 3 3 4 2 4" xfId="28806" xr:uid="{BA113805-D107-44BA-AF3B-A9E9F3F29F62}"/>
    <cellStyle name="Normal 4 2 2 3 3 4 2 5" xfId="11918" xr:uid="{1B27DC39-E2CE-4D9C-9B78-E86C5EDEF880}"/>
    <cellStyle name="Normal 4 2 2 3 3 4 3" xfId="5549" xr:uid="{00000000-0005-0000-0000-000060120000}"/>
    <cellStyle name="Normal 4 2 2 3 3 4 3 2" xfId="22432" xr:uid="{42709B87-B87E-410F-B8AC-D4F1D76ED87E}"/>
    <cellStyle name="Normal 4 2 2 3 3 4 3 3" xfId="30878" xr:uid="{F92B1EF5-6D93-41A5-AC64-82E801D3D514}"/>
    <cellStyle name="Normal 4 2 2 3 3 4 3 4" xfId="13991" xr:uid="{432CF7D5-9F7E-4B89-8242-5194AEF62055}"/>
    <cellStyle name="Normal 4 2 2 3 3 4 4" xfId="18214" xr:uid="{91386D0F-FAE4-4F09-AAF3-56480F756EDE}"/>
    <cellStyle name="Normal 4 2 2 3 3 4 5" xfId="26659" xr:uid="{CDF265C0-CC20-4726-B9B8-70288E2E5258}"/>
    <cellStyle name="Normal 4 2 2 3 3 4 6" xfId="9773" xr:uid="{2EAD3F32-9EF2-4AFC-8B30-EC0E768066E1}"/>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24990" xr:uid="{A8A1815F-030A-44DB-A4C7-CA3FBE8BA060}"/>
    <cellStyle name="Normal 4 2 2 3 3 5 2 2 3" xfId="33436" xr:uid="{7A2CA3F1-3BAC-4E01-9B44-199791ADF8E2}"/>
    <cellStyle name="Normal 4 2 2 3 3 5 2 2 4" xfId="16549" xr:uid="{86CF70B8-15B8-47D8-9E91-389C10AA7EF7}"/>
    <cellStyle name="Normal 4 2 2 3 3 5 2 3" xfId="20772" xr:uid="{13E542ED-4902-4667-B539-E1E7E2A265DB}"/>
    <cellStyle name="Normal 4 2 2 3 3 5 2 4" xfId="29219" xr:uid="{C931183E-784D-421B-B96D-8039F90F1827}"/>
    <cellStyle name="Normal 4 2 2 3 3 5 2 5" xfId="12331" xr:uid="{82308388-F078-485A-84D1-41C48210F941}"/>
    <cellStyle name="Normal 4 2 2 3 3 5 3" xfId="5962" xr:uid="{00000000-0005-0000-0000-000064120000}"/>
    <cellStyle name="Normal 4 2 2 3 3 5 3 2" xfId="22845" xr:uid="{3D16D503-D56F-4265-B8DE-4850FB48A214}"/>
    <cellStyle name="Normal 4 2 2 3 3 5 3 3" xfId="31291" xr:uid="{DF300A58-C781-4596-9BB7-4F5635517ECA}"/>
    <cellStyle name="Normal 4 2 2 3 3 5 3 4" xfId="14404" xr:uid="{01EE9721-66EA-42D7-A5BF-4F3F6B6A4950}"/>
    <cellStyle name="Normal 4 2 2 3 3 5 4" xfId="18627" xr:uid="{B1024682-7786-4BE5-8091-4B2428728A1E}"/>
    <cellStyle name="Normal 4 2 2 3 3 5 5" xfId="27072" xr:uid="{CF28C686-D883-4DFD-B95F-45CE971042EE}"/>
    <cellStyle name="Normal 4 2 2 3 3 5 6" xfId="10186" xr:uid="{FEDFBE5D-C6DF-45A4-8852-93BD37ED7EC5}"/>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25403" xr:uid="{F230DD6B-DDD8-4AAE-9A33-DFF939FA9557}"/>
    <cellStyle name="Normal 4 2 2 3 3 6 2 2 3" xfId="33849" xr:uid="{D7997391-4576-4D4E-91F5-E1354B823934}"/>
    <cellStyle name="Normal 4 2 2 3 3 6 2 2 4" xfId="16962" xr:uid="{4F64B990-CFCE-4D69-94A5-5C7070394861}"/>
    <cellStyle name="Normal 4 2 2 3 3 6 2 3" xfId="21185" xr:uid="{F074AD61-B68F-4331-AA82-B117A00C4009}"/>
    <cellStyle name="Normal 4 2 2 3 3 6 2 4" xfId="29632" xr:uid="{6A30DBB5-FB50-4A6D-81E5-9C0E18438649}"/>
    <cellStyle name="Normal 4 2 2 3 3 6 2 5" xfId="12744" xr:uid="{84CDB3E7-A49E-47AD-81F6-E711308DB98C}"/>
    <cellStyle name="Normal 4 2 2 3 3 6 3" xfId="6375" xr:uid="{00000000-0005-0000-0000-000068120000}"/>
    <cellStyle name="Normal 4 2 2 3 3 6 3 2" xfId="23258" xr:uid="{B3BFAFFB-F226-4BF1-9A33-E0C695D78584}"/>
    <cellStyle name="Normal 4 2 2 3 3 6 3 3" xfId="31704" xr:uid="{66CFAE43-79AC-489F-9CA5-BCFAF58FDFA6}"/>
    <cellStyle name="Normal 4 2 2 3 3 6 3 4" xfId="14817" xr:uid="{304E903E-E59D-45B8-8A3C-682D0E3564D3}"/>
    <cellStyle name="Normal 4 2 2 3 3 6 4" xfId="19040" xr:uid="{49E6A856-0864-44C2-8B95-91DEDC8C8A43}"/>
    <cellStyle name="Normal 4 2 2 3 3 6 5" xfId="27485" xr:uid="{9EBB9AC3-7ACE-44B4-A889-0C839D8A98C8}"/>
    <cellStyle name="Normal 4 2 2 3 3 6 6" xfId="10599" xr:uid="{517AA7FA-CFAA-41DA-87EF-869365845916}"/>
    <cellStyle name="Normal 4 2 2 3 3 7" xfId="2504" xr:uid="{00000000-0005-0000-0000-000069120000}"/>
    <cellStyle name="Normal 4 2 2 3 3 7 2" xfId="6788" xr:uid="{00000000-0005-0000-0000-00006A120000}"/>
    <cellStyle name="Normal 4 2 2 3 3 7 2 2" xfId="23671" xr:uid="{0C1514D7-22F9-486F-B32A-D24E713C42B9}"/>
    <cellStyle name="Normal 4 2 2 3 3 7 2 3" xfId="32117" xr:uid="{F946ACDB-A34C-4C56-9868-EA0C9BC040FB}"/>
    <cellStyle name="Normal 4 2 2 3 3 7 2 4" xfId="15230" xr:uid="{49D21A4E-D0E7-4AE2-B317-84C73FF24C59}"/>
    <cellStyle name="Normal 4 2 2 3 3 7 3" xfId="19453" xr:uid="{AAD215D8-0351-4453-A86D-A2E9485D2A3E}"/>
    <cellStyle name="Normal 4 2 2 3 3 7 4" xfId="27898" xr:uid="{4324280C-2140-4D98-BA47-7C9041B9A7BA}"/>
    <cellStyle name="Normal 4 2 2 3 3 7 5" xfId="11012" xr:uid="{9C92513C-37DD-4CB7-AFD3-4DF65F2459CF}"/>
    <cellStyle name="Normal 4 2 2 3 3 8" xfId="4723" xr:uid="{00000000-0005-0000-0000-00006B120000}"/>
    <cellStyle name="Normal 4 2 2 3 3 8 2" xfId="21606" xr:uid="{3C5ACC7C-5A50-49F9-B016-7626F02F4E11}"/>
    <cellStyle name="Normal 4 2 2 3 3 8 3" xfId="30052" xr:uid="{CCE371EF-2458-47E0-8278-54866EA7FC88}"/>
    <cellStyle name="Normal 4 2 2 3 3 8 4" xfId="13165" xr:uid="{F4A02D5A-A84E-48CC-8AE3-A02F449101EC}"/>
    <cellStyle name="Normal 4 2 2 3 3 9" xfId="17388" xr:uid="{A068347C-A291-4AAF-AE97-523B614AFB05}"/>
    <cellStyle name="Normal 4 2 2 3 4" xfId="346" xr:uid="{00000000-0005-0000-0000-00006C120000}"/>
    <cellStyle name="Normal 4 2 2 3 4 10" xfId="8949" xr:uid="{AD188981-5DF6-46B9-9AA8-643684E8120F}"/>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24166" xr:uid="{23C6E1A6-2377-4BBB-B7B2-A50450205550}"/>
    <cellStyle name="Normal 4 2 2 3 4 2 2 2 3" xfId="32612" xr:uid="{42232DFF-18CE-4E34-9565-2BBE4F02FD0E}"/>
    <cellStyle name="Normal 4 2 2 3 4 2 2 2 4" xfId="15725" xr:uid="{950E0B60-E9CF-45A4-AFBC-E7A92A6AD976}"/>
    <cellStyle name="Normal 4 2 2 3 4 2 2 3" xfId="19948" xr:uid="{838B6E28-E8BF-4A64-9A7B-D5F33F4A24C8}"/>
    <cellStyle name="Normal 4 2 2 3 4 2 2 4" xfId="28395" xr:uid="{F431D88E-4CCB-48D4-B7C6-06B7915C15E9}"/>
    <cellStyle name="Normal 4 2 2 3 4 2 2 5" xfId="11507" xr:uid="{633ADD9D-CD8D-4A08-B0E5-8BD4123041F5}"/>
    <cellStyle name="Normal 4 2 2 3 4 2 3" xfId="5138" xr:uid="{00000000-0005-0000-0000-000070120000}"/>
    <cellStyle name="Normal 4 2 2 3 4 2 3 2" xfId="22021" xr:uid="{111A4162-89ED-4780-BC78-BA8FE0EFEC1F}"/>
    <cellStyle name="Normal 4 2 2 3 4 2 3 3" xfId="30467" xr:uid="{A4A50BB6-0E33-4A19-B4DB-FC2108916FC2}"/>
    <cellStyle name="Normal 4 2 2 3 4 2 3 4" xfId="13580" xr:uid="{0DB94C04-B78C-4A22-88BA-51486647DF99}"/>
    <cellStyle name="Normal 4 2 2 3 4 2 4" xfId="17803" xr:uid="{CCD56A22-002E-4217-B81E-3A91380EC918}"/>
    <cellStyle name="Normal 4 2 2 3 4 2 5" xfId="26248" xr:uid="{0CC68A1F-43EC-4392-BF6E-CDBFD63D5643}"/>
    <cellStyle name="Normal 4 2 2 3 4 2 6" xfId="9362" xr:uid="{252171D7-4953-4174-BBAD-5709A1463204}"/>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24579" xr:uid="{A4173C47-9110-40C7-8220-AF2BBC125690}"/>
    <cellStyle name="Normal 4 2 2 3 4 3 2 2 3" xfId="33025" xr:uid="{067A4FC4-7636-46DB-BBE6-FA09FF2CDAD5}"/>
    <cellStyle name="Normal 4 2 2 3 4 3 2 2 4" xfId="16138" xr:uid="{5586A1F0-9FD9-4E9D-9321-065050C17F59}"/>
    <cellStyle name="Normal 4 2 2 3 4 3 2 3" xfId="20361" xr:uid="{EBD7DE15-A8A4-419F-8BDD-206DAB8A163A}"/>
    <cellStyle name="Normal 4 2 2 3 4 3 2 4" xfId="28808" xr:uid="{9C79211A-22C1-4424-A4F9-C139CEF862ED}"/>
    <cellStyle name="Normal 4 2 2 3 4 3 2 5" xfId="11920" xr:uid="{4D378A05-8C6E-44FA-B374-79999195434B}"/>
    <cellStyle name="Normal 4 2 2 3 4 3 3" xfId="5551" xr:uid="{00000000-0005-0000-0000-000074120000}"/>
    <cellStyle name="Normal 4 2 2 3 4 3 3 2" xfId="22434" xr:uid="{31DDE00F-B5D7-45DA-8CC0-F606373A8268}"/>
    <cellStyle name="Normal 4 2 2 3 4 3 3 3" xfId="30880" xr:uid="{E614A4B7-E714-4340-A762-B3877524D707}"/>
    <cellStyle name="Normal 4 2 2 3 4 3 3 4" xfId="13993" xr:uid="{8A86DA9A-679D-4EB7-ADE4-29DE364E19D1}"/>
    <cellStyle name="Normal 4 2 2 3 4 3 4" xfId="18216" xr:uid="{8182583C-1B6E-4F87-9612-3B32C0ADDB31}"/>
    <cellStyle name="Normal 4 2 2 3 4 3 5" xfId="26661" xr:uid="{08B1C849-25B5-4354-A1D1-C271DAB079F3}"/>
    <cellStyle name="Normal 4 2 2 3 4 3 6" xfId="9775" xr:uid="{69F7A957-DD4F-4F00-A006-2A769B561EA3}"/>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24992" xr:uid="{34550321-EAF6-4C73-ACCF-FFCAD1727A0D}"/>
    <cellStyle name="Normal 4 2 2 3 4 4 2 2 3" xfId="33438" xr:uid="{380EEFC3-DE3E-4E61-A658-138ABEF73111}"/>
    <cellStyle name="Normal 4 2 2 3 4 4 2 2 4" xfId="16551" xr:uid="{047082A4-2F82-4F5C-9A12-8BDE75D7EA92}"/>
    <cellStyle name="Normal 4 2 2 3 4 4 2 3" xfId="20774" xr:uid="{2B79D491-D246-4E0E-AC57-15F09FB4B922}"/>
    <cellStyle name="Normal 4 2 2 3 4 4 2 4" xfId="29221" xr:uid="{422EF4CB-3BD6-4E3D-BB38-D6BF38277B18}"/>
    <cellStyle name="Normal 4 2 2 3 4 4 2 5" xfId="12333" xr:uid="{337B6388-2BF2-4498-B4B6-721E2A859D88}"/>
    <cellStyle name="Normal 4 2 2 3 4 4 3" xfId="5964" xr:uid="{00000000-0005-0000-0000-000078120000}"/>
    <cellStyle name="Normal 4 2 2 3 4 4 3 2" xfId="22847" xr:uid="{AB38F286-8524-4BDC-8AB2-9A9546B67CC7}"/>
    <cellStyle name="Normal 4 2 2 3 4 4 3 3" xfId="31293" xr:uid="{87819DE3-C35B-4C85-803D-A71ED246B056}"/>
    <cellStyle name="Normal 4 2 2 3 4 4 3 4" xfId="14406" xr:uid="{22F267DA-7124-4901-928C-07EFE3FEE356}"/>
    <cellStyle name="Normal 4 2 2 3 4 4 4" xfId="18629" xr:uid="{141E6830-DD1E-4B07-9911-80BAACD0A5B1}"/>
    <cellStyle name="Normal 4 2 2 3 4 4 5" xfId="27074" xr:uid="{47628638-B281-463D-AA7E-0987B490CB1A}"/>
    <cellStyle name="Normal 4 2 2 3 4 4 6" xfId="10188" xr:uid="{5BAB6018-0E9F-454B-BC78-EE2E8CFB65EF}"/>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25405" xr:uid="{E275A5C7-F042-48F7-A38C-2546C8FDE96B}"/>
    <cellStyle name="Normal 4 2 2 3 4 5 2 2 3" xfId="33851" xr:uid="{8B66D37F-A738-42E5-83F5-B74D1073C8A9}"/>
    <cellStyle name="Normal 4 2 2 3 4 5 2 2 4" xfId="16964" xr:uid="{28B8DCC0-F355-460A-A82B-465E25266690}"/>
    <cellStyle name="Normal 4 2 2 3 4 5 2 3" xfId="21187" xr:uid="{E19AC124-83FB-466B-8FA6-E80A6ADADDC7}"/>
    <cellStyle name="Normal 4 2 2 3 4 5 2 4" xfId="29634" xr:uid="{1CA0931C-7A71-4A09-99D6-6DE02A83CF2E}"/>
    <cellStyle name="Normal 4 2 2 3 4 5 2 5" xfId="12746" xr:uid="{4371288B-C76C-4591-9B36-9CD039221C76}"/>
    <cellStyle name="Normal 4 2 2 3 4 5 3" xfId="6377" xr:uid="{00000000-0005-0000-0000-00007C120000}"/>
    <cellStyle name="Normal 4 2 2 3 4 5 3 2" xfId="23260" xr:uid="{6598003F-C015-4ACB-9969-029C69E2A094}"/>
    <cellStyle name="Normal 4 2 2 3 4 5 3 3" xfId="31706" xr:uid="{24A1526E-4458-4283-ADA8-FBE6F43A3FCE}"/>
    <cellStyle name="Normal 4 2 2 3 4 5 3 4" xfId="14819" xr:uid="{AAB1F43C-341E-42C4-B5EA-DC68C3ED474D}"/>
    <cellStyle name="Normal 4 2 2 3 4 5 4" xfId="19042" xr:uid="{163E1A71-FF8C-4781-AADA-60550E2F5472}"/>
    <cellStyle name="Normal 4 2 2 3 4 5 5" xfId="27487" xr:uid="{41EB1B50-540F-4E6D-888B-52EAA721A69E}"/>
    <cellStyle name="Normal 4 2 2 3 4 5 6" xfId="10601" xr:uid="{CD00BDD2-FEBC-4E0D-80FA-074FCD9C9A2F}"/>
    <cellStyle name="Normal 4 2 2 3 4 6" xfId="2506" xr:uid="{00000000-0005-0000-0000-00007D120000}"/>
    <cellStyle name="Normal 4 2 2 3 4 6 2" xfId="6790" xr:uid="{00000000-0005-0000-0000-00007E120000}"/>
    <cellStyle name="Normal 4 2 2 3 4 6 2 2" xfId="23673" xr:uid="{499B1DD2-D5D7-4C8C-8CB8-F54F2A66DA3E}"/>
    <cellStyle name="Normal 4 2 2 3 4 6 2 3" xfId="32119" xr:uid="{4F690AE2-8540-4EE3-A65E-43B21670B2F3}"/>
    <cellStyle name="Normal 4 2 2 3 4 6 2 4" xfId="15232" xr:uid="{1DEDA873-83E4-4999-9A38-CAA3D35F36E2}"/>
    <cellStyle name="Normal 4 2 2 3 4 6 3" xfId="19455" xr:uid="{F01341FC-22B8-485F-8C77-0282158BDE39}"/>
    <cellStyle name="Normal 4 2 2 3 4 6 4" xfId="27900" xr:uid="{07D685D4-FF37-4DD3-8C2D-24E5CD3548B4}"/>
    <cellStyle name="Normal 4 2 2 3 4 6 5" xfId="11014" xr:uid="{B7506E1C-A056-4434-B1B6-4F040AF9CA68}"/>
    <cellStyle name="Normal 4 2 2 3 4 7" xfId="4725" xr:uid="{00000000-0005-0000-0000-00007F120000}"/>
    <cellStyle name="Normal 4 2 2 3 4 7 2" xfId="21608" xr:uid="{C6A660DB-1D2C-45E0-B99A-A304496AA4B8}"/>
    <cellStyle name="Normal 4 2 2 3 4 7 3" xfId="30054" xr:uid="{2D9CC11A-136A-45A1-A2D2-0B2C9003FC8D}"/>
    <cellStyle name="Normal 4 2 2 3 4 7 4" xfId="13167" xr:uid="{7C43B29D-A707-4FC6-8A2D-4C128E873CB1}"/>
    <cellStyle name="Normal 4 2 2 3 4 8" xfId="17390" xr:uid="{60D0F8AE-6E94-464B-9A70-2C4F9AB0FF0B}"/>
    <cellStyle name="Normal 4 2 2 3 4 9" xfId="25834" xr:uid="{6D7698F5-9368-4E56-92F3-8F78FFEA7088}"/>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24159" xr:uid="{31AEADF8-F8A3-4780-BC87-C6ECDAF7455E}"/>
    <cellStyle name="Normal 4 2 2 3 5 2 2 3" xfId="32605" xr:uid="{69E43824-4FE5-4026-BE5E-87C50944EAC8}"/>
    <cellStyle name="Normal 4 2 2 3 5 2 2 4" xfId="15718" xr:uid="{AEC94094-5936-452A-9F43-EF144B55A657}"/>
    <cellStyle name="Normal 4 2 2 3 5 2 3" xfId="19941" xr:uid="{3EA5A298-20BD-41D7-8F62-203DF8C5D77D}"/>
    <cellStyle name="Normal 4 2 2 3 5 2 4" xfId="28388" xr:uid="{C1517099-F199-4296-B26C-FE66101E7C6C}"/>
    <cellStyle name="Normal 4 2 2 3 5 2 5" xfId="11500" xr:uid="{E3F41278-E23A-422B-9C2C-C24FB21F145E}"/>
    <cellStyle name="Normal 4 2 2 3 5 3" xfId="5131" xr:uid="{00000000-0005-0000-0000-000083120000}"/>
    <cellStyle name="Normal 4 2 2 3 5 3 2" xfId="22014" xr:uid="{036D60F1-C066-471D-9F1C-CF5A9AF2AA7D}"/>
    <cellStyle name="Normal 4 2 2 3 5 3 3" xfId="30460" xr:uid="{FFA71A3B-012F-4252-B079-323528EDD630}"/>
    <cellStyle name="Normal 4 2 2 3 5 3 4" xfId="13573" xr:uid="{93581170-76D2-424F-A799-B104E11D07E3}"/>
    <cellStyle name="Normal 4 2 2 3 5 4" xfId="17796" xr:uid="{ADD1C019-026E-4975-AD8D-153E3BB25F07}"/>
    <cellStyle name="Normal 4 2 2 3 5 5" xfId="26241" xr:uid="{E4ED8151-83D5-4606-9ED4-E1344C7644D3}"/>
    <cellStyle name="Normal 4 2 2 3 5 6" xfId="9355" xr:uid="{17CC7C02-7376-4863-9173-160B32927157}"/>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24572" xr:uid="{25BA2A44-8668-49F5-A088-9B5213BC0AF0}"/>
    <cellStyle name="Normal 4 2 2 3 6 2 2 3" xfId="33018" xr:uid="{F3DCDD0E-9555-4791-A282-D7BA36F2D93D}"/>
    <cellStyle name="Normal 4 2 2 3 6 2 2 4" xfId="16131" xr:uid="{E2FDC457-4BA2-4D8F-9BE7-573F67FB10D0}"/>
    <cellStyle name="Normal 4 2 2 3 6 2 3" xfId="20354" xr:uid="{F897901D-CBA1-404E-9B2E-B9E39DCD7F34}"/>
    <cellStyle name="Normal 4 2 2 3 6 2 4" xfId="28801" xr:uid="{F94E9B5C-8194-42BF-AE96-CC40B938651F}"/>
    <cellStyle name="Normal 4 2 2 3 6 2 5" xfId="11913" xr:uid="{DB1510B2-7136-4978-B29F-6F5D34479DAD}"/>
    <cellStyle name="Normal 4 2 2 3 6 3" xfId="5544" xr:uid="{00000000-0005-0000-0000-000087120000}"/>
    <cellStyle name="Normal 4 2 2 3 6 3 2" xfId="22427" xr:uid="{0A446857-F9B1-468F-9A74-FA9C42BABEFB}"/>
    <cellStyle name="Normal 4 2 2 3 6 3 3" xfId="30873" xr:uid="{0209432D-B2EA-4C3E-8484-8F7F25927201}"/>
    <cellStyle name="Normal 4 2 2 3 6 3 4" xfId="13986" xr:uid="{1331028F-67ED-479A-857B-5C603E6F0B33}"/>
    <cellStyle name="Normal 4 2 2 3 6 4" xfId="18209" xr:uid="{68D46963-829B-4B7E-9DBF-432BF7937DA4}"/>
    <cellStyle name="Normal 4 2 2 3 6 5" xfId="26654" xr:uid="{05142AA4-71B0-4104-A3AB-FA677A96B58E}"/>
    <cellStyle name="Normal 4 2 2 3 6 6" xfId="9768" xr:uid="{0170268A-8D68-4E6F-A2DD-2EA426F4E3E7}"/>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24985" xr:uid="{57EA1971-E767-41AF-9430-E54F606ADC30}"/>
    <cellStyle name="Normal 4 2 2 3 7 2 2 3" xfId="33431" xr:uid="{B47518BE-7232-4C9B-9C31-25C724EC83CA}"/>
    <cellStyle name="Normal 4 2 2 3 7 2 2 4" xfId="16544" xr:uid="{97B7675F-C79E-4368-A315-CA77756FDCA3}"/>
    <cellStyle name="Normal 4 2 2 3 7 2 3" xfId="20767" xr:uid="{68F7ABCE-656D-4DA1-90BE-DDB1FE01CFA4}"/>
    <cellStyle name="Normal 4 2 2 3 7 2 4" xfId="29214" xr:uid="{AECC1D81-E130-47DA-A611-14AB2BD14EE7}"/>
    <cellStyle name="Normal 4 2 2 3 7 2 5" xfId="12326" xr:uid="{FD366C9D-644F-431D-8A3E-7C527BF7EF25}"/>
    <cellStyle name="Normal 4 2 2 3 7 3" xfId="5957" xr:uid="{00000000-0005-0000-0000-00008B120000}"/>
    <cellStyle name="Normal 4 2 2 3 7 3 2" xfId="22840" xr:uid="{6B286741-F4D2-4266-9665-7B95B77838F1}"/>
    <cellStyle name="Normal 4 2 2 3 7 3 3" xfId="31286" xr:uid="{8502D5A8-16D4-4AFA-994B-2FC281B31CAD}"/>
    <cellStyle name="Normal 4 2 2 3 7 3 4" xfId="14399" xr:uid="{C1A7AC69-A4E3-4A32-8858-41270D9C9AF2}"/>
    <cellStyle name="Normal 4 2 2 3 7 4" xfId="18622" xr:uid="{D09F0FDD-7EEA-4E0F-A1D5-B407EA259259}"/>
    <cellStyle name="Normal 4 2 2 3 7 5" xfId="27067" xr:uid="{74B462F8-D6E7-49C6-82EC-95BC97C4848F}"/>
    <cellStyle name="Normal 4 2 2 3 7 6" xfId="10181" xr:uid="{4F88C926-C474-4E54-AB90-2347CE813E48}"/>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25398" xr:uid="{13B2A708-D5E5-49BE-BB46-23DE1D690988}"/>
    <cellStyle name="Normal 4 2 2 3 8 2 2 3" xfId="33844" xr:uid="{EE23053C-3483-4EC9-927B-1A93A46FADF4}"/>
    <cellStyle name="Normal 4 2 2 3 8 2 2 4" xfId="16957" xr:uid="{5A6AE824-BB59-4F54-8D3B-3E8CA0D2534D}"/>
    <cellStyle name="Normal 4 2 2 3 8 2 3" xfId="21180" xr:uid="{3AD2D28F-F684-4A00-B9A9-62B86E418C55}"/>
    <cellStyle name="Normal 4 2 2 3 8 2 4" xfId="29627" xr:uid="{D3C96330-284B-456B-A974-0F99F513A541}"/>
    <cellStyle name="Normal 4 2 2 3 8 2 5" xfId="12739" xr:uid="{6A3CA80F-BAA5-45C1-B9FF-F3A97821FD26}"/>
    <cellStyle name="Normal 4 2 2 3 8 3" xfId="6370" xr:uid="{00000000-0005-0000-0000-00008F120000}"/>
    <cellStyle name="Normal 4 2 2 3 8 3 2" xfId="23253" xr:uid="{1D41C127-7995-4105-B5C1-9B180CC871B0}"/>
    <cellStyle name="Normal 4 2 2 3 8 3 3" xfId="31699" xr:uid="{49547752-4A03-4921-985D-D994E63A07C5}"/>
    <cellStyle name="Normal 4 2 2 3 8 3 4" xfId="14812" xr:uid="{DA453831-0FAC-44D9-BF61-250108FA210F}"/>
    <cellStyle name="Normal 4 2 2 3 8 4" xfId="19035" xr:uid="{5A90C2AE-6FA9-4A6D-9E3E-64FA5DC91460}"/>
    <cellStyle name="Normal 4 2 2 3 8 5" xfId="27480" xr:uid="{BC3F0D3C-67B2-4063-AD0E-9D649BF0B13C}"/>
    <cellStyle name="Normal 4 2 2 3 8 6" xfId="10594" xr:uid="{3845396A-4512-4CF1-8352-E5C3415AAB32}"/>
    <cellStyle name="Normal 4 2 2 3 9" xfId="2499" xr:uid="{00000000-0005-0000-0000-000090120000}"/>
    <cellStyle name="Normal 4 2 2 3 9 2" xfId="6783" xr:uid="{00000000-0005-0000-0000-000091120000}"/>
    <cellStyle name="Normal 4 2 2 3 9 2 2" xfId="23666" xr:uid="{7FAF4A16-EA29-4D14-9C22-28733BBB2861}"/>
    <cellStyle name="Normal 4 2 2 3 9 2 3" xfId="32112" xr:uid="{F8E8698D-F6EB-4845-80B4-28E6A4197DBE}"/>
    <cellStyle name="Normal 4 2 2 3 9 2 4" xfId="15225" xr:uid="{17993B79-3409-4492-BCD5-F773C3A9D6F4}"/>
    <cellStyle name="Normal 4 2 2 3 9 3" xfId="19448" xr:uid="{53EA9914-1465-4D8C-8DFC-EF46070D5B57}"/>
    <cellStyle name="Normal 4 2 2 3 9 4" xfId="27893" xr:uid="{F8CA7CFF-7A10-4786-87E9-EA255B2BDC4D}"/>
    <cellStyle name="Normal 4 2 2 3 9 5" xfId="11007" xr:uid="{1BAA8E59-44E7-4148-BD96-93A61EA35D96}"/>
    <cellStyle name="Normal 4 2 2 4" xfId="347" xr:uid="{00000000-0005-0000-0000-000092120000}"/>
    <cellStyle name="Normal 4 2 2 4 10" xfId="17391" xr:uid="{23AC38A1-4859-4938-9CC7-119F642D48A1}"/>
    <cellStyle name="Normal 4 2 2 4 11" xfId="25835" xr:uid="{C78BE0F0-D9B1-4880-B9B7-83D154D62B29}"/>
    <cellStyle name="Normal 4 2 2 4 12" xfId="8950" xr:uid="{39138904-5D45-4820-994C-4F2A6E43DE1E}"/>
    <cellStyle name="Normal 4 2 2 4 2" xfId="348" xr:uid="{00000000-0005-0000-0000-000093120000}"/>
    <cellStyle name="Normal 4 2 2 4 2 10" xfId="25836" xr:uid="{3F476CCE-0B7A-493C-AD67-EB475D4EAB18}"/>
    <cellStyle name="Normal 4 2 2 4 2 11" xfId="8951" xr:uid="{EB8FF4BB-CCBA-43EE-98F7-81DC9F9048B5}"/>
    <cellStyle name="Normal 4 2 2 4 2 2" xfId="349" xr:uid="{00000000-0005-0000-0000-000094120000}"/>
    <cellStyle name="Normal 4 2 2 4 2 2 10" xfId="8952" xr:uid="{9A2C587D-3FBB-4D54-9331-864A89E0A541}"/>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24169" xr:uid="{430FC952-B83C-45F4-9C0C-AD4320F699BA}"/>
    <cellStyle name="Normal 4 2 2 4 2 2 2 2 2 3" xfId="32615" xr:uid="{903B04CD-5547-4F07-9DED-DAFE33E67F13}"/>
    <cellStyle name="Normal 4 2 2 4 2 2 2 2 2 4" xfId="15728" xr:uid="{2F322C5B-7EE3-4126-BA12-C39C1306E1DB}"/>
    <cellStyle name="Normal 4 2 2 4 2 2 2 2 3" xfId="19951" xr:uid="{6260961A-D0F9-49C3-9411-C4B3DE50D4FF}"/>
    <cellStyle name="Normal 4 2 2 4 2 2 2 2 4" xfId="28398" xr:uid="{FD0CEB64-8E3C-4DE3-BC77-BFF0A0E25D8F}"/>
    <cellStyle name="Normal 4 2 2 4 2 2 2 2 5" xfId="11510" xr:uid="{E8F735C9-8A85-4273-A0AD-6BBCC42B7967}"/>
    <cellStyle name="Normal 4 2 2 4 2 2 2 3" xfId="5141" xr:uid="{00000000-0005-0000-0000-000098120000}"/>
    <cellStyle name="Normal 4 2 2 4 2 2 2 3 2" xfId="22024" xr:uid="{AADA8A3E-ED2E-4C2A-A368-6DBE81879BDE}"/>
    <cellStyle name="Normal 4 2 2 4 2 2 2 3 3" xfId="30470" xr:uid="{6F4A63BF-CDCE-4477-9884-338165F6D674}"/>
    <cellStyle name="Normal 4 2 2 4 2 2 2 3 4" xfId="13583" xr:uid="{3F7940D2-9963-44A5-95DC-7924E62F9A63}"/>
    <cellStyle name="Normal 4 2 2 4 2 2 2 4" xfId="17806" xr:uid="{E7F281EA-CD56-4660-B469-3EA1D2D4EE58}"/>
    <cellStyle name="Normal 4 2 2 4 2 2 2 5" xfId="26251" xr:uid="{CC469334-1A94-4C92-8D8F-9AA6970CE00A}"/>
    <cellStyle name="Normal 4 2 2 4 2 2 2 6" xfId="9365" xr:uid="{63AC4F12-1DAC-4517-A6EF-FF1C1C5E832F}"/>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24582" xr:uid="{B6F3124E-359B-4386-A890-E00789D91112}"/>
    <cellStyle name="Normal 4 2 2 4 2 2 3 2 2 3" xfId="33028" xr:uid="{18D9C234-3AC6-4227-8167-C2403028D848}"/>
    <cellStyle name="Normal 4 2 2 4 2 2 3 2 2 4" xfId="16141" xr:uid="{4A7EABC7-D075-4DCF-B4D6-9EE7B15285B1}"/>
    <cellStyle name="Normal 4 2 2 4 2 2 3 2 3" xfId="20364" xr:uid="{B1F5B219-0C02-4AE3-958F-B98A8ADBF378}"/>
    <cellStyle name="Normal 4 2 2 4 2 2 3 2 4" xfId="28811" xr:uid="{13EE6133-2202-4C4D-8A70-DF40616F6BC6}"/>
    <cellStyle name="Normal 4 2 2 4 2 2 3 2 5" xfId="11923" xr:uid="{4F637935-EE36-4CC8-BE4F-F02588F8D424}"/>
    <cellStyle name="Normal 4 2 2 4 2 2 3 3" xfId="5554" xr:uid="{00000000-0005-0000-0000-00009C120000}"/>
    <cellStyle name="Normal 4 2 2 4 2 2 3 3 2" xfId="22437" xr:uid="{EB48088A-6654-43CA-B383-A70EC0F05412}"/>
    <cellStyle name="Normal 4 2 2 4 2 2 3 3 3" xfId="30883" xr:uid="{B6263F93-66BB-4420-96B8-3AEDA9825C90}"/>
    <cellStyle name="Normal 4 2 2 4 2 2 3 3 4" xfId="13996" xr:uid="{4361E0A8-BB74-44A5-936F-FF03D2F8642F}"/>
    <cellStyle name="Normal 4 2 2 4 2 2 3 4" xfId="18219" xr:uid="{2C210C68-F369-4C70-AB06-D34CD3625867}"/>
    <cellStyle name="Normal 4 2 2 4 2 2 3 5" xfId="26664" xr:uid="{85A3FCEF-7199-4D9C-AAAA-9BBDBC028CF9}"/>
    <cellStyle name="Normal 4 2 2 4 2 2 3 6" xfId="9778" xr:uid="{261C0E25-9FA0-4DB7-A121-98809F3F5E04}"/>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24995" xr:uid="{CAB46DCB-A501-49E4-BA8A-5BD433DDAF33}"/>
    <cellStyle name="Normal 4 2 2 4 2 2 4 2 2 3" xfId="33441" xr:uid="{09B4157C-5DA5-4A90-B41C-831344544C02}"/>
    <cellStyle name="Normal 4 2 2 4 2 2 4 2 2 4" xfId="16554" xr:uid="{EF58384F-242C-4EED-BA40-EF079D276265}"/>
    <cellStyle name="Normal 4 2 2 4 2 2 4 2 3" xfId="20777" xr:uid="{072135BA-6B4D-400F-91F2-AEB7E1EEE0E4}"/>
    <cellStyle name="Normal 4 2 2 4 2 2 4 2 4" xfId="29224" xr:uid="{155D825D-8006-4DD9-842F-2CACC840CB26}"/>
    <cellStyle name="Normal 4 2 2 4 2 2 4 2 5" xfId="12336" xr:uid="{B151BEFA-BAC3-4409-B0D8-21F2DB170B95}"/>
    <cellStyle name="Normal 4 2 2 4 2 2 4 3" xfId="5967" xr:uid="{00000000-0005-0000-0000-0000A0120000}"/>
    <cellStyle name="Normal 4 2 2 4 2 2 4 3 2" xfId="22850" xr:uid="{8F532370-44DB-4C42-AA84-2B269573438D}"/>
    <cellStyle name="Normal 4 2 2 4 2 2 4 3 3" xfId="31296" xr:uid="{6A7CF11A-B789-4B5F-B586-A53521EC32FD}"/>
    <cellStyle name="Normal 4 2 2 4 2 2 4 3 4" xfId="14409" xr:uid="{9273EE50-B343-401B-8EAD-63CBA2C66A25}"/>
    <cellStyle name="Normal 4 2 2 4 2 2 4 4" xfId="18632" xr:uid="{41D65D00-FD78-44BF-AEAF-D8C2686A6AE5}"/>
    <cellStyle name="Normal 4 2 2 4 2 2 4 5" xfId="27077" xr:uid="{08E640A9-F249-477A-8C5C-8E36FCF5A1BA}"/>
    <cellStyle name="Normal 4 2 2 4 2 2 4 6" xfId="10191" xr:uid="{4712629C-10E6-40A3-B2FE-C650BEB76556}"/>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25408" xr:uid="{A53979C8-8376-4E2D-9D6F-70EDFD10CC10}"/>
    <cellStyle name="Normal 4 2 2 4 2 2 5 2 2 3" xfId="33854" xr:uid="{8784A705-3094-4826-82D3-A5507C924B22}"/>
    <cellStyle name="Normal 4 2 2 4 2 2 5 2 2 4" xfId="16967" xr:uid="{4553BD26-1199-461A-829D-BA98D1D9FE17}"/>
    <cellStyle name="Normal 4 2 2 4 2 2 5 2 3" xfId="21190" xr:uid="{F7B32E3B-1F1F-4C82-85E6-8850389A9936}"/>
    <cellStyle name="Normal 4 2 2 4 2 2 5 2 4" xfId="29637" xr:uid="{7987ADED-014C-41DF-9EA9-8F5BC7C8DC40}"/>
    <cellStyle name="Normal 4 2 2 4 2 2 5 2 5" xfId="12749" xr:uid="{938C6FAF-8255-42DF-B2D2-E2B1CE3D5ED2}"/>
    <cellStyle name="Normal 4 2 2 4 2 2 5 3" xfId="6380" xr:uid="{00000000-0005-0000-0000-0000A4120000}"/>
    <cellStyle name="Normal 4 2 2 4 2 2 5 3 2" xfId="23263" xr:uid="{98C6ED8F-AB4B-4265-91E1-A7D39ADEC527}"/>
    <cellStyle name="Normal 4 2 2 4 2 2 5 3 3" xfId="31709" xr:uid="{32A5B1CC-110A-479B-A6D9-55238A57E812}"/>
    <cellStyle name="Normal 4 2 2 4 2 2 5 3 4" xfId="14822" xr:uid="{7399B8E0-040D-4113-83B7-DFE725574747}"/>
    <cellStyle name="Normal 4 2 2 4 2 2 5 4" xfId="19045" xr:uid="{01806E1D-175D-48FC-BC6D-40A670E96736}"/>
    <cellStyle name="Normal 4 2 2 4 2 2 5 5" xfId="27490" xr:uid="{A3D72C9A-FB0E-48AC-9E07-154A7A687D21}"/>
    <cellStyle name="Normal 4 2 2 4 2 2 5 6" xfId="10604" xr:uid="{A007000A-9684-4E3D-9548-A5C6C65BA8AB}"/>
    <cellStyle name="Normal 4 2 2 4 2 2 6" xfId="2509" xr:uid="{00000000-0005-0000-0000-0000A5120000}"/>
    <cellStyle name="Normal 4 2 2 4 2 2 6 2" xfId="6793" xr:uid="{00000000-0005-0000-0000-0000A6120000}"/>
    <cellStyle name="Normal 4 2 2 4 2 2 6 2 2" xfId="23676" xr:uid="{43360100-1F61-4A96-AB61-59000FE929A6}"/>
    <cellStyle name="Normal 4 2 2 4 2 2 6 2 3" xfId="32122" xr:uid="{4B6C4B4C-3D2D-41F6-BEE1-71190530AFFD}"/>
    <cellStyle name="Normal 4 2 2 4 2 2 6 2 4" xfId="15235" xr:uid="{5A222539-1FEA-4C7B-84EB-C6F3DA2A4989}"/>
    <cellStyle name="Normal 4 2 2 4 2 2 6 3" xfId="19458" xr:uid="{38C4DA58-2BCE-43DB-AA17-CDBD55CC45B8}"/>
    <cellStyle name="Normal 4 2 2 4 2 2 6 4" xfId="27903" xr:uid="{AFC2BCC7-B974-4A6A-80A1-09BBB3A4FAB3}"/>
    <cellStyle name="Normal 4 2 2 4 2 2 6 5" xfId="11017" xr:uid="{AFC04866-3FCD-424E-BDD1-67F2F1CCCE81}"/>
    <cellStyle name="Normal 4 2 2 4 2 2 7" xfId="4728" xr:uid="{00000000-0005-0000-0000-0000A7120000}"/>
    <cellStyle name="Normal 4 2 2 4 2 2 7 2" xfId="21611" xr:uid="{11483ED7-95E6-4C7F-81D9-C260742D3C2A}"/>
    <cellStyle name="Normal 4 2 2 4 2 2 7 3" xfId="30057" xr:uid="{14C9B655-C617-4F45-BC2D-1D3146801C0D}"/>
    <cellStyle name="Normal 4 2 2 4 2 2 7 4" xfId="13170" xr:uid="{34648C7A-0AFA-4752-9F64-2E4CABF65789}"/>
    <cellStyle name="Normal 4 2 2 4 2 2 8" xfId="17393" xr:uid="{CBCC48F6-BCB1-4BA2-987F-2F75FFC1915E}"/>
    <cellStyle name="Normal 4 2 2 4 2 2 9" xfId="25837" xr:uid="{67EFC06F-A453-4AF5-B12A-D2C34FE16212}"/>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24168" xr:uid="{1E7632DD-965F-4347-856E-D0615714B1FE}"/>
    <cellStyle name="Normal 4 2 2 4 2 3 2 2 3" xfId="32614" xr:uid="{0FFBA4C7-0F4A-435D-BD61-995A861DD427}"/>
    <cellStyle name="Normal 4 2 2 4 2 3 2 2 4" xfId="15727" xr:uid="{726A7869-2027-4154-90B7-C216BBEDBEC5}"/>
    <cellStyle name="Normal 4 2 2 4 2 3 2 3" xfId="19950" xr:uid="{5B242D19-043E-4D66-B96C-D59D431602F4}"/>
    <cellStyle name="Normal 4 2 2 4 2 3 2 4" xfId="28397" xr:uid="{E210550F-5EE0-4680-853E-04607AA23E66}"/>
    <cellStyle name="Normal 4 2 2 4 2 3 2 5" xfId="11509" xr:uid="{ECD80FD8-758B-4C77-A5D6-EEC453B18401}"/>
    <cellStyle name="Normal 4 2 2 4 2 3 3" xfId="5140" xr:uid="{00000000-0005-0000-0000-0000AB120000}"/>
    <cellStyle name="Normal 4 2 2 4 2 3 3 2" xfId="22023" xr:uid="{BDB0FAD2-95AB-4375-B679-28C26043488D}"/>
    <cellStyle name="Normal 4 2 2 4 2 3 3 3" xfId="30469" xr:uid="{D7BA447E-6BF4-41BF-948A-729E88F3D71E}"/>
    <cellStyle name="Normal 4 2 2 4 2 3 3 4" xfId="13582" xr:uid="{73584C4E-BE9B-4795-8B22-F308A840CC00}"/>
    <cellStyle name="Normal 4 2 2 4 2 3 4" xfId="17805" xr:uid="{9F1986BB-944B-4ADB-AACD-53C53D1F5D41}"/>
    <cellStyle name="Normal 4 2 2 4 2 3 5" xfId="26250" xr:uid="{11D8DA14-40B4-4C40-B6AE-98BE4E9DD693}"/>
    <cellStyle name="Normal 4 2 2 4 2 3 6" xfId="9364" xr:uid="{A4F83DE6-85DA-486C-A6B6-D2DA24BFA788}"/>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24581" xr:uid="{BF7D08FE-D927-4255-B785-BF296D1A7932}"/>
    <cellStyle name="Normal 4 2 2 4 2 4 2 2 3" xfId="33027" xr:uid="{2681ED4E-0E5E-4135-B242-CC06B343B7CB}"/>
    <cellStyle name="Normal 4 2 2 4 2 4 2 2 4" xfId="16140" xr:uid="{95DA33A3-D294-48C5-BFAE-DFDCEE8C12AF}"/>
    <cellStyle name="Normal 4 2 2 4 2 4 2 3" xfId="20363" xr:uid="{83D1C652-DC16-46D8-A5FA-E91D141EF41B}"/>
    <cellStyle name="Normal 4 2 2 4 2 4 2 4" xfId="28810" xr:uid="{C627809E-3FC4-4905-9DA2-97F7584C84A2}"/>
    <cellStyle name="Normal 4 2 2 4 2 4 2 5" xfId="11922" xr:uid="{7606E571-D277-425F-95C8-115963ADDDB2}"/>
    <cellStyle name="Normal 4 2 2 4 2 4 3" xfId="5553" xr:uid="{00000000-0005-0000-0000-0000AF120000}"/>
    <cellStyle name="Normal 4 2 2 4 2 4 3 2" xfId="22436" xr:uid="{9B22BE3C-C092-4B86-A3C7-583AFFC57EB4}"/>
    <cellStyle name="Normal 4 2 2 4 2 4 3 3" xfId="30882" xr:uid="{27344AC1-FE03-450B-B194-7C1FAB2E642C}"/>
    <cellStyle name="Normal 4 2 2 4 2 4 3 4" xfId="13995" xr:uid="{1D892D3F-0272-44D9-8C4D-85266E86991B}"/>
    <cellStyle name="Normal 4 2 2 4 2 4 4" xfId="18218" xr:uid="{0117467C-FCA9-4726-A024-9C2BFBD6C38D}"/>
    <cellStyle name="Normal 4 2 2 4 2 4 5" xfId="26663" xr:uid="{023D098B-07F3-4759-A5CA-3CBB96DFD68B}"/>
    <cellStyle name="Normal 4 2 2 4 2 4 6" xfId="9777" xr:uid="{5C00F23C-6CB1-4AAA-A036-A488EFE1260D}"/>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24994" xr:uid="{13F3E77E-A155-4A5F-9B3D-44D8C0D06ECE}"/>
    <cellStyle name="Normal 4 2 2 4 2 5 2 2 3" xfId="33440" xr:uid="{A6F9CE90-A534-4511-801E-758D357F48BB}"/>
    <cellStyle name="Normal 4 2 2 4 2 5 2 2 4" xfId="16553" xr:uid="{47B2C992-D46A-47A9-869C-D1F05FBD2B7B}"/>
    <cellStyle name="Normal 4 2 2 4 2 5 2 3" xfId="20776" xr:uid="{9AEE6AE0-30AB-4C62-B192-BDD21EE1F67B}"/>
    <cellStyle name="Normal 4 2 2 4 2 5 2 4" xfId="29223" xr:uid="{A678C454-4EFD-4B35-924D-951DE913CE55}"/>
    <cellStyle name="Normal 4 2 2 4 2 5 2 5" xfId="12335" xr:uid="{376F5F04-2C23-4725-A00F-7001CFCF9F00}"/>
    <cellStyle name="Normal 4 2 2 4 2 5 3" xfId="5966" xr:uid="{00000000-0005-0000-0000-0000B3120000}"/>
    <cellStyle name="Normal 4 2 2 4 2 5 3 2" xfId="22849" xr:uid="{4C8305B9-BFAD-41E0-8959-F84F575E35ED}"/>
    <cellStyle name="Normal 4 2 2 4 2 5 3 3" xfId="31295" xr:uid="{C715C276-D83C-480C-8621-9FC59BC7E33E}"/>
    <cellStyle name="Normal 4 2 2 4 2 5 3 4" xfId="14408" xr:uid="{8B73C4DD-360F-44AA-B950-AF818CC0B449}"/>
    <cellStyle name="Normal 4 2 2 4 2 5 4" xfId="18631" xr:uid="{689C4A71-4237-440D-A8F8-1FB773717FA9}"/>
    <cellStyle name="Normal 4 2 2 4 2 5 5" xfId="27076" xr:uid="{E5D6CEB8-EBD7-47EF-A675-5C9A28AB290E}"/>
    <cellStyle name="Normal 4 2 2 4 2 5 6" xfId="10190" xr:uid="{AA291BD6-4309-4447-8692-0D34DCA6E35D}"/>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25407" xr:uid="{F502B473-FC91-46B6-AC8F-A99383F31324}"/>
    <cellStyle name="Normal 4 2 2 4 2 6 2 2 3" xfId="33853" xr:uid="{18F623F0-99AC-4FF8-81E7-280E9BB2AA15}"/>
    <cellStyle name="Normal 4 2 2 4 2 6 2 2 4" xfId="16966" xr:uid="{65FAC82C-96E9-4C37-8AC4-C88716E8AFC4}"/>
    <cellStyle name="Normal 4 2 2 4 2 6 2 3" xfId="21189" xr:uid="{6044D50A-A4FD-4BEA-9156-BD4BB041366A}"/>
    <cellStyle name="Normal 4 2 2 4 2 6 2 4" xfId="29636" xr:uid="{E07B6B03-F913-45E9-B62E-015C85821B9F}"/>
    <cellStyle name="Normal 4 2 2 4 2 6 2 5" xfId="12748" xr:uid="{B03CFD6F-B2F7-461C-9A97-230E025CA576}"/>
    <cellStyle name="Normal 4 2 2 4 2 6 3" xfId="6379" xr:uid="{00000000-0005-0000-0000-0000B7120000}"/>
    <cellStyle name="Normal 4 2 2 4 2 6 3 2" xfId="23262" xr:uid="{4213D8CD-8DAC-4A0C-9E6E-81E64BC48B91}"/>
    <cellStyle name="Normal 4 2 2 4 2 6 3 3" xfId="31708" xr:uid="{85B7E468-2641-475F-BBAF-434E07220C0A}"/>
    <cellStyle name="Normal 4 2 2 4 2 6 3 4" xfId="14821" xr:uid="{0D0B62E0-5E8B-4E83-9F15-8CFD54FE8EE4}"/>
    <cellStyle name="Normal 4 2 2 4 2 6 4" xfId="19044" xr:uid="{2D189D02-DE41-4F3B-8008-BBA6759DADDA}"/>
    <cellStyle name="Normal 4 2 2 4 2 6 5" xfId="27489" xr:uid="{98B72228-9952-4246-AEE1-91E6CCA8B571}"/>
    <cellStyle name="Normal 4 2 2 4 2 6 6" xfId="10603" xr:uid="{A45A8E33-923A-4CD3-80CF-06E171E5D815}"/>
    <cellStyle name="Normal 4 2 2 4 2 7" xfId="2508" xr:uid="{00000000-0005-0000-0000-0000B8120000}"/>
    <cellStyle name="Normal 4 2 2 4 2 7 2" xfId="6792" xr:uid="{00000000-0005-0000-0000-0000B9120000}"/>
    <cellStyle name="Normal 4 2 2 4 2 7 2 2" xfId="23675" xr:uid="{D1F4DA21-204D-48C0-8606-81B545229405}"/>
    <cellStyle name="Normal 4 2 2 4 2 7 2 3" xfId="32121" xr:uid="{E4AAA17F-BC15-4716-941A-BA84DC93FDDF}"/>
    <cellStyle name="Normal 4 2 2 4 2 7 2 4" xfId="15234" xr:uid="{E6FFB6CD-7B4B-4C4E-9878-710B93E808BB}"/>
    <cellStyle name="Normal 4 2 2 4 2 7 3" xfId="19457" xr:uid="{96CE66EB-9629-4806-AFE3-1EE656D35440}"/>
    <cellStyle name="Normal 4 2 2 4 2 7 4" xfId="27902" xr:uid="{B8C8F34C-AF83-4A71-9C10-95B2D716CA9A}"/>
    <cellStyle name="Normal 4 2 2 4 2 7 5" xfId="11016" xr:uid="{CEBC392C-D080-4473-8A37-DF64D14DA872}"/>
    <cellStyle name="Normal 4 2 2 4 2 8" xfId="4727" xr:uid="{00000000-0005-0000-0000-0000BA120000}"/>
    <cellStyle name="Normal 4 2 2 4 2 8 2" xfId="21610" xr:uid="{AC19DACD-E352-4C96-832D-0FB002C43A53}"/>
    <cellStyle name="Normal 4 2 2 4 2 8 3" xfId="30056" xr:uid="{FC1225CC-5594-4E77-A797-9320AE9C1978}"/>
    <cellStyle name="Normal 4 2 2 4 2 8 4" xfId="13169" xr:uid="{BEAD333D-EDCD-4E28-ACDF-27A9CECC93E3}"/>
    <cellStyle name="Normal 4 2 2 4 2 9" xfId="17392" xr:uid="{81AD91D8-4B9A-46BF-A736-2E97693BAD99}"/>
    <cellStyle name="Normal 4 2 2 4 3" xfId="350" xr:uid="{00000000-0005-0000-0000-0000BB120000}"/>
    <cellStyle name="Normal 4 2 2 4 3 10" xfId="8953" xr:uid="{3AC278D6-CB6E-45EE-B172-7967735C5076}"/>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24170" xr:uid="{5B2C95DF-829C-4662-AFDB-FEF1607779EE}"/>
    <cellStyle name="Normal 4 2 2 4 3 2 2 2 3" xfId="32616" xr:uid="{1E46E8F8-7B9F-417B-8AA6-2CB005F6ACD9}"/>
    <cellStyle name="Normal 4 2 2 4 3 2 2 2 4" xfId="15729" xr:uid="{B3F58525-CA75-417B-9D73-683EB2943148}"/>
    <cellStyle name="Normal 4 2 2 4 3 2 2 3" xfId="19952" xr:uid="{FE333A1C-4169-4933-A600-EC26B8ED6385}"/>
    <cellStyle name="Normal 4 2 2 4 3 2 2 4" xfId="28399" xr:uid="{AE520A7C-5DCF-4F43-B220-C63D06EBCF99}"/>
    <cellStyle name="Normal 4 2 2 4 3 2 2 5" xfId="11511" xr:uid="{3F9BEDB6-F1E6-4EAE-A697-1C42D42D0D51}"/>
    <cellStyle name="Normal 4 2 2 4 3 2 3" xfId="5142" xr:uid="{00000000-0005-0000-0000-0000BF120000}"/>
    <cellStyle name="Normal 4 2 2 4 3 2 3 2" xfId="22025" xr:uid="{A7631293-39B5-41EC-8678-1B000F0E3052}"/>
    <cellStyle name="Normal 4 2 2 4 3 2 3 3" xfId="30471" xr:uid="{CBD033EE-C98D-4985-B19F-74459D75EC4E}"/>
    <cellStyle name="Normal 4 2 2 4 3 2 3 4" xfId="13584" xr:uid="{D4025DD0-94A2-47B1-A85D-AAD16E024E4D}"/>
    <cellStyle name="Normal 4 2 2 4 3 2 4" xfId="17807" xr:uid="{389D3535-8216-402C-8375-3EFC6A7B2290}"/>
    <cellStyle name="Normal 4 2 2 4 3 2 5" xfId="26252" xr:uid="{25143935-7FF3-4156-9D7B-B32377665476}"/>
    <cellStyle name="Normal 4 2 2 4 3 2 6" xfId="9366" xr:uid="{D9A4F306-5EB1-40EB-BCA7-4EB32A257F2E}"/>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24583" xr:uid="{439349ED-EEBA-41D3-ACD2-A1F2E70D39A1}"/>
    <cellStyle name="Normal 4 2 2 4 3 3 2 2 3" xfId="33029" xr:uid="{98DE695F-9F30-45A4-827D-AF132CCFECE2}"/>
    <cellStyle name="Normal 4 2 2 4 3 3 2 2 4" xfId="16142" xr:uid="{9952D5E4-AEE1-4CE5-9005-F927838AE9D3}"/>
    <cellStyle name="Normal 4 2 2 4 3 3 2 3" xfId="20365" xr:uid="{4CC5633C-0D88-4A67-9C20-AEF9B2BCDD2A}"/>
    <cellStyle name="Normal 4 2 2 4 3 3 2 4" xfId="28812" xr:uid="{FEB1B894-F82A-4BE9-B8D2-8FDCDD2FCACA}"/>
    <cellStyle name="Normal 4 2 2 4 3 3 2 5" xfId="11924" xr:uid="{7F389004-DE91-403A-9204-2A80BD3D3EFC}"/>
    <cellStyle name="Normal 4 2 2 4 3 3 3" xfId="5555" xr:uid="{00000000-0005-0000-0000-0000C3120000}"/>
    <cellStyle name="Normal 4 2 2 4 3 3 3 2" xfId="22438" xr:uid="{FB8A235D-66B9-4514-9170-EE27671663E8}"/>
    <cellStyle name="Normal 4 2 2 4 3 3 3 3" xfId="30884" xr:uid="{ABCEE31A-93E3-44DA-BC57-BF11BB20C83C}"/>
    <cellStyle name="Normal 4 2 2 4 3 3 3 4" xfId="13997" xr:uid="{AB676BB9-34D0-46A9-A004-8B4049617EA1}"/>
    <cellStyle name="Normal 4 2 2 4 3 3 4" xfId="18220" xr:uid="{4DA197B6-0335-4CAD-B31A-662920F10D91}"/>
    <cellStyle name="Normal 4 2 2 4 3 3 5" xfId="26665" xr:uid="{B2BF0707-1AAD-4492-865B-153645CED752}"/>
    <cellStyle name="Normal 4 2 2 4 3 3 6" xfId="9779" xr:uid="{1BBCB1CE-4797-457F-8910-9B49322E5724}"/>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24996" xr:uid="{C44D5C47-13EB-4178-8024-77AA9CA6812C}"/>
    <cellStyle name="Normal 4 2 2 4 3 4 2 2 3" xfId="33442" xr:uid="{10B05BB1-CB89-4452-9056-9E6436CB61B1}"/>
    <cellStyle name="Normal 4 2 2 4 3 4 2 2 4" xfId="16555" xr:uid="{3196758F-5FEE-4410-88FC-FDF3EE92FA25}"/>
    <cellStyle name="Normal 4 2 2 4 3 4 2 3" xfId="20778" xr:uid="{F8B78209-7089-47E7-834A-AF954B1DA0FD}"/>
    <cellStyle name="Normal 4 2 2 4 3 4 2 4" xfId="29225" xr:uid="{9FACA2AD-A951-4E1A-B244-48362DF41C2E}"/>
    <cellStyle name="Normal 4 2 2 4 3 4 2 5" xfId="12337" xr:uid="{D750061D-9DF0-44AB-8268-43C617203C32}"/>
    <cellStyle name="Normal 4 2 2 4 3 4 3" xfId="5968" xr:uid="{00000000-0005-0000-0000-0000C7120000}"/>
    <cellStyle name="Normal 4 2 2 4 3 4 3 2" xfId="22851" xr:uid="{1B4F3532-7F58-4C17-8506-8776EEAB3D71}"/>
    <cellStyle name="Normal 4 2 2 4 3 4 3 3" xfId="31297" xr:uid="{5E401486-C7E3-4C26-BB66-601369DE17ED}"/>
    <cellStyle name="Normal 4 2 2 4 3 4 3 4" xfId="14410" xr:uid="{5DC99A0F-7B31-4A55-A253-0B1643B02484}"/>
    <cellStyle name="Normal 4 2 2 4 3 4 4" xfId="18633" xr:uid="{7ACFE9B4-2D5D-49FB-9063-CC778479721B}"/>
    <cellStyle name="Normal 4 2 2 4 3 4 5" xfId="27078" xr:uid="{B8912F70-78C6-4C9C-982B-B78F8470C00D}"/>
    <cellStyle name="Normal 4 2 2 4 3 4 6" xfId="10192" xr:uid="{E798CF25-85FD-4336-8A83-D6132B47CBB8}"/>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25409" xr:uid="{CD52458D-0340-4041-9688-3279ECC4CA38}"/>
    <cellStyle name="Normal 4 2 2 4 3 5 2 2 3" xfId="33855" xr:uid="{05478FD2-A47C-458A-814A-44E7558A19D1}"/>
    <cellStyle name="Normal 4 2 2 4 3 5 2 2 4" xfId="16968" xr:uid="{9CC1668A-7303-445F-B1DB-9B856BE32719}"/>
    <cellStyle name="Normal 4 2 2 4 3 5 2 3" xfId="21191" xr:uid="{4E7B0C45-28DD-4C76-9DEF-F7FFB14AB780}"/>
    <cellStyle name="Normal 4 2 2 4 3 5 2 4" xfId="29638" xr:uid="{76538442-4D0F-433D-A1B5-F60B359D633B}"/>
    <cellStyle name="Normal 4 2 2 4 3 5 2 5" xfId="12750" xr:uid="{E2CA0D13-6626-49BF-B282-150A03F08919}"/>
    <cellStyle name="Normal 4 2 2 4 3 5 3" xfId="6381" xr:uid="{00000000-0005-0000-0000-0000CB120000}"/>
    <cellStyle name="Normal 4 2 2 4 3 5 3 2" xfId="23264" xr:uid="{091821B8-F689-46EB-991F-3EDD36A96804}"/>
    <cellStyle name="Normal 4 2 2 4 3 5 3 3" xfId="31710" xr:uid="{02C712E8-9916-4DF7-9A9A-5DDA6FCA721E}"/>
    <cellStyle name="Normal 4 2 2 4 3 5 3 4" xfId="14823" xr:uid="{FCBFD23C-14EE-4B88-9643-059EC133909A}"/>
    <cellStyle name="Normal 4 2 2 4 3 5 4" xfId="19046" xr:uid="{981B8EC2-B28F-4B04-B237-FCD2204637CA}"/>
    <cellStyle name="Normal 4 2 2 4 3 5 5" xfId="27491" xr:uid="{23343EB5-03DE-4A7F-936A-4ADB7EE20759}"/>
    <cellStyle name="Normal 4 2 2 4 3 5 6" xfId="10605" xr:uid="{62F2111D-5431-479D-9268-03BA4D44F687}"/>
    <cellStyle name="Normal 4 2 2 4 3 6" xfId="2510" xr:uid="{00000000-0005-0000-0000-0000CC120000}"/>
    <cellStyle name="Normal 4 2 2 4 3 6 2" xfId="6794" xr:uid="{00000000-0005-0000-0000-0000CD120000}"/>
    <cellStyle name="Normal 4 2 2 4 3 6 2 2" xfId="23677" xr:uid="{59FCE4F7-C65E-49FD-B18A-24336B7425D7}"/>
    <cellStyle name="Normal 4 2 2 4 3 6 2 3" xfId="32123" xr:uid="{9514F86A-7A52-4C4F-AD54-4F287970EF80}"/>
    <cellStyle name="Normal 4 2 2 4 3 6 2 4" xfId="15236" xr:uid="{3BA30042-4353-4BA3-85F8-31A4C7BA99B8}"/>
    <cellStyle name="Normal 4 2 2 4 3 6 3" xfId="19459" xr:uid="{602B0599-3794-4F62-91E1-F2B2C891715E}"/>
    <cellStyle name="Normal 4 2 2 4 3 6 4" xfId="27904" xr:uid="{36EF4699-D0F0-43A5-A89C-F929B7566F82}"/>
    <cellStyle name="Normal 4 2 2 4 3 6 5" xfId="11018" xr:uid="{9E9F3CBA-E51D-40D2-83F8-2F8A8322B52B}"/>
    <cellStyle name="Normal 4 2 2 4 3 7" xfId="4729" xr:uid="{00000000-0005-0000-0000-0000CE120000}"/>
    <cellStyle name="Normal 4 2 2 4 3 7 2" xfId="21612" xr:uid="{76B997E4-CA2B-4D2F-BAE9-3AAF8BE37977}"/>
    <cellStyle name="Normal 4 2 2 4 3 7 3" xfId="30058" xr:uid="{68944571-5E71-4696-8CFB-0A0FFC0731D3}"/>
    <cellStyle name="Normal 4 2 2 4 3 7 4" xfId="13171" xr:uid="{EA82589A-B56A-4852-AFA3-D2BF972910B7}"/>
    <cellStyle name="Normal 4 2 2 4 3 8" xfId="17394" xr:uid="{C5C08895-121A-455E-BBA8-4A56CFBDD256}"/>
    <cellStyle name="Normal 4 2 2 4 3 9" xfId="25838" xr:uid="{051C3273-BA87-4BCB-AF09-1C22448DAACA}"/>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24167" xr:uid="{FC2FFC1A-FC37-4366-9D5B-5A4EF522510E}"/>
    <cellStyle name="Normal 4 2 2 4 4 2 2 3" xfId="32613" xr:uid="{B189EA92-FF53-4DDD-8077-A9EC7FE4DB7B}"/>
    <cellStyle name="Normal 4 2 2 4 4 2 2 4" xfId="15726" xr:uid="{1A99C1D1-6C9D-4143-A39C-DE9BE1AFCE27}"/>
    <cellStyle name="Normal 4 2 2 4 4 2 3" xfId="19949" xr:uid="{AB03BB5E-8BFE-4519-AAEF-3BCE76B67A29}"/>
    <cellStyle name="Normal 4 2 2 4 4 2 4" xfId="28396" xr:uid="{B937E413-4F5F-4C35-AA28-822B9B216A04}"/>
    <cellStyle name="Normal 4 2 2 4 4 2 5" xfId="11508" xr:uid="{18094A1B-D3C6-4B29-994E-3CC9050C3B51}"/>
    <cellStyle name="Normal 4 2 2 4 4 3" xfId="5139" xr:uid="{00000000-0005-0000-0000-0000D2120000}"/>
    <cellStyle name="Normal 4 2 2 4 4 3 2" xfId="22022" xr:uid="{5063F28A-C15A-4C5E-9838-3AD660C00237}"/>
    <cellStyle name="Normal 4 2 2 4 4 3 3" xfId="30468" xr:uid="{78F02D59-FAB8-453B-AB57-8D7FF013641A}"/>
    <cellStyle name="Normal 4 2 2 4 4 3 4" xfId="13581" xr:uid="{AD17F74F-CDFB-4F47-9775-1F25F4D9907E}"/>
    <cellStyle name="Normal 4 2 2 4 4 4" xfId="17804" xr:uid="{472CB042-2102-489B-A656-74A18727CA4E}"/>
    <cellStyle name="Normal 4 2 2 4 4 5" xfId="26249" xr:uid="{9EAE5C33-056E-4D36-B67E-07F5255A472D}"/>
    <cellStyle name="Normal 4 2 2 4 4 6" xfId="9363" xr:uid="{22EA3338-2358-47B6-9318-D8372AFBD095}"/>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24580" xr:uid="{8F1ECA1B-8196-4E3A-9EE5-EEC2EA4BE2D6}"/>
    <cellStyle name="Normal 4 2 2 4 5 2 2 3" xfId="33026" xr:uid="{3D00A53D-F2FF-407B-B7E6-23B0593F054C}"/>
    <cellStyle name="Normal 4 2 2 4 5 2 2 4" xfId="16139" xr:uid="{6454667A-E49F-41BB-88B5-7736CAC17F1F}"/>
    <cellStyle name="Normal 4 2 2 4 5 2 3" xfId="20362" xr:uid="{5B0A2A84-7065-400A-A9EB-1638C1E52796}"/>
    <cellStyle name="Normal 4 2 2 4 5 2 4" xfId="28809" xr:uid="{2B3147D1-B6B5-47F8-A68B-C5D75BF35F58}"/>
    <cellStyle name="Normal 4 2 2 4 5 2 5" xfId="11921" xr:uid="{54765298-836F-43BC-941D-DC6D702BFC74}"/>
    <cellStyle name="Normal 4 2 2 4 5 3" xfId="5552" xr:uid="{00000000-0005-0000-0000-0000D6120000}"/>
    <cellStyle name="Normal 4 2 2 4 5 3 2" xfId="22435" xr:uid="{7E12DAAF-2294-41B6-BA60-2B3650E1F2CD}"/>
    <cellStyle name="Normal 4 2 2 4 5 3 3" xfId="30881" xr:uid="{C1233572-AAB6-4785-9BDC-A5F38EBA3E85}"/>
    <cellStyle name="Normal 4 2 2 4 5 3 4" xfId="13994" xr:uid="{F92D83B4-CF03-4F40-ADA4-A0B68B3ECBC1}"/>
    <cellStyle name="Normal 4 2 2 4 5 4" xfId="18217" xr:uid="{E2F625D0-C01F-401F-A25A-C1658517856E}"/>
    <cellStyle name="Normal 4 2 2 4 5 5" xfId="26662" xr:uid="{E7FD8DD0-952D-4F7B-A096-9D88523B8874}"/>
    <cellStyle name="Normal 4 2 2 4 5 6" xfId="9776" xr:uid="{0024D639-5128-4970-9760-D99F0B95A69F}"/>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24993" xr:uid="{58DE05B5-4E36-4AEA-A47B-EA20A66391FB}"/>
    <cellStyle name="Normal 4 2 2 4 6 2 2 3" xfId="33439" xr:uid="{B3C0DE21-206B-49F9-A645-382C67E145F1}"/>
    <cellStyle name="Normal 4 2 2 4 6 2 2 4" xfId="16552" xr:uid="{F351BB06-FBDE-40FB-9915-4C8B97B07E4F}"/>
    <cellStyle name="Normal 4 2 2 4 6 2 3" xfId="20775" xr:uid="{FD3E2AC9-38B3-4921-90D9-91380C6E1938}"/>
    <cellStyle name="Normal 4 2 2 4 6 2 4" xfId="29222" xr:uid="{FCA0DDE0-B84C-4CD2-B97A-813B53B70AC6}"/>
    <cellStyle name="Normal 4 2 2 4 6 2 5" xfId="12334" xr:uid="{4DFAFABC-961B-4EB9-956B-F5873501E766}"/>
    <cellStyle name="Normal 4 2 2 4 6 3" xfId="5965" xr:uid="{00000000-0005-0000-0000-0000DA120000}"/>
    <cellStyle name="Normal 4 2 2 4 6 3 2" xfId="22848" xr:uid="{096AEAD1-88F7-48CE-B560-3C2BD88952DE}"/>
    <cellStyle name="Normal 4 2 2 4 6 3 3" xfId="31294" xr:uid="{19773604-483C-4E37-A827-E1315FE25FAE}"/>
    <cellStyle name="Normal 4 2 2 4 6 3 4" xfId="14407" xr:uid="{BC2AD644-0876-4A75-A31D-8D17F7986B5D}"/>
    <cellStyle name="Normal 4 2 2 4 6 4" xfId="18630" xr:uid="{05844996-E06B-4016-B6BB-304F7CCC61EF}"/>
    <cellStyle name="Normal 4 2 2 4 6 5" xfId="27075" xr:uid="{A6E5664D-7E05-4BF7-A0BF-AC24FD1EBFDC}"/>
    <cellStyle name="Normal 4 2 2 4 6 6" xfId="10189" xr:uid="{54A3B85F-674F-4B21-A040-9CFC8BFCA571}"/>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25406" xr:uid="{5BCE2FD9-389C-4B9F-B222-EF88CC2EF66C}"/>
    <cellStyle name="Normal 4 2 2 4 7 2 2 3" xfId="33852" xr:uid="{EE936F81-3979-4A3E-939E-297DD385989A}"/>
    <cellStyle name="Normal 4 2 2 4 7 2 2 4" xfId="16965" xr:uid="{E5399C63-FB19-45E3-BB22-A07113BBD257}"/>
    <cellStyle name="Normal 4 2 2 4 7 2 3" xfId="21188" xr:uid="{F910AF52-3B1F-4412-A065-4E7D92522B00}"/>
    <cellStyle name="Normal 4 2 2 4 7 2 4" xfId="29635" xr:uid="{97982E06-3DA6-462E-9A4F-16526D26BFAC}"/>
    <cellStyle name="Normal 4 2 2 4 7 2 5" xfId="12747" xr:uid="{C6B85B0F-08CE-40E5-8295-1B044093DFC6}"/>
    <cellStyle name="Normal 4 2 2 4 7 3" xfId="6378" xr:uid="{00000000-0005-0000-0000-0000DE120000}"/>
    <cellStyle name="Normal 4 2 2 4 7 3 2" xfId="23261" xr:uid="{B455EB9F-784D-448E-B4E7-F0AAE17F176B}"/>
    <cellStyle name="Normal 4 2 2 4 7 3 3" xfId="31707" xr:uid="{46EDC385-885F-4DD1-8349-35060465FECD}"/>
    <cellStyle name="Normal 4 2 2 4 7 3 4" xfId="14820" xr:uid="{034DB53B-5112-4660-A2DF-BEF947357375}"/>
    <cellStyle name="Normal 4 2 2 4 7 4" xfId="19043" xr:uid="{7729E06C-88CB-4CF3-B541-3C7D3FB5DDAD}"/>
    <cellStyle name="Normal 4 2 2 4 7 5" xfId="27488" xr:uid="{731F1000-3B4E-439F-BCE2-327501C5CD19}"/>
    <cellStyle name="Normal 4 2 2 4 7 6" xfId="10602" xr:uid="{568030FD-F3F3-4035-BBA8-676D3D3C17FE}"/>
    <cellStyle name="Normal 4 2 2 4 8" xfId="2507" xr:uid="{00000000-0005-0000-0000-0000DF120000}"/>
    <cellStyle name="Normal 4 2 2 4 8 2" xfId="6791" xr:uid="{00000000-0005-0000-0000-0000E0120000}"/>
    <cellStyle name="Normal 4 2 2 4 8 2 2" xfId="23674" xr:uid="{53B5A71F-0ED2-40D4-9B48-866FD5CE816F}"/>
    <cellStyle name="Normal 4 2 2 4 8 2 3" xfId="32120" xr:uid="{B9F9AE94-FDD8-48E3-83D9-389E2C3D54F3}"/>
    <cellStyle name="Normal 4 2 2 4 8 2 4" xfId="15233" xr:uid="{7C802BDC-C7E0-4633-A488-6269FE385D6C}"/>
    <cellStyle name="Normal 4 2 2 4 8 3" xfId="19456" xr:uid="{27A5F24E-8168-4200-B606-F85B565F4840}"/>
    <cellStyle name="Normal 4 2 2 4 8 4" xfId="27901" xr:uid="{DC5281BA-9032-48AE-9432-9220141D60AB}"/>
    <cellStyle name="Normal 4 2 2 4 8 5" xfId="11015" xr:uid="{CCF42C1B-981D-4209-9CC8-08C67E3DAAF5}"/>
    <cellStyle name="Normal 4 2 2 4 9" xfId="4726" xr:uid="{00000000-0005-0000-0000-0000E1120000}"/>
    <cellStyle name="Normal 4 2 2 4 9 2" xfId="21609" xr:uid="{12DF6DB5-80CF-4C39-A87E-059319E22480}"/>
    <cellStyle name="Normal 4 2 2 4 9 3" xfId="30055" xr:uid="{84210C9C-99B5-4B02-A635-49D8E455477A}"/>
    <cellStyle name="Normal 4 2 2 4 9 4" xfId="13168" xr:uid="{DD071670-B28D-412A-AD8F-F200C53EEAF0}"/>
    <cellStyle name="Normal 4 2 2 5" xfId="351" xr:uid="{00000000-0005-0000-0000-0000E2120000}"/>
    <cellStyle name="Normal 4 2 2 5 10" xfId="25839" xr:uid="{4286E6F7-2ACF-4125-BC41-FDD84488455B}"/>
    <cellStyle name="Normal 4 2 2 5 11" xfId="8954" xr:uid="{3998440A-1DDD-44C2-999B-0920AB0DDB42}"/>
    <cellStyle name="Normal 4 2 2 5 2" xfId="352" xr:uid="{00000000-0005-0000-0000-0000E3120000}"/>
    <cellStyle name="Normal 4 2 2 5 2 10" xfId="8955" xr:uid="{EAF30D76-DA62-4FE8-89CE-1A99C004655F}"/>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24172" xr:uid="{E703A1F4-4DBC-4FB0-A359-BD3D51DADEA8}"/>
    <cellStyle name="Normal 4 2 2 5 2 2 2 2 3" xfId="32618" xr:uid="{ACEAB27B-9785-4D39-9D87-AF04FFFE2C0E}"/>
    <cellStyle name="Normal 4 2 2 5 2 2 2 2 4" xfId="15731" xr:uid="{53BA86D0-2A73-4B78-AE40-013411697EFB}"/>
    <cellStyle name="Normal 4 2 2 5 2 2 2 3" xfId="19954" xr:uid="{FE565A45-4B00-47AC-97F4-292115F605A9}"/>
    <cellStyle name="Normal 4 2 2 5 2 2 2 4" xfId="28401" xr:uid="{30A8B330-CA09-4971-8670-9607B3C46B3D}"/>
    <cellStyle name="Normal 4 2 2 5 2 2 2 5" xfId="11513" xr:uid="{24FE70EB-CB86-4161-A76C-68F7EABC9629}"/>
    <cellStyle name="Normal 4 2 2 5 2 2 3" xfId="5144" xr:uid="{00000000-0005-0000-0000-0000E7120000}"/>
    <cellStyle name="Normal 4 2 2 5 2 2 3 2" xfId="22027" xr:uid="{E6497BFC-CB29-439F-BFCF-9ACA310A9D0E}"/>
    <cellStyle name="Normal 4 2 2 5 2 2 3 3" xfId="30473" xr:uid="{6F150A20-368F-465F-A790-72CA3B0DE5EA}"/>
    <cellStyle name="Normal 4 2 2 5 2 2 3 4" xfId="13586" xr:uid="{8E8E7249-57EE-4953-A20C-9698D9070985}"/>
    <cellStyle name="Normal 4 2 2 5 2 2 4" xfId="17809" xr:uid="{F579087A-09E2-45F8-ABF0-B8F09CE84789}"/>
    <cellStyle name="Normal 4 2 2 5 2 2 5" xfId="26254" xr:uid="{E72E4A70-9E50-46A5-AA67-438065C124FD}"/>
    <cellStyle name="Normal 4 2 2 5 2 2 6" xfId="9368" xr:uid="{9076B8E4-C5F8-4505-85D2-167F7E96134F}"/>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24585" xr:uid="{5CF05687-74A0-46A7-91AC-8AD48B6B277F}"/>
    <cellStyle name="Normal 4 2 2 5 2 3 2 2 3" xfId="33031" xr:uid="{4DA5E2C1-8F29-406A-94EB-69B8D72FD468}"/>
    <cellStyle name="Normal 4 2 2 5 2 3 2 2 4" xfId="16144" xr:uid="{F9B9518B-369C-44EC-892D-3FF857291CD2}"/>
    <cellStyle name="Normal 4 2 2 5 2 3 2 3" xfId="20367" xr:uid="{17A352CD-F464-4831-BD58-0742814F30EB}"/>
    <cellStyle name="Normal 4 2 2 5 2 3 2 4" xfId="28814" xr:uid="{27DB54C8-C299-4DC8-BDFA-EF5533415740}"/>
    <cellStyle name="Normal 4 2 2 5 2 3 2 5" xfId="11926" xr:uid="{5BD21961-0CD2-4704-8328-1660CE781950}"/>
    <cellStyle name="Normal 4 2 2 5 2 3 3" xfId="5557" xr:uid="{00000000-0005-0000-0000-0000EB120000}"/>
    <cellStyle name="Normal 4 2 2 5 2 3 3 2" xfId="22440" xr:uid="{2AE3C878-138A-48A4-B4F5-C76808145316}"/>
    <cellStyle name="Normal 4 2 2 5 2 3 3 3" xfId="30886" xr:uid="{A8E9A836-8450-4E69-8656-F2EBE7D4CEF4}"/>
    <cellStyle name="Normal 4 2 2 5 2 3 3 4" xfId="13999" xr:uid="{7E7E16D1-D3A3-4236-80F9-58D20B1BCA72}"/>
    <cellStyle name="Normal 4 2 2 5 2 3 4" xfId="18222" xr:uid="{B9B72C7A-C78A-4E0A-AEC6-22F32229DE7D}"/>
    <cellStyle name="Normal 4 2 2 5 2 3 5" xfId="26667" xr:uid="{2E6B4272-C923-4D12-9244-9D4A5E8A99A6}"/>
    <cellStyle name="Normal 4 2 2 5 2 3 6" xfId="9781" xr:uid="{C53A4197-ADA9-48A6-9730-5966B6AD330F}"/>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24998" xr:uid="{3CFFD313-259F-4983-8800-53FA77F85B07}"/>
    <cellStyle name="Normal 4 2 2 5 2 4 2 2 3" xfId="33444" xr:uid="{D215513F-1A43-4A7E-844F-383C46E42F3D}"/>
    <cellStyle name="Normal 4 2 2 5 2 4 2 2 4" xfId="16557" xr:uid="{4D8D0246-17E8-4849-B21D-B3DB69110097}"/>
    <cellStyle name="Normal 4 2 2 5 2 4 2 3" xfId="20780" xr:uid="{46711464-B438-42C4-87F7-32E14CD09914}"/>
    <cellStyle name="Normal 4 2 2 5 2 4 2 4" xfId="29227" xr:uid="{19B266C7-328B-430E-BA26-8FA4CA147C87}"/>
    <cellStyle name="Normal 4 2 2 5 2 4 2 5" xfId="12339" xr:uid="{0C87A327-A7CD-4743-990A-6F4677761799}"/>
    <cellStyle name="Normal 4 2 2 5 2 4 3" xfId="5970" xr:uid="{00000000-0005-0000-0000-0000EF120000}"/>
    <cellStyle name="Normal 4 2 2 5 2 4 3 2" xfId="22853" xr:uid="{300DBCF8-7307-4FF9-8216-D3C738FD6DCD}"/>
    <cellStyle name="Normal 4 2 2 5 2 4 3 3" xfId="31299" xr:uid="{FB9B1AFC-6DD8-427E-A015-7BAEACF35F30}"/>
    <cellStyle name="Normal 4 2 2 5 2 4 3 4" xfId="14412" xr:uid="{5A80AC64-9ACB-40CC-A40F-DD2AF353D91E}"/>
    <cellStyle name="Normal 4 2 2 5 2 4 4" xfId="18635" xr:uid="{2DE36DC9-E033-4A58-971D-5785E7D6F6A2}"/>
    <cellStyle name="Normal 4 2 2 5 2 4 5" xfId="27080" xr:uid="{B9F656F7-C766-44F8-AD9B-4A57B50F64BE}"/>
    <cellStyle name="Normal 4 2 2 5 2 4 6" xfId="10194" xr:uid="{34A19E3B-F914-400B-87A1-3EEA95765BEE}"/>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25411" xr:uid="{7F2E4D0D-029D-4D8B-B881-10B40ADF6182}"/>
    <cellStyle name="Normal 4 2 2 5 2 5 2 2 3" xfId="33857" xr:uid="{9854E6A5-66E7-492E-B595-975D22FAC847}"/>
    <cellStyle name="Normal 4 2 2 5 2 5 2 2 4" xfId="16970" xr:uid="{4D3B2047-E0BD-4FB5-83A5-C9A94000245B}"/>
    <cellStyle name="Normal 4 2 2 5 2 5 2 3" xfId="21193" xr:uid="{C491FD38-1CC9-4395-8AE9-8137E0211AE8}"/>
    <cellStyle name="Normal 4 2 2 5 2 5 2 4" xfId="29640" xr:uid="{27620C8D-DAFC-4C21-A1CD-5FFFE7E85EA9}"/>
    <cellStyle name="Normal 4 2 2 5 2 5 2 5" xfId="12752" xr:uid="{64C7416F-BCBA-4E31-802E-0360D5C71166}"/>
    <cellStyle name="Normal 4 2 2 5 2 5 3" xfId="6383" xr:uid="{00000000-0005-0000-0000-0000F3120000}"/>
    <cellStyle name="Normal 4 2 2 5 2 5 3 2" xfId="23266" xr:uid="{D5B663D0-5751-4D07-8B5F-F5D1BAB3EFB1}"/>
    <cellStyle name="Normal 4 2 2 5 2 5 3 3" xfId="31712" xr:uid="{DDA5D893-5A34-46B8-A3EE-A394DD636940}"/>
    <cellStyle name="Normal 4 2 2 5 2 5 3 4" xfId="14825" xr:uid="{EC104AF0-F7C2-417C-BF39-B957FBAF64CC}"/>
    <cellStyle name="Normal 4 2 2 5 2 5 4" xfId="19048" xr:uid="{139B7DF2-3A94-4524-8ED5-1B3930D3A20F}"/>
    <cellStyle name="Normal 4 2 2 5 2 5 5" xfId="27493" xr:uid="{BABED656-D960-4492-B2F3-0A7070EB2419}"/>
    <cellStyle name="Normal 4 2 2 5 2 5 6" xfId="10607" xr:uid="{00ED3DB4-0537-4297-BFD8-BE0D063E6AE4}"/>
    <cellStyle name="Normal 4 2 2 5 2 6" xfId="2512" xr:uid="{00000000-0005-0000-0000-0000F4120000}"/>
    <cellStyle name="Normal 4 2 2 5 2 6 2" xfId="6796" xr:uid="{00000000-0005-0000-0000-0000F5120000}"/>
    <cellStyle name="Normal 4 2 2 5 2 6 2 2" xfId="23679" xr:uid="{2296E0FA-C981-46AC-AC04-7AA656D36C0F}"/>
    <cellStyle name="Normal 4 2 2 5 2 6 2 3" xfId="32125" xr:uid="{D76EA1B8-B4CD-495F-B409-48573A94F3D8}"/>
    <cellStyle name="Normal 4 2 2 5 2 6 2 4" xfId="15238" xr:uid="{29005648-0810-4839-806D-8AB570578609}"/>
    <cellStyle name="Normal 4 2 2 5 2 6 3" xfId="19461" xr:uid="{24191AFB-333B-4027-A54B-AC555DDA5F21}"/>
    <cellStyle name="Normal 4 2 2 5 2 6 4" xfId="27906" xr:uid="{6A79F5B7-D4BA-4698-AE8F-8C2E5BF6875C}"/>
    <cellStyle name="Normal 4 2 2 5 2 6 5" xfId="11020" xr:uid="{15CAA1E8-FD2C-43AD-BC57-854553B6A305}"/>
    <cellStyle name="Normal 4 2 2 5 2 7" xfId="4731" xr:uid="{00000000-0005-0000-0000-0000F6120000}"/>
    <cellStyle name="Normal 4 2 2 5 2 7 2" xfId="21614" xr:uid="{BA015562-BA39-42EA-979D-F1CAE222822E}"/>
    <cellStyle name="Normal 4 2 2 5 2 7 3" xfId="30060" xr:uid="{8C6346F3-E77B-4351-ACAD-9B2FC48CB899}"/>
    <cellStyle name="Normal 4 2 2 5 2 7 4" xfId="13173" xr:uid="{03C6FD92-5052-4E8A-8AA5-0CF405D5E6D4}"/>
    <cellStyle name="Normal 4 2 2 5 2 8" xfId="17396" xr:uid="{30704AFD-77E2-40FB-976D-02CE9A7CDC32}"/>
    <cellStyle name="Normal 4 2 2 5 2 9" xfId="25840" xr:uid="{E42C2ACE-D71F-4560-A913-28E35DADD76A}"/>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24171" xr:uid="{BDE059AB-2B51-4E93-A24C-4F42F6241735}"/>
    <cellStyle name="Normal 4 2 2 5 3 2 2 3" xfId="32617" xr:uid="{AC880B1C-BEC1-4FB5-AABE-5DE683C47DAF}"/>
    <cellStyle name="Normal 4 2 2 5 3 2 2 4" xfId="15730" xr:uid="{4551ACB7-ECF2-404B-B7D4-265F78406504}"/>
    <cellStyle name="Normal 4 2 2 5 3 2 3" xfId="19953" xr:uid="{35F6AA6F-360E-4FAA-A354-9BB3AE1703B4}"/>
    <cellStyle name="Normal 4 2 2 5 3 2 4" xfId="28400" xr:uid="{9C812DF2-954F-45B4-B6B3-3BD311A2173A}"/>
    <cellStyle name="Normal 4 2 2 5 3 2 5" xfId="11512" xr:uid="{A4F41B6F-AA7F-44F2-A82D-6DE0C04C0570}"/>
    <cellStyle name="Normal 4 2 2 5 3 3" xfId="5143" xr:uid="{00000000-0005-0000-0000-0000FA120000}"/>
    <cellStyle name="Normal 4 2 2 5 3 3 2" xfId="22026" xr:uid="{3EB00016-1608-4AA3-A23D-FD7097863F20}"/>
    <cellStyle name="Normal 4 2 2 5 3 3 3" xfId="30472" xr:uid="{F0C92A21-0511-4782-BDF2-A22DB4BBED9C}"/>
    <cellStyle name="Normal 4 2 2 5 3 3 4" xfId="13585" xr:uid="{8A59E833-D401-405F-A0E7-7B533373F9FA}"/>
    <cellStyle name="Normal 4 2 2 5 3 4" xfId="17808" xr:uid="{A074948C-49A5-4C9C-829C-3E4035D7D0C5}"/>
    <cellStyle name="Normal 4 2 2 5 3 5" xfId="26253" xr:uid="{754A5ECF-DAF6-4D2B-A3DD-36E7B165E056}"/>
    <cellStyle name="Normal 4 2 2 5 3 6" xfId="9367" xr:uid="{4CFA1297-4B56-4A11-955C-384D20CC6AE5}"/>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24584" xr:uid="{E4A02E53-EA96-422A-B22A-51D49B9FEAE8}"/>
    <cellStyle name="Normal 4 2 2 5 4 2 2 3" xfId="33030" xr:uid="{4CE8588C-2F2F-4BAB-847C-3E3DE817A0AA}"/>
    <cellStyle name="Normal 4 2 2 5 4 2 2 4" xfId="16143" xr:uid="{DCD05819-9570-4CF2-ACEC-A55CA1D1EBAD}"/>
    <cellStyle name="Normal 4 2 2 5 4 2 3" xfId="20366" xr:uid="{8ED6C1F5-2489-494A-A4BD-1B2B1504F0F1}"/>
    <cellStyle name="Normal 4 2 2 5 4 2 4" xfId="28813" xr:uid="{D8A52E47-F424-4B7A-92A2-94C9F95C032D}"/>
    <cellStyle name="Normal 4 2 2 5 4 2 5" xfId="11925" xr:uid="{6EC30E2C-8E80-4676-AE40-8DE89DA3F340}"/>
    <cellStyle name="Normal 4 2 2 5 4 3" xfId="5556" xr:uid="{00000000-0005-0000-0000-0000FE120000}"/>
    <cellStyle name="Normal 4 2 2 5 4 3 2" xfId="22439" xr:uid="{59E9BD9E-EECE-4BA0-95B6-655E0671D52F}"/>
    <cellStyle name="Normal 4 2 2 5 4 3 3" xfId="30885" xr:uid="{B0088FC7-0D4E-4833-A253-A2EA733CF8EC}"/>
    <cellStyle name="Normal 4 2 2 5 4 3 4" xfId="13998" xr:uid="{2B7FC3EA-6D42-4801-8966-89AFF93EEBEC}"/>
    <cellStyle name="Normal 4 2 2 5 4 4" xfId="18221" xr:uid="{FDCE9A38-926E-4CF2-B261-94722BEEF3DF}"/>
    <cellStyle name="Normal 4 2 2 5 4 5" xfId="26666" xr:uid="{6F810EB7-0A6D-487F-8137-0383EC0675C3}"/>
    <cellStyle name="Normal 4 2 2 5 4 6" xfId="9780" xr:uid="{D8073BD3-4262-4CFE-8B85-F91E00610EB3}"/>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24997" xr:uid="{956F9724-6C58-4960-B6DC-8CEFD9187373}"/>
    <cellStyle name="Normal 4 2 2 5 5 2 2 3" xfId="33443" xr:uid="{C55FA10E-22F0-4588-AC0A-03127C42264B}"/>
    <cellStyle name="Normal 4 2 2 5 5 2 2 4" xfId="16556" xr:uid="{CDEE6393-7525-4C6E-BB75-292729D1F62F}"/>
    <cellStyle name="Normal 4 2 2 5 5 2 3" xfId="20779" xr:uid="{538C029D-F2A9-4547-9DB8-AAB9D462BB53}"/>
    <cellStyle name="Normal 4 2 2 5 5 2 4" xfId="29226" xr:uid="{A5092303-C8EB-4CC7-AC91-F18E97BC1FEE}"/>
    <cellStyle name="Normal 4 2 2 5 5 2 5" xfId="12338" xr:uid="{BC3CCDFD-2FD2-4FEE-9F08-B112B0C93D85}"/>
    <cellStyle name="Normal 4 2 2 5 5 3" xfId="5969" xr:uid="{00000000-0005-0000-0000-000002130000}"/>
    <cellStyle name="Normal 4 2 2 5 5 3 2" xfId="22852" xr:uid="{B42593E7-6462-4E61-A8FA-752D811BF761}"/>
    <cellStyle name="Normal 4 2 2 5 5 3 3" xfId="31298" xr:uid="{926D5FF7-73AB-420F-9483-7A526D7176F3}"/>
    <cellStyle name="Normal 4 2 2 5 5 3 4" xfId="14411" xr:uid="{01A8B10D-E474-40B9-834A-12043A61EE7D}"/>
    <cellStyle name="Normal 4 2 2 5 5 4" xfId="18634" xr:uid="{0C7B7C57-3715-4436-A33C-3A2AA8AABC0E}"/>
    <cellStyle name="Normal 4 2 2 5 5 5" xfId="27079" xr:uid="{A8DCACE3-85FA-4AC4-A79C-54F69FCEBFF1}"/>
    <cellStyle name="Normal 4 2 2 5 5 6" xfId="10193" xr:uid="{6A030769-2098-403B-A686-02FDB6FD7684}"/>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25410" xr:uid="{253F6651-BA26-4C9A-8339-6972C23C2DF5}"/>
    <cellStyle name="Normal 4 2 2 5 6 2 2 3" xfId="33856" xr:uid="{058A45C0-2498-435E-8685-00BF46E2752C}"/>
    <cellStyle name="Normal 4 2 2 5 6 2 2 4" xfId="16969" xr:uid="{DF48ED0E-DAFE-40B3-BCC0-369BED81E220}"/>
    <cellStyle name="Normal 4 2 2 5 6 2 3" xfId="21192" xr:uid="{AC76EF1D-C59E-42DB-81B1-15902477E317}"/>
    <cellStyle name="Normal 4 2 2 5 6 2 4" xfId="29639" xr:uid="{50ABB709-6A48-4504-926D-C828A1ED5A75}"/>
    <cellStyle name="Normal 4 2 2 5 6 2 5" xfId="12751" xr:uid="{D1FDA69C-EAF8-492E-9A3E-ACCEFE3C370C}"/>
    <cellStyle name="Normal 4 2 2 5 6 3" xfId="6382" xr:uid="{00000000-0005-0000-0000-000006130000}"/>
    <cellStyle name="Normal 4 2 2 5 6 3 2" xfId="23265" xr:uid="{8A14CD59-7976-4E56-B808-B40285F7A4C0}"/>
    <cellStyle name="Normal 4 2 2 5 6 3 3" xfId="31711" xr:uid="{726B9A11-77FB-44C1-B101-B478F944AC67}"/>
    <cellStyle name="Normal 4 2 2 5 6 3 4" xfId="14824" xr:uid="{36664263-3759-42DC-9913-AF10CA93D815}"/>
    <cellStyle name="Normal 4 2 2 5 6 4" xfId="19047" xr:uid="{B1AF7C96-E7A2-4CB6-A90A-8A2E791C055B}"/>
    <cellStyle name="Normal 4 2 2 5 6 5" xfId="27492" xr:uid="{255FA167-9F9F-4E22-86B0-735D5B8D9C1F}"/>
    <cellStyle name="Normal 4 2 2 5 6 6" xfId="10606" xr:uid="{3F9C5CB8-0A44-4121-97DF-E8A04FF5C99E}"/>
    <cellStyle name="Normal 4 2 2 5 7" xfId="2511" xr:uid="{00000000-0005-0000-0000-000007130000}"/>
    <cellStyle name="Normal 4 2 2 5 7 2" xfId="6795" xr:uid="{00000000-0005-0000-0000-000008130000}"/>
    <cellStyle name="Normal 4 2 2 5 7 2 2" xfId="23678" xr:uid="{AE19A438-5814-4E31-81D3-5C748E64C717}"/>
    <cellStyle name="Normal 4 2 2 5 7 2 3" xfId="32124" xr:uid="{33ECE18E-504A-474D-B724-2914BD301870}"/>
    <cellStyle name="Normal 4 2 2 5 7 2 4" xfId="15237" xr:uid="{062101A1-06E4-4AB8-8303-30409838414F}"/>
    <cellStyle name="Normal 4 2 2 5 7 3" xfId="19460" xr:uid="{46ADB8ED-E674-4D42-A51E-A4EE09860898}"/>
    <cellStyle name="Normal 4 2 2 5 7 4" xfId="27905" xr:uid="{2A02F9D3-CD92-49D7-B509-A6991AA4A363}"/>
    <cellStyle name="Normal 4 2 2 5 7 5" xfId="11019" xr:uid="{15180282-27A2-4A17-9266-106E7288A4A7}"/>
    <cellStyle name="Normal 4 2 2 5 8" xfId="4730" xr:uid="{00000000-0005-0000-0000-000009130000}"/>
    <cellStyle name="Normal 4 2 2 5 8 2" xfId="21613" xr:uid="{F8878E59-C670-4E5C-9F15-D16E6C600509}"/>
    <cellStyle name="Normal 4 2 2 5 8 3" xfId="30059" xr:uid="{73F6104B-3AAE-461A-96B6-789E52E88615}"/>
    <cellStyle name="Normal 4 2 2 5 8 4" xfId="13172" xr:uid="{26EE540E-0FC7-42C3-AA31-9DAC101ACC36}"/>
    <cellStyle name="Normal 4 2 2 5 9" xfId="17395" xr:uid="{2CD173E4-DE71-43F2-8860-856CF2D11EB4}"/>
    <cellStyle name="Normal 4 2 2 6" xfId="353" xr:uid="{00000000-0005-0000-0000-00000A130000}"/>
    <cellStyle name="Normal 4 2 2 6 10" xfId="8956" xr:uid="{B08DEAC7-9A68-427F-84D3-6AAD4EA6F046}"/>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24173" xr:uid="{B3B6002B-B3FA-4994-93AA-C2A9627D5D4A}"/>
    <cellStyle name="Normal 4 2 2 6 2 2 2 3" xfId="32619" xr:uid="{1E2A0C92-DA8A-4E95-8F43-8C9EF4060C39}"/>
    <cellStyle name="Normal 4 2 2 6 2 2 2 4" xfId="15732" xr:uid="{F26DFC63-9766-4463-B1B5-306D6AAEB005}"/>
    <cellStyle name="Normal 4 2 2 6 2 2 3" xfId="19955" xr:uid="{1705C8B9-398B-4E59-AB67-04CE72395441}"/>
    <cellStyle name="Normal 4 2 2 6 2 2 4" xfId="28402" xr:uid="{CF212F67-0B63-40C8-85C3-7A4EBD7D502D}"/>
    <cellStyle name="Normal 4 2 2 6 2 2 5" xfId="11514" xr:uid="{D56534FB-B147-46B0-9F01-3CE0EEBC9EA6}"/>
    <cellStyle name="Normal 4 2 2 6 2 3" xfId="5145" xr:uid="{00000000-0005-0000-0000-00000E130000}"/>
    <cellStyle name="Normal 4 2 2 6 2 3 2" xfId="22028" xr:uid="{598AF6E7-7DFA-4942-919E-20C85C9867BB}"/>
    <cellStyle name="Normal 4 2 2 6 2 3 3" xfId="30474" xr:uid="{A5C66E8C-B069-4CE2-99CD-DB1B228A19A7}"/>
    <cellStyle name="Normal 4 2 2 6 2 3 4" xfId="13587" xr:uid="{17D2F0B9-705C-420B-B06F-2199462974B6}"/>
    <cellStyle name="Normal 4 2 2 6 2 4" xfId="17810" xr:uid="{134B8E93-C54A-4301-9F7E-ABBA9EAEBC2E}"/>
    <cellStyle name="Normal 4 2 2 6 2 5" xfId="26255" xr:uid="{E413F024-6EA5-44C7-AC1E-DF78F1B32B58}"/>
    <cellStyle name="Normal 4 2 2 6 2 6" xfId="9369" xr:uid="{F05161FB-550C-47F7-BD8E-71508549832F}"/>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24586" xr:uid="{0A162FEF-D7A9-4923-83DC-5DBF07A3E55E}"/>
    <cellStyle name="Normal 4 2 2 6 3 2 2 3" xfId="33032" xr:uid="{269584F7-3675-4FDB-9013-2507205946C0}"/>
    <cellStyle name="Normal 4 2 2 6 3 2 2 4" xfId="16145" xr:uid="{86CFEAA4-7DE5-4155-A235-BAB3930B2741}"/>
    <cellStyle name="Normal 4 2 2 6 3 2 3" xfId="20368" xr:uid="{B7BA0B8F-372F-4829-9630-1F94EF3D1945}"/>
    <cellStyle name="Normal 4 2 2 6 3 2 4" xfId="28815" xr:uid="{AE3B2EE0-6B1F-4AE8-868E-43066BD83608}"/>
    <cellStyle name="Normal 4 2 2 6 3 2 5" xfId="11927" xr:uid="{3DFD2418-0531-49DB-8B0B-D8CD11DDABAD}"/>
    <cellStyle name="Normal 4 2 2 6 3 3" xfId="5558" xr:uid="{00000000-0005-0000-0000-000012130000}"/>
    <cellStyle name="Normal 4 2 2 6 3 3 2" xfId="22441" xr:uid="{0C17F5C4-F35D-43FF-A52B-4B609348BA6A}"/>
    <cellStyle name="Normal 4 2 2 6 3 3 3" xfId="30887" xr:uid="{ABFF5364-5707-43A3-98D3-5485275DEC2F}"/>
    <cellStyle name="Normal 4 2 2 6 3 3 4" xfId="14000" xr:uid="{A7AB6EA2-1E77-4452-A6BB-4A7CD947DC4B}"/>
    <cellStyle name="Normal 4 2 2 6 3 4" xfId="18223" xr:uid="{F3215E4C-5E12-4CAC-8DE7-55A517C6E09E}"/>
    <cellStyle name="Normal 4 2 2 6 3 5" xfId="26668" xr:uid="{54EFF20D-A744-43C5-82D2-A1BF676844F5}"/>
    <cellStyle name="Normal 4 2 2 6 3 6" xfId="9782" xr:uid="{BC126863-837C-4FD8-B4D6-A3EE5F52D0E6}"/>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24999" xr:uid="{E523A22D-AEDE-45FD-A3C0-7F574A5A025F}"/>
    <cellStyle name="Normal 4 2 2 6 4 2 2 3" xfId="33445" xr:uid="{21253E93-C134-426E-B5C1-C8C84110EF4A}"/>
    <cellStyle name="Normal 4 2 2 6 4 2 2 4" xfId="16558" xr:uid="{B0001BC7-34F4-4C3B-BB44-158AB2CCAA8E}"/>
    <cellStyle name="Normal 4 2 2 6 4 2 3" xfId="20781" xr:uid="{B87E3782-68FE-44B6-A77C-72BBA200166F}"/>
    <cellStyle name="Normal 4 2 2 6 4 2 4" xfId="29228" xr:uid="{9BB6994C-3C0F-4B79-8DE6-AE22095FD11B}"/>
    <cellStyle name="Normal 4 2 2 6 4 2 5" xfId="12340" xr:uid="{135C0EEC-9ED7-4877-8E3F-2D7619D395A3}"/>
    <cellStyle name="Normal 4 2 2 6 4 3" xfId="5971" xr:uid="{00000000-0005-0000-0000-000016130000}"/>
    <cellStyle name="Normal 4 2 2 6 4 3 2" xfId="22854" xr:uid="{A7901D24-F676-4A3A-83C7-4BF15DD01D2F}"/>
    <cellStyle name="Normal 4 2 2 6 4 3 3" xfId="31300" xr:uid="{BB7D7EBD-DA05-4EA0-AFE1-D08C774A1ECF}"/>
    <cellStyle name="Normal 4 2 2 6 4 3 4" xfId="14413" xr:uid="{8DBD8A22-6CFD-4352-B26A-608475F49FDC}"/>
    <cellStyle name="Normal 4 2 2 6 4 4" xfId="18636" xr:uid="{AF06DBF3-420C-442D-A508-9089512D5012}"/>
    <cellStyle name="Normal 4 2 2 6 4 5" xfId="27081" xr:uid="{ED0C8D13-432D-4C5B-BBEF-D999F33853DC}"/>
    <cellStyle name="Normal 4 2 2 6 4 6" xfId="10195" xr:uid="{31984AA7-4A8F-42DD-9D28-6104924FD459}"/>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25412" xr:uid="{5A0171B0-EAEB-41C7-A133-EC5D31E83223}"/>
    <cellStyle name="Normal 4 2 2 6 5 2 2 3" xfId="33858" xr:uid="{CCFC08D8-D400-4C9D-941A-C00E66EC1852}"/>
    <cellStyle name="Normal 4 2 2 6 5 2 2 4" xfId="16971" xr:uid="{1998D083-93EC-47D9-9615-6AE45F3A2F38}"/>
    <cellStyle name="Normal 4 2 2 6 5 2 3" xfId="21194" xr:uid="{179FED29-1743-4937-A616-B2C04E3D4201}"/>
    <cellStyle name="Normal 4 2 2 6 5 2 4" xfId="29641" xr:uid="{F42B21B4-6BC2-40F7-9DB0-C1694E9CC6A0}"/>
    <cellStyle name="Normal 4 2 2 6 5 2 5" xfId="12753" xr:uid="{7B79CEC4-3605-46D1-AC31-00431ED23BE4}"/>
    <cellStyle name="Normal 4 2 2 6 5 3" xfId="6384" xr:uid="{00000000-0005-0000-0000-00001A130000}"/>
    <cellStyle name="Normal 4 2 2 6 5 3 2" xfId="23267" xr:uid="{CFE12002-233B-4EEB-B020-88E9F53DB415}"/>
    <cellStyle name="Normal 4 2 2 6 5 3 3" xfId="31713" xr:uid="{AA9A148A-3D08-4267-B3B3-511FDA2A8BE8}"/>
    <cellStyle name="Normal 4 2 2 6 5 3 4" xfId="14826" xr:uid="{A4379453-40F3-4D5B-BD8A-C368E79C7D67}"/>
    <cellStyle name="Normal 4 2 2 6 5 4" xfId="19049" xr:uid="{2DDEB131-CA42-4301-9C38-E9899BBCCB9F}"/>
    <cellStyle name="Normal 4 2 2 6 5 5" xfId="27494" xr:uid="{A26D4AF9-5F10-4A43-A001-FE5CAE5CA543}"/>
    <cellStyle name="Normal 4 2 2 6 5 6" xfId="10608" xr:uid="{44299788-8D23-4953-B7C3-5CA3EAEA3F1C}"/>
    <cellStyle name="Normal 4 2 2 6 6" xfId="2513" xr:uid="{00000000-0005-0000-0000-00001B130000}"/>
    <cellStyle name="Normal 4 2 2 6 6 2" xfId="6797" xr:uid="{00000000-0005-0000-0000-00001C130000}"/>
    <cellStyle name="Normal 4 2 2 6 6 2 2" xfId="23680" xr:uid="{68AC963D-2DE2-46F8-9665-C5CF2645D86C}"/>
    <cellStyle name="Normal 4 2 2 6 6 2 3" xfId="32126" xr:uid="{D0E045D3-F98C-4D88-87DB-95D3271C1B74}"/>
    <cellStyle name="Normal 4 2 2 6 6 2 4" xfId="15239" xr:uid="{8C740620-4836-4325-A7D5-55E0F7CDF3CE}"/>
    <cellStyle name="Normal 4 2 2 6 6 3" xfId="19462" xr:uid="{39A5A765-D8A2-494B-A7D6-9D6BB2E5CA07}"/>
    <cellStyle name="Normal 4 2 2 6 6 4" xfId="27907" xr:uid="{1A4222BC-8CC0-436B-958A-32F51D9A7EAB}"/>
    <cellStyle name="Normal 4 2 2 6 6 5" xfId="11021" xr:uid="{CF3B9D78-0684-41C8-83C9-C951948E40D0}"/>
    <cellStyle name="Normal 4 2 2 6 7" xfId="4732" xr:uid="{00000000-0005-0000-0000-00001D130000}"/>
    <cellStyle name="Normal 4 2 2 6 7 2" xfId="21615" xr:uid="{9DCE1646-8C1E-4F75-8D6E-B11B03717EDE}"/>
    <cellStyle name="Normal 4 2 2 6 7 3" xfId="30061" xr:uid="{6B5120C5-2CC4-486C-BF28-692B4FD3675D}"/>
    <cellStyle name="Normal 4 2 2 6 7 4" xfId="13174" xr:uid="{5309EE65-FC24-42AE-9142-DEE80E33944B}"/>
    <cellStyle name="Normal 4 2 2 6 8" xfId="17397" xr:uid="{EDE7A2C1-7580-4C69-B380-3FE9155680A0}"/>
    <cellStyle name="Normal 4 2 2 6 9" xfId="25841" xr:uid="{77ED4FD8-010E-43A0-BDAB-192900B25DE4}"/>
    <cellStyle name="Normal 4 2 2 7" xfId="815" xr:uid="{00000000-0005-0000-0000-00001E130000}"/>
    <cellStyle name="Normal 4 2 2 7 2" xfId="3052" xr:uid="{00000000-0005-0000-0000-00001F130000}"/>
    <cellStyle name="Normal 4 2 2 7 2 2" xfId="7275" xr:uid="{00000000-0005-0000-0000-000020130000}"/>
    <cellStyle name="Normal 4 2 2 7 2 2 2" xfId="24158" xr:uid="{4DCFBD2A-BB25-43CC-A0C8-A02B57171C8A}"/>
    <cellStyle name="Normal 4 2 2 7 2 2 3" xfId="32604" xr:uid="{3526757E-ECBF-4CB6-B198-7692949C0356}"/>
    <cellStyle name="Normal 4 2 2 7 2 2 4" xfId="15717" xr:uid="{49CD630B-5E73-4E00-9AD5-A7FF94B2B43C}"/>
    <cellStyle name="Normal 4 2 2 7 2 3" xfId="19940" xr:uid="{D49A347D-CF3D-4314-8011-5F44416B3512}"/>
    <cellStyle name="Normal 4 2 2 7 2 4" xfId="28387" xr:uid="{51016DAD-BAFA-49A4-82D7-35C36A75AD30}"/>
    <cellStyle name="Normal 4 2 2 7 2 5" xfId="11499" xr:uid="{D5702639-B997-4A1C-AE39-E54D3428DF85}"/>
    <cellStyle name="Normal 4 2 2 7 3" xfId="5130" xr:uid="{00000000-0005-0000-0000-000021130000}"/>
    <cellStyle name="Normal 4 2 2 7 3 2" xfId="22013" xr:uid="{238C33BC-8889-485B-9C8D-46DA8C1B24B4}"/>
    <cellStyle name="Normal 4 2 2 7 3 3" xfId="30459" xr:uid="{D0E7E77D-7444-414F-A6A4-61AC985394A2}"/>
    <cellStyle name="Normal 4 2 2 7 3 4" xfId="13572" xr:uid="{83E2844C-5E76-4CA1-BA01-AD000B1A3248}"/>
    <cellStyle name="Normal 4 2 2 7 4" xfId="17795" xr:uid="{92381D14-DF4A-480D-93FD-71F3FEC47850}"/>
    <cellStyle name="Normal 4 2 2 7 5" xfId="26240" xr:uid="{BAB46B6B-48F6-4F08-91A6-F8AC4914D36A}"/>
    <cellStyle name="Normal 4 2 2 7 6" xfId="9354" xr:uid="{47922BC3-0862-4688-B787-C30CD6A46372}"/>
    <cellStyle name="Normal 4 2 2 8" xfId="1235" xr:uid="{00000000-0005-0000-0000-000022130000}"/>
    <cellStyle name="Normal 4 2 2 8 2" xfId="3465" xr:uid="{00000000-0005-0000-0000-000023130000}"/>
    <cellStyle name="Normal 4 2 2 8 2 2" xfId="7688" xr:uid="{00000000-0005-0000-0000-000024130000}"/>
    <cellStyle name="Normal 4 2 2 8 2 2 2" xfId="24571" xr:uid="{D4C0E89C-6884-4926-B229-37C6D4E9F4E2}"/>
    <cellStyle name="Normal 4 2 2 8 2 2 3" xfId="33017" xr:uid="{74BDB894-4109-4483-998D-66A26C27C2E8}"/>
    <cellStyle name="Normal 4 2 2 8 2 2 4" xfId="16130" xr:uid="{8E80D675-B23C-431A-B1DF-658633901DFD}"/>
    <cellStyle name="Normal 4 2 2 8 2 3" xfId="20353" xr:uid="{FABCC62A-CA8C-4BC6-9E04-E55B78BBD3C9}"/>
    <cellStyle name="Normal 4 2 2 8 2 4" xfId="28800" xr:uid="{550E6D57-710C-47EE-A782-FBDBA71944BB}"/>
    <cellStyle name="Normal 4 2 2 8 2 5" xfId="11912" xr:uid="{D8DA5704-556F-4D07-A9BE-D5ACD8E1D053}"/>
    <cellStyle name="Normal 4 2 2 8 3" xfId="5543" xr:uid="{00000000-0005-0000-0000-000025130000}"/>
    <cellStyle name="Normal 4 2 2 8 3 2" xfId="22426" xr:uid="{0A135D2A-55B6-4C3C-9FE4-1200535900CB}"/>
    <cellStyle name="Normal 4 2 2 8 3 3" xfId="30872" xr:uid="{37C3DD07-5125-4730-9716-42D8B2EEB6B6}"/>
    <cellStyle name="Normal 4 2 2 8 3 4" xfId="13985" xr:uid="{DCBA0619-820E-4C2E-86CA-2DEEDABEAA3C}"/>
    <cellStyle name="Normal 4 2 2 8 4" xfId="18208" xr:uid="{86275429-6656-4F60-B9F3-96D9CC9FE1E3}"/>
    <cellStyle name="Normal 4 2 2 8 5" xfId="26653" xr:uid="{EE8926EE-8555-46B1-9034-401983A6DDE1}"/>
    <cellStyle name="Normal 4 2 2 8 6" xfId="9767" xr:uid="{B96BFD01-9664-4380-A557-A8A25A5C0312}"/>
    <cellStyle name="Normal 4 2 2 9" xfId="1648" xr:uid="{00000000-0005-0000-0000-000026130000}"/>
    <cellStyle name="Normal 4 2 2 9 2" xfId="3878" xr:uid="{00000000-0005-0000-0000-000027130000}"/>
    <cellStyle name="Normal 4 2 2 9 2 2" xfId="8101" xr:uid="{00000000-0005-0000-0000-000028130000}"/>
    <cellStyle name="Normal 4 2 2 9 2 2 2" xfId="24984" xr:uid="{1E134FD8-A2CD-438B-B660-6C9B12F1AE67}"/>
    <cellStyle name="Normal 4 2 2 9 2 2 3" xfId="33430" xr:uid="{E26C29B8-D015-4665-8B8F-FED9C86D4F06}"/>
    <cellStyle name="Normal 4 2 2 9 2 2 4" xfId="16543" xr:uid="{1D1C9BDC-5238-4F69-A955-01E1B46DD4AC}"/>
    <cellStyle name="Normal 4 2 2 9 2 3" xfId="20766" xr:uid="{76D77959-6AD2-4AB6-B0F5-4518C90B8D72}"/>
    <cellStyle name="Normal 4 2 2 9 2 4" xfId="29213" xr:uid="{83DA1E19-A36C-4BAB-90B3-E3A799EA184E}"/>
    <cellStyle name="Normal 4 2 2 9 2 5" xfId="12325" xr:uid="{2C108066-43E8-4F83-95B6-6DF6387E56CA}"/>
    <cellStyle name="Normal 4 2 2 9 3" xfId="5956" xr:uid="{00000000-0005-0000-0000-000029130000}"/>
    <cellStyle name="Normal 4 2 2 9 3 2" xfId="22839" xr:uid="{B29ABF1D-9219-417B-8463-EC9A0D3177BD}"/>
    <cellStyle name="Normal 4 2 2 9 3 3" xfId="31285" xr:uid="{7B07B1AD-15A2-4061-9920-64EFCCF5CD10}"/>
    <cellStyle name="Normal 4 2 2 9 3 4" xfId="14398" xr:uid="{CD22C59C-DA1F-4F35-AD52-40B14FA57DCB}"/>
    <cellStyle name="Normal 4 2 2 9 4" xfId="18621" xr:uid="{5A80DB48-88BA-40B2-AE07-9D42D688690E}"/>
    <cellStyle name="Normal 4 2 2 9 5" xfId="27066" xr:uid="{80DA3834-FD09-4734-8F39-100E82BF8706}"/>
    <cellStyle name="Normal 4 2 2 9 6" xfId="10180" xr:uid="{35A739ED-BEFF-40B5-8928-16DEC6803B9F}"/>
    <cellStyle name="Normal 4 2 3" xfId="354" xr:uid="{00000000-0005-0000-0000-00002A130000}"/>
    <cellStyle name="Normal 4 2 3 2" xfId="34091" xr:uid="{9616DFD1-BD37-4E5D-AA39-617BF6218130}"/>
    <cellStyle name="Normal 4 2 3 3" xfId="34156" xr:uid="{32436B50-F7E8-48ED-BAED-B8F48DE18A0C}"/>
    <cellStyle name="Normal 4 2 3 4" xfId="34141" xr:uid="{5C6D31EC-D4B0-4033-A59B-84A964EC5D29}"/>
    <cellStyle name="Normal 4 2 3_Dropdowns" xfId="34148" xr:uid="{846DDBF9-263A-4C31-AB75-079AE252050F}"/>
    <cellStyle name="Normal 4 2 4" xfId="355" xr:uid="{00000000-0005-0000-0000-00002B130000}"/>
    <cellStyle name="Normal 4 2 4 10" xfId="4733" xr:uid="{00000000-0005-0000-0000-00002C130000}"/>
    <cellStyle name="Normal 4 2 4 10 2" xfId="21616" xr:uid="{45A226BC-B1BD-48CD-B53E-405006E6480D}"/>
    <cellStyle name="Normal 4 2 4 10 3" xfId="30062" xr:uid="{63FC166F-4BB5-485A-A854-0028F9A14653}"/>
    <cellStyle name="Normal 4 2 4 10 4" xfId="13175" xr:uid="{E011EAEE-5B1C-48F7-BE81-8C3B860865A2}"/>
    <cellStyle name="Normal 4 2 4 11" xfId="17398" xr:uid="{6473DE9A-7C62-4B1A-B566-1EDA7A53BAF1}"/>
    <cellStyle name="Normal 4 2 4 12" xfId="25842" xr:uid="{A324D197-9E10-4423-B8B9-2A67514218A8}"/>
    <cellStyle name="Normal 4 2 4 13" xfId="34135" xr:uid="{B2720F06-CAD2-4FC7-BBF0-DDC06EF68D23}"/>
    <cellStyle name="Normal 4 2 4 14" xfId="8957" xr:uid="{8D206F81-4DB5-4503-97F0-DCA01823AB6F}"/>
    <cellStyle name="Normal 4 2 4 2" xfId="356" xr:uid="{00000000-0005-0000-0000-00002D130000}"/>
    <cellStyle name="Normal 4 2 4 2 10" xfId="17399" xr:uid="{3F228B2A-5F62-41F9-BF1E-DD9042CABFC3}"/>
    <cellStyle name="Normal 4 2 4 2 11" xfId="25843" xr:uid="{E0BA7F90-F040-48F0-9DC4-7939954CFDB6}"/>
    <cellStyle name="Normal 4 2 4 2 12" xfId="8958" xr:uid="{BCA9133E-31D8-403D-95BC-BC311ACFCAE6}"/>
    <cellStyle name="Normal 4 2 4 2 2" xfId="357" xr:uid="{00000000-0005-0000-0000-00002E130000}"/>
    <cellStyle name="Normal 4 2 4 2 2 10" xfId="25844" xr:uid="{795F5D9D-228B-4EEF-A7AC-72881693E973}"/>
    <cellStyle name="Normal 4 2 4 2 2 11" xfId="8959" xr:uid="{349C215E-6D8E-4C9A-88C4-BF95A3F9D0C5}"/>
    <cellStyle name="Normal 4 2 4 2 2 2" xfId="358" xr:uid="{00000000-0005-0000-0000-00002F130000}"/>
    <cellStyle name="Normal 4 2 4 2 2 2 10" xfId="8960" xr:uid="{44172834-A4C7-4C59-AD46-5D62618E74C8}"/>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24177" xr:uid="{201466B5-F1F0-4E58-9226-565BE5285212}"/>
    <cellStyle name="Normal 4 2 4 2 2 2 2 2 2 3" xfId="32623" xr:uid="{6BA0DD26-4780-4C83-8C9A-F9002FCBD3B7}"/>
    <cellStyle name="Normal 4 2 4 2 2 2 2 2 2 4" xfId="15736" xr:uid="{0F127325-34D1-4508-8911-F059B1521D2F}"/>
    <cellStyle name="Normal 4 2 4 2 2 2 2 2 3" xfId="19959" xr:uid="{E71FB626-C96D-46A1-BB3B-4FCBF00335C5}"/>
    <cellStyle name="Normal 4 2 4 2 2 2 2 2 4" xfId="28406" xr:uid="{BC436FC7-D937-4F76-B14B-1B55212A788A}"/>
    <cellStyle name="Normal 4 2 4 2 2 2 2 2 5" xfId="11518" xr:uid="{2B752338-888C-4769-A286-BA9A7275CC35}"/>
    <cellStyle name="Normal 4 2 4 2 2 2 2 3" xfId="5149" xr:uid="{00000000-0005-0000-0000-000033130000}"/>
    <cellStyle name="Normal 4 2 4 2 2 2 2 3 2" xfId="22032" xr:uid="{7A85D8A1-23AA-4215-B736-D51AD03A4383}"/>
    <cellStyle name="Normal 4 2 4 2 2 2 2 3 3" xfId="30478" xr:uid="{3B51F525-E989-4D0F-B667-92250E9B76A2}"/>
    <cellStyle name="Normal 4 2 4 2 2 2 2 3 4" xfId="13591" xr:uid="{F51F0CAB-4FD3-47C9-86A5-74D18A283412}"/>
    <cellStyle name="Normal 4 2 4 2 2 2 2 4" xfId="17814" xr:uid="{AC988DE8-6842-4988-8931-9A5610EBADFF}"/>
    <cellStyle name="Normal 4 2 4 2 2 2 2 5" xfId="26259" xr:uid="{8C7EBA3D-B0AC-40C5-BEDD-38A7AB90DC34}"/>
    <cellStyle name="Normal 4 2 4 2 2 2 2 6" xfId="9373" xr:uid="{151BAE8B-1E71-4BA6-85A4-35CEB3401689}"/>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24590" xr:uid="{A2E5A78C-893D-4592-A509-FEBB052FCFCE}"/>
    <cellStyle name="Normal 4 2 4 2 2 2 3 2 2 3" xfId="33036" xr:uid="{A8E95C08-A093-4137-8116-35773C3FB210}"/>
    <cellStyle name="Normal 4 2 4 2 2 2 3 2 2 4" xfId="16149" xr:uid="{4F34BBAB-6FA3-4349-BB49-BA04A6722DB7}"/>
    <cellStyle name="Normal 4 2 4 2 2 2 3 2 3" xfId="20372" xr:uid="{EA8ACFAC-DE6F-413A-A43E-E60D6AF225F8}"/>
    <cellStyle name="Normal 4 2 4 2 2 2 3 2 4" xfId="28819" xr:uid="{0D845C60-74C2-47CB-B01F-8D5A31EFB693}"/>
    <cellStyle name="Normal 4 2 4 2 2 2 3 2 5" xfId="11931" xr:uid="{1C2C1AD6-D33D-46E6-B840-19B2F6C2001E}"/>
    <cellStyle name="Normal 4 2 4 2 2 2 3 3" xfId="5562" xr:uid="{00000000-0005-0000-0000-000037130000}"/>
    <cellStyle name="Normal 4 2 4 2 2 2 3 3 2" xfId="22445" xr:uid="{0E6C30DB-21EC-4369-9F28-5B2B2F3761EE}"/>
    <cellStyle name="Normal 4 2 4 2 2 2 3 3 3" xfId="30891" xr:uid="{D4940F82-2AC7-4754-876E-87B97BE44D99}"/>
    <cellStyle name="Normal 4 2 4 2 2 2 3 3 4" xfId="14004" xr:uid="{118DE495-3F0F-4FD5-AE77-71F9985D39F7}"/>
    <cellStyle name="Normal 4 2 4 2 2 2 3 4" xfId="18227" xr:uid="{2658AF54-E95C-4BFE-A540-656B36BAAA63}"/>
    <cellStyle name="Normal 4 2 4 2 2 2 3 5" xfId="26672" xr:uid="{768A8A33-C6FF-405C-BF9F-1F60937AF43C}"/>
    <cellStyle name="Normal 4 2 4 2 2 2 3 6" xfId="9786" xr:uid="{3BF6D10A-13AB-4517-B689-7B05FB96F449}"/>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25003" xr:uid="{267597CD-47A2-482D-A752-68E552722E0A}"/>
    <cellStyle name="Normal 4 2 4 2 2 2 4 2 2 3" xfId="33449" xr:uid="{C415773C-B7D4-433A-9C9D-56807EBE149B}"/>
    <cellStyle name="Normal 4 2 4 2 2 2 4 2 2 4" xfId="16562" xr:uid="{1DD9D7C3-CD23-4976-8114-19BF10B0B3F0}"/>
    <cellStyle name="Normal 4 2 4 2 2 2 4 2 3" xfId="20785" xr:uid="{0003B4BF-E039-40AF-A14B-40E8A8C9D204}"/>
    <cellStyle name="Normal 4 2 4 2 2 2 4 2 4" xfId="29232" xr:uid="{999795B8-8E9C-4354-A0E3-F64DE29E1B3A}"/>
    <cellStyle name="Normal 4 2 4 2 2 2 4 2 5" xfId="12344" xr:uid="{C3F3C83F-5C5C-41C9-8775-83557533EA63}"/>
    <cellStyle name="Normal 4 2 4 2 2 2 4 3" xfId="5975" xr:uid="{00000000-0005-0000-0000-00003B130000}"/>
    <cellStyle name="Normal 4 2 4 2 2 2 4 3 2" xfId="22858" xr:uid="{FC67590C-F7E0-431D-A9C2-20B99D2949F4}"/>
    <cellStyle name="Normal 4 2 4 2 2 2 4 3 3" xfId="31304" xr:uid="{D74F746B-6779-4F3E-B22F-B257A422456D}"/>
    <cellStyle name="Normal 4 2 4 2 2 2 4 3 4" xfId="14417" xr:uid="{3093D6FD-3737-4808-B881-C5DAD494095D}"/>
    <cellStyle name="Normal 4 2 4 2 2 2 4 4" xfId="18640" xr:uid="{DC7A05AC-E33C-4C01-9D3A-FA1E5C0A5375}"/>
    <cellStyle name="Normal 4 2 4 2 2 2 4 5" xfId="27085" xr:uid="{8D351F77-9C63-4B3B-8F76-C9B61ED8A254}"/>
    <cellStyle name="Normal 4 2 4 2 2 2 4 6" xfId="10199" xr:uid="{F7DBE947-8096-4F72-9F97-50FFA05BA6D3}"/>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25416" xr:uid="{B6FB665D-BC81-4660-AE3A-25CD34D7EDF8}"/>
    <cellStyle name="Normal 4 2 4 2 2 2 5 2 2 3" xfId="33862" xr:uid="{B6A935FF-CB39-40BA-9838-15EB65D7B4FE}"/>
    <cellStyle name="Normal 4 2 4 2 2 2 5 2 2 4" xfId="16975" xr:uid="{6CA175F8-8707-43CE-BB78-9D5D82B5A22F}"/>
    <cellStyle name="Normal 4 2 4 2 2 2 5 2 3" xfId="21198" xr:uid="{F9723CAD-938A-4FDD-A75B-3E80D59FBC9F}"/>
    <cellStyle name="Normal 4 2 4 2 2 2 5 2 4" xfId="29645" xr:uid="{EF394B04-745C-4BCF-BCEA-1F8FB235013D}"/>
    <cellStyle name="Normal 4 2 4 2 2 2 5 2 5" xfId="12757" xr:uid="{EFC2F028-E94B-4994-80F1-5846E8033883}"/>
    <cellStyle name="Normal 4 2 4 2 2 2 5 3" xfId="6388" xr:uid="{00000000-0005-0000-0000-00003F130000}"/>
    <cellStyle name="Normal 4 2 4 2 2 2 5 3 2" xfId="23271" xr:uid="{F8482B22-5651-48D5-8A4E-A39186FD955E}"/>
    <cellStyle name="Normal 4 2 4 2 2 2 5 3 3" xfId="31717" xr:uid="{4E555599-6E90-45B5-B95E-F53AC1A14C7D}"/>
    <cellStyle name="Normal 4 2 4 2 2 2 5 3 4" xfId="14830" xr:uid="{5EA92260-8865-4622-9212-5F052CA680CB}"/>
    <cellStyle name="Normal 4 2 4 2 2 2 5 4" xfId="19053" xr:uid="{708DC3BD-50DE-445B-A9B4-E8DA16AD81A8}"/>
    <cellStyle name="Normal 4 2 4 2 2 2 5 5" xfId="27498" xr:uid="{4194BA05-1FAC-408D-AB21-A2C0236C1146}"/>
    <cellStyle name="Normal 4 2 4 2 2 2 5 6" xfId="10612" xr:uid="{6139795C-5204-405C-BC4E-F933A1A39844}"/>
    <cellStyle name="Normal 4 2 4 2 2 2 6" xfId="2517" xr:uid="{00000000-0005-0000-0000-000040130000}"/>
    <cellStyle name="Normal 4 2 4 2 2 2 6 2" xfId="6801" xr:uid="{00000000-0005-0000-0000-000041130000}"/>
    <cellStyle name="Normal 4 2 4 2 2 2 6 2 2" xfId="23684" xr:uid="{EC50908C-B0BB-4D57-8A0B-6AE8D74D71A2}"/>
    <cellStyle name="Normal 4 2 4 2 2 2 6 2 3" xfId="32130" xr:uid="{12DA77BC-D82E-411B-B1EB-3128489BF717}"/>
    <cellStyle name="Normal 4 2 4 2 2 2 6 2 4" xfId="15243" xr:uid="{72BA41D1-A63B-4DEA-81D5-2FC208227A2F}"/>
    <cellStyle name="Normal 4 2 4 2 2 2 6 3" xfId="19466" xr:uid="{4F953C5C-3B82-4031-9DF9-3ED47A8B5C1E}"/>
    <cellStyle name="Normal 4 2 4 2 2 2 6 4" xfId="27911" xr:uid="{05E776AE-31DA-4B46-B204-C4BD6920AAC1}"/>
    <cellStyle name="Normal 4 2 4 2 2 2 6 5" xfId="11025" xr:uid="{753E358D-CE91-405B-B8C3-C35AD13DD6CE}"/>
    <cellStyle name="Normal 4 2 4 2 2 2 7" xfId="4736" xr:uid="{00000000-0005-0000-0000-000042130000}"/>
    <cellStyle name="Normal 4 2 4 2 2 2 7 2" xfId="21619" xr:uid="{83CE861C-10E1-4821-A56A-79D15B86FBA6}"/>
    <cellStyle name="Normal 4 2 4 2 2 2 7 3" xfId="30065" xr:uid="{E7435A50-CA2A-4837-A1A2-2EFF1821BAE9}"/>
    <cellStyle name="Normal 4 2 4 2 2 2 7 4" xfId="13178" xr:uid="{DF20F0AA-D0DC-48C0-B96C-4CFDBE655F92}"/>
    <cellStyle name="Normal 4 2 4 2 2 2 8" xfId="17401" xr:uid="{D110F09D-A71C-4B67-B562-AD54399E7ECD}"/>
    <cellStyle name="Normal 4 2 4 2 2 2 9" xfId="25845" xr:uid="{3D0D388A-47DA-4953-A0DD-4927B7B8CFB6}"/>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24176" xr:uid="{4291DE61-4BA7-497F-B826-C1DB239B2993}"/>
    <cellStyle name="Normal 4 2 4 2 2 3 2 2 3" xfId="32622" xr:uid="{C1918509-D0EA-4107-BA31-994D72400065}"/>
    <cellStyle name="Normal 4 2 4 2 2 3 2 2 4" xfId="15735" xr:uid="{A784F0A2-D7BC-4461-9B99-04D0741BA249}"/>
    <cellStyle name="Normal 4 2 4 2 2 3 2 3" xfId="19958" xr:uid="{A1F8355E-C929-43E2-980F-CAAEA6F442BC}"/>
    <cellStyle name="Normal 4 2 4 2 2 3 2 4" xfId="28405" xr:uid="{D2C310FC-690F-4F38-822D-7671BA1FDBF6}"/>
    <cellStyle name="Normal 4 2 4 2 2 3 2 5" xfId="11517" xr:uid="{989495A4-3081-4413-9D47-086A8D9991B9}"/>
    <cellStyle name="Normal 4 2 4 2 2 3 3" xfId="5148" xr:uid="{00000000-0005-0000-0000-000046130000}"/>
    <cellStyle name="Normal 4 2 4 2 2 3 3 2" xfId="22031" xr:uid="{2D3E72C0-0DA8-480D-922A-EBDF382B0BF9}"/>
    <cellStyle name="Normal 4 2 4 2 2 3 3 3" xfId="30477" xr:uid="{A684F506-60F3-4B9D-B849-6FE6AB1E60A6}"/>
    <cellStyle name="Normal 4 2 4 2 2 3 3 4" xfId="13590" xr:uid="{3FB2CF9F-12F8-4882-95FE-246CA9E0FE3B}"/>
    <cellStyle name="Normal 4 2 4 2 2 3 4" xfId="17813" xr:uid="{0BBCDBD5-EB98-43E2-9F05-083BB359DC6B}"/>
    <cellStyle name="Normal 4 2 4 2 2 3 5" xfId="26258" xr:uid="{84CF3393-9C29-4E4F-9E55-C96BFE39FCAC}"/>
    <cellStyle name="Normal 4 2 4 2 2 3 6" xfId="9372" xr:uid="{F5614F3C-2915-4C0F-BC06-DBC8A09BD351}"/>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24589" xr:uid="{6903B8EE-7607-40E4-8CB7-CAA3175887B1}"/>
    <cellStyle name="Normal 4 2 4 2 2 4 2 2 3" xfId="33035" xr:uid="{34334876-B0D8-4800-A5A5-E48F1B2A6E23}"/>
    <cellStyle name="Normal 4 2 4 2 2 4 2 2 4" xfId="16148" xr:uid="{357D4E05-C621-4E03-8268-58818DF18B0F}"/>
    <cellStyle name="Normal 4 2 4 2 2 4 2 3" xfId="20371" xr:uid="{05636BF7-BE43-48E2-A5AD-C63A7D00A15A}"/>
    <cellStyle name="Normal 4 2 4 2 2 4 2 4" xfId="28818" xr:uid="{719C89ED-BD0D-4736-BDF9-2C9ACD89AFCB}"/>
    <cellStyle name="Normal 4 2 4 2 2 4 2 5" xfId="11930" xr:uid="{74E21BD9-E99B-4CC3-82DF-821EA5E754AA}"/>
    <cellStyle name="Normal 4 2 4 2 2 4 3" xfId="5561" xr:uid="{00000000-0005-0000-0000-00004A130000}"/>
    <cellStyle name="Normal 4 2 4 2 2 4 3 2" xfId="22444" xr:uid="{C1680B70-DF39-44FE-8084-A219756B2ECD}"/>
    <cellStyle name="Normal 4 2 4 2 2 4 3 3" xfId="30890" xr:uid="{E0B34E25-70AA-47B1-825E-9475BE88C022}"/>
    <cellStyle name="Normal 4 2 4 2 2 4 3 4" xfId="14003" xr:uid="{4250089E-9FA2-443C-8A20-9DF361D7E337}"/>
    <cellStyle name="Normal 4 2 4 2 2 4 4" xfId="18226" xr:uid="{BB4DED89-87F3-4149-B4B7-0EC5118C7C2B}"/>
    <cellStyle name="Normal 4 2 4 2 2 4 5" xfId="26671" xr:uid="{6AB5B263-2B4D-4A93-A108-710B9F149CCC}"/>
    <cellStyle name="Normal 4 2 4 2 2 4 6" xfId="9785" xr:uid="{3F69518D-E125-4D3F-8D0F-0729421150E9}"/>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25002" xr:uid="{02595E6A-F249-46B4-9616-C8C0B14DBEF0}"/>
    <cellStyle name="Normal 4 2 4 2 2 5 2 2 3" xfId="33448" xr:uid="{F240ACAA-3018-460A-B46D-8084BE7930F3}"/>
    <cellStyle name="Normal 4 2 4 2 2 5 2 2 4" xfId="16561" xr:uid="{C1DDB35D-56BB-4ABB-92C3-214CC1513928}"/>
    <cellStyle name="Normal 4 2 4 2 2 5 2 3" xfId="20784" xr:uid="{16EB803F-2E6E-4585-90B5-E57F2D1B2BA9}"/>
    <cellStyle name="Normal 4 2 4 2 2 5 2 4" xfId="29231" xr:uid="{95534AB6-E457-4149-8ABA-FA0AF81AD3CA}"/>
    <cellStyle name="Normal 4 2 4 2 2 5 2 5" xfId="12343" xr:uid="{692C2F24-DFF7-49E2-BC88-66E3F0464CA8}"/>
    <cellStyle name="Normal 4 2 4 2 2 5 3" xfId="5974" xr:uid="{00000000-0005-0000-0000-00004E130000}"/>
    <cellStyle name="Normal 4 2 4 2 2 5 3 2" xfId="22857" xr:uid="{988F07D1-402C-43A1-9940-9747D720C3AE}"/>
    <cellStyle name="Normal 4 2 4 2 2 5 3 3" xfId="31303" xr:uid="{A77A49A9-53F8-49DD-B76E-B92EAD30E6F3}"/>
    <cellStyle name="Normal 4 2 4 2 2 5 3 4" xfId="14416" xr:uid="{D38C167F-C52C-4186-9ED5-486F1FBB93E4}"/>
    <cellStyle name="Normal 4 2 4 2 2 5 4" xfId="18639" xr:uid="{29885FA6-9093-49A5-87BE-D4B08C075719}"/>
    <cellStyle name="Normal 4 2 4 2 2 5 5" xfId="27084" xr:uid="{1619ED53-202A-48DF-8AA8-51AEB75C6645}"/>
    <cellStyle name="Normal 4 2 4 2 2 5 6" xfId="10198" xr:uid="{3CDEE885-3675-425C-9676-46B8DE47434F}"/>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25415" xr:uid="{2AD85EBA-22D2-4962-8B16-BD387CF49605}"/>
    <cellStyle name="Normal 4 2 4 2 2 6 2 2 3" xfId="33861" xr:uid="{CE037E6D-1187-4180-B371-7C2B7AD38627}"/>
    <cellStyle name="Normal 4 2 4 2 2 6 2 2 4" xfId="16974" xr:uid="{9BD587C8-AD71-4DFB-B01F-3124CDC48EC7}"/>
    <cellStyle name="Normal 4 2 4 2 2 6 2 3" xfId="21197" xr:uid="{09E1D626-7E42-43DB-A8C0-F63F400E5734}"/>
    <cellStyle name="Normal 4 2 4 2 2 6 2 4" xfId="29644" xr:uid="{C6FD37B1-11BB-4AD3-824D-3A13662EA60F}"/>
    <cellStyle name="Normal 4 2 4 2 2 6 2 5" xfId="12756" xr:uid="{DA865238-ED98-4FF3-B892-43C8DA28770D}"/>
    <cellStyle name="Normal 4 2 4 2 2 6 3" xfId="6387" xr:uid="{00000000-0005-0000-0000-000052130000}"/>
    <cellStyle name="Normal 4 2 4 2 2 6 3 2" xfId="23270" xr:uid="{836DC812-E308-4214-8111-40EC337BF2BF}"/>
    <cellStyle name="Normal 4 2 4 2 2 6 3 3" xfId="31716" xr:uid="{64628DFF-F106-4385-BF83-15899F0A2135}"/>
    <cellStyle name="Normal 4 2 4 2 2 6 3 4" xfId="14829" xr:uid="{10A72CBA-63B1-4797-BAD3-20CEB543B162}"/>
    <cellStyle name="Normal 4 2 4 2 2 6 4" xfId="19052" xr:uid="{1E770145-F75F-4627-810B-F85CA730A41F}"/>
    <cellStyle name="Normal 4 2 4 2 2 6 5" xfId="27497" xr:uid="{D1653889-B249-46F8-9F2B-2C8E54EC2549}"/>
    <cellStyle name="Normal 4 2 4 2 2 6 6" xfId="10611" xr:uid="{20A195C6-4B91-4937-93C7-7204751F13AB}"/>
    <cellStyle name="Normal 4 2 4 2 2 7" xfId="2516" xr:uid="{00000000-0005-0000-0000-000053130000}"/>
    <cellStyle name="Normal 4 2 4 2 2 7 2" xfId="6800" xr:uid="{00000000-0005-0000-0000-000054130000}"/>
    <cellStyle name="Normal 4 2 4 2 2 7 2 2" xfId="23683" xr:uid="{767ADDCB-7770-4739-AC8A-60C95AA45DAD}"/>
    <cellStyle name="Normal 4 2 4 2 2 7 2 3" xfId="32129" xr:uid="{B3236AB9-0AF7-40B5-8FE5-27017B8821BA}"/>
    <cellStyle name="Normal 4 2 4 2 2 7 2 4" xfId="15242" xr:uid="{F84EFFDA-A0B1-462D-95CD-4CDAC4A73068}"/>
    <cellStyle name="Normal 4 2 4 2 2 7 3" xfId="19465" xr:uid="{2582AC07-73D9-44B7-A6A7-118DEC499536}"/>
    <cellStyle name="Normal 4 2 4 2 2 7 4" xfId="27910" xr:uid="{3E7DA5DA-7DE9-4CFE-9335-86095FB9F450}"/>
    <cellStyle name="Normal 4 2 4 2 2 7 5" xfId="11024" xr:uid="{C438E40B-6E73-4820-ADF6-46698271EEE8}"/>
    <cellStyle name="Normal 4 2 4 2 2 8" xfId="4735" xr:uid="{00000000-0005-0000-0000-000055130000}"/>
    <cellStyle name="Normal 4 2 4 2 2 8 2" xfId="21618" xr:uid="{C977D854-50A7-48E1-BCCD-1849D7C7C196}"/>
    <cellStyle name="Normal 4 2 4 2 2 8 3" xfId="30064" xr:uid="{E2435806-6F9B-4A07-AA8C-4AB5D9EC035F}"/>
    <cellStyle name="Normal 4 2 4 2 2 8 4" xfId="13177" xr:uid="{444DE9D6-A167-4E64-9D45-BCD8EE9787FD}"/>
    <cellStyle name="Normal 4 2 4 2 2 9" xfId="17400" xr:uid="{F16E8143-B55A-444F-B90D-76BDE743B831}"/>
    <cellStyle name="Normal 4 2 4 2 3" xfId="359" xr:uid="{00000000-0005-0000-0000-000056130000}"/>
    <cellStyle name="Normal 4 2 4 2 3 10" xfId="8961" xr:uid="{4F593356-9F60-4F11-A440-21B39ADBDB85}"/>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24178" xr:uid="{9D5CD4B2-36B3-4ACD-AD78-805EEFC1DC2A}"/>
    <cellStyle name="Normal 4 2 4 2 3 2 2 2 3" xfId="32624" xr:uid="{CC183F5E-12CF-41CF-B552-C6100C9872E7}"/>
    <cellStyle name="Normal 4 2 4 2 3 2 2 2 4" xfId="15737" xr:uid="{EF5E6F00-FA35-4E2A-8E35-CBA42FE1F05F}"/>
    <cellStyle name="Normal 4 2 4 2 3 2 2 3" xfId="19960" xr:uid="{038B5286-B180-49DB-8E20-4F3FDF6794D7}"/>
    <cellStyle name="Normal 4 2 4 2 3 2 2 4" xfId="28407" xr:uid="{49EF30AD-D14F-466E-BFB5-E2357586D132}"/>
    <cellStyle name="Normal 4 2 4 2 3 2 2 5" xfId="11519" xr:uid="{7A303586-D320-47A5-BD83-642E3D389BB7}"/>
    <cellStyle name="Normal 4 2 4 2 3 2 3" xfId="5150" xr:uid="{00000000-0005-0000-0000-00005A130000}"/>
    <cellStyle name="Normal 4 2 4 2 3 2 3 2" xfId="22033" xr:uid="{4F7743DD-072A-49D0-AA5F-04C4A8D87227}"/>
    <cellStyle name="Normal 4 2 4 2 3 2 3 3" xfId="30479" xr:uid="{81716EB8-CC77-447D-ADBB-01709F790657}"/>
    <cellStyle name="Normal 4 2 4 2 3 2 3 4" xfId="13592" xr:uid="{CDE3812E-6D68-4137-B73D-CD45EF9CC0F6}"/>
    <cellStyle name="Normal 4 2 4 2 3 2 4" xfId="17815" xr:uid="{972DD9F2-9E05-42DC-9AFD-740CA802D15D}"/>
    <cellStyle name="Normal 4 2 4 2 3 2 5" xfId="26260" xr:uid="{EE0195B5-5333-4FB8-9335-F7415CF61C22}"/>
    <cellStyle name="Normal 4 2 4 2 3 2 6" xfId="9374" xr:uid="{7D143302-2157-42C6-BCB7-9F3A1BD1AB9A}"/>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24591" xr:uid="{5928A7A4-05A3-4AB3-B58C-3B65B699EA9C}"/>
    <cellStyle name="Normal 4 2 4 2 3 3 2 2 3" xfId="33037" xr:uid="{4202CFEE-A52C-4F82-BE3A-67C1D8BD46E3}"/>
    <cellStyle name="Normal 4 2 4 2 3 3 2 2 4" xfId="16150" xr:uid="{7176B5B9-101D-444C-B306-90C7FC2A4733}"/>
    <cellStyle name="Normal 4 2 4 2 3 3 2 3" xfId="20373" xr:uid="{4E47662F-4983-4578-AD96-11A02F734C10}"/>
    <cellStyle name="Normal 4 2 4 2 3 3 2 4" xfId="28820" xr:uid="{A3A1B968-4E1A-4CFE-8339-DD04551588D4}"/>
    <cellStyle name="Normal 4 2 4 2 3 3 2 5" xfId="11932" xr:uid="{9CEE1661-75E4-4A2C-82F4-67FA14954223}"/>
    <cellStyle name="Normal 4 2 4 2 3 3 3" xfId="5563" xr:uid="{00000000-0005-0000-0000-00005E130000}"/>
    <cellStyle name="Normal 4 2 4 2 3 3 3 2" xfId="22446" xr:uid="{B2B0C8E7-4700-46AA-B0FF-0FEBEFE98A7F}"/>
    <cellStyle name="Normal 4 2 4 2 3 3 3 3" xfId="30892" xr:uid="{62C2208D-829C-443E-AB80-BCE6F5711BFF}"/>
    <cellStyle name="Normal 4 2 4 2 3 3 3 4" xfId="14005" xr:uid="{1A151DAC-91CD-4494-B2A8-7EDCEAFF2171}"/>
    <cellStyle name="Normal 4 2 4 2 3 3 4" xfId="18228" xr:uid="{C854F1EB-55E1-4773-A2B8-EBF07CBE9752}"/>
    <cellStyle name="Normal 4 2 4 2 3 3 5" xfId="26673" xr:uid="{006BAF4B-B76A-4E05-A107-EA4076AA8A64}"/>
    <cellStyle name="Normal 4 2 4 2 3 3 6" xfId="9787" xr:uid="{CBEE5622-013C-4112-B1AF-5BCB28375CCF}"/>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25004" xr:uid="{87BD6C63-ED87-4159-87E5-18C23765CFB3}"/>
    <cellStyle name="Normal 4 2 4 2 3 4 2 2 3" xfId="33450" xr:uid="{76E63A33-FCCC-49F7-BC63-A31C96587A07}"/>
    <cellStyle name="Normal 4 2 4 2 3 4 2 2 4" xfId="16563" xr:uid="{CB9B600F-7ECE-4765-ACD7-8EA42F8573D6}"/>
    <cellStyle name="Normal 4 2 4 2 3 4 2 3" xfId="20786" xr:uid="{F9282473-3DBE-4EF4-8615-200D93E04E81}"/>
    <cellStyle name="Normal 4 2 4 2 3 4 2 4" xfId="29233" xr:uid="{C670241F-1202-4B6B-AFDF-F4C2E7B59FD4}"/>
    <cellStyle name="Normal 4 2 4 2 3 4 2 5" xfId="12345" xr:uid="{548ADFDF-D40D-4CA5-9326-6571949C2857}"/>
    <cellStyle name="Normal 4 2 4 2 3 4 3" xfId="5976" xr:uid="{00000000-0005-0000-0000-000062130000}"/>
    <cellStyle name="Normal 4 2 4 2 3 4 3 2" xfId="22859" xr:uid="{A1A9A29E-0895-4626-B777-CF3A5A583A05}"/>
    <cellStyle name="Normal 4 2 4 2 3 4 3 3" xfId="31305" xr:uid="{2E463EF4-318C-4776-9FAD-89BE16A866B2}"/>
    <cellStyle name="Normal 4 2 4 2 3 4 3 4" xfId="14418" xr:uid="{68A0BB36-64A8-40A8-BAE7-AEA9BB35CCCD}"/>
    <cellStyle name="Normal 4 2 4 2 3 4 4" xfId="18641" xr:uid="{A5AFD200-DFA2-40B1-83A1-80426997B08E}"/>
    <cellStyle name="Normal 4 2 4 2 3 4 5" xfId="27086" xr:uid="{BC1D5FC0-9972-4009-ACDA-4E41FAA32ADA}"/>
    <cellStyle name="Normal 4 2 4 2 3 4 6" xfId="10200" xr:uid="{92359FBC-5E35-44E2-B99B-D6811B8B20EB}"/>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25417" xr:uid="{1BEF70FB-65E5-416A-B4BB-D452FE97BEF1}"/>
    <cellStyle name="Normal 4 2 4 2 3 5 2 2 3" xfId="33863" xr:uid="{D02F96B6-02D0-45E0-BBCF-41E999FE00AA}"/>
    <cellStyle name="Normal 4 2 4 2 3 5 2 2 4" xfId="16976" xr:uid="{898396B9-F32E-4BEA-8C0E-D40DFA7253C9}"/>
    <cellStyle name="Normal 4 2 4 2 3 5 2 3" xfId="21199" xr:uid="{8507269C-D51F-49BA-AA7A-AFFE6D17B6BD}"/>
    <cellStyle name="Normal 4 2 4 2 3 5 2 4" xfId="29646" xr:uid="{3B4313BB-1A2A-4744-959D-8A16B49DCA39}"/>
    <cellStyle name="Normal 4 2 4 2 3 5 2 5" xfId="12758" xr:uid="{62473AF0-38CA-41CB-9208-688F0F467358}"/>
    <cellStyle name="Normal 4 2 4 2 3 5 3" xfId="6389" xr:uid="{00000000-0005-0000-0000-000066130000}"/>
    <cellStyle name="Normal 4 2 4 2 3 5 3 2" xfId="23272" xr:uid="{E4A202D6-D06A-4115-AA6D-BC181576440C}"/>
    <cellStyle name="Normal 4 2 4 2 3 5 3 3" xfId="31718" xr:uid="{BC327CF2-34E2-49AF-9792-A78E0051C6C4}"/>
    <cellStyle name="Normal 4 2 4 2 3 5 3 4" xfId="14831" xr:uid="{44A54745-A615-4395-A3D1-F1B18CC9AD55}"/>
    <cellStyle name="Normal 4 2 4 2 3 5 4" xfId="19054" xr:uid="{B5149B33-D18A-499D-BA1D-F976EF2D7C35}"/>
    <cellStyle name="Normal 4 2 4 2 3 5 5" xfId="27499" xr:uid="{5A2E8D3D-3D33-4253-97E9-D5B7028144D8}"/>
    <cellStyle name="Normal 4 2 4 2 3 5 6" xfId="10613" xr:uid="{C241539D-B77C-4E96-B483-98420CA63E6C}"/>
    <cellStyle name="Normal 4 2 4 2 3 6" xfId="2518" xr:uid="{00000000-0005-0000-0000-000067130000}"/>
    <cellStyle name="Normal 4 2 4 2 3 6 2" xfId="6802" xr:uid="{00000000-0005-0000-0000-000068130000}"/>
    <cellStyle name="Normal 4 2 4 2 3 6 2 2" xfId="23685" xr:uid="{8D3BCB47-A41D-4F90-9A95-017F3D7ECBB1}"/>
    <cellStyle name="Normal 4 2 4 2 3 6 2 3" xfId="32131" xr:uid="{1AE6CEE5-F79D-4293-9234-9C2D278D994A}"/>
    <cellStyle name="Normal 4 2 4 2 3 6 2 4" xfId="15244" xr:uid="{CFA44F2F-63BC-4BD9-8E85-6FE7C4664C1C}"/>
    <cellStyle name="Normal 4 2 4 2 3 6 3" xfId="19467" xr:uid="{7E3E04C2-E180-4A14-923C-8E6F228A17CB}"/>
    <cellStyle name="Normal 4 2 4 2 3 6 4" xfId="27912" xr:uid="{2639C0E0-54AA-459F-8FB5-08109BCC9732}"/>
    <cellStyle name="Normal 4 2 4 2 3 6 5" xfId="11026" xr:uid="{0515E329-6C20-47DF-968D-8418E72E2F85}"/>
    <cellStyle name="Normal 4 2 4 2 3 7" xfId="4737" xr:uid="{00000000-0005-0000-0000-000069130000}"/>
    <cellStyle name="Normal 4 2 4 2 3 7 2" xfId="21620" xr:uid="{EB01EB0A-0CBE-4BC5-B4DD-430913E6F9F0}"/>
    <cellStyle name="Normal 4 2 4 2 3 7 3" xfId="30066" xr:uid="{9819579A-9A4B-41B1-9364-CA48AD8439E6}"/>
    <cellStyle name="Normal 4 2 4 2 3 7 4" xfId="13179" xr:uid="{DBF639E0-9ADA-405B-B9DA-FBFB2EBD6CD3}"/>
    <cellStyle name="Normal 4 2 4 2 3 8" xfId="17402" xr:uid="{78A5C9EF-D8B2-48DB-8B79-FAAC7BDB26FF}"/>
    <cellStyle name="Normal 4 2 4 2 3 9" xfId="25846" xr:uid="{04C57273-6378-45DC-8FF9-53E4EB16F9F9}"/>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24175" xr:uid="{991F177C-BBFC-44E5-B88E-EB9407EA4928}"/>
    <cellStyle name="Normal 4 2 4 2 4 2 2 3" xfId="32621" xr:uid="{B6E9EA4A-3288-45EB-81ED-C0289F012B79}"/>
    <cellStyle name="Normal 4 2 4 2 4 2 2 4" xfId="15734" xr:uid="{60A5016D-C83A-415F-8B0E-145506C2A25F}"/>
    <cellStyle name="Normal 4 2 4 2 4 2 3" xfId="19957" xr:uid="{2B2F09CA-8A80-4657-8B1E-D2558F9A8EB7}"/>
    <cellStyle name="Normal 4 2 4 2 4 2 4" xfId="28404" xr:uid="{F564D5FD-FA43-435E-BC0F-C2F5521C9751}"/>
    <cellStyle name="Normal 4 2 4 2 4 2 5" xfId="11516" xr:uid="{10A7D3B3-0C8E-4017-8B89-BC7589069DAD}"/>
    <cellStyle name="Normal 4 2 4 2 4 3" xfId="5147" xr:uid="{00000000-0005-0000-0000-00006D130000}"/>
    <cellStyle name="Normal 4 2 4 2 4 3 2" xfId="22030" xr:uid="{D293BE1F-FABE-4FC5-983A-D3F93B12CB8C}"/>
    <cellStyle name="Normal 4 2 4 2 4 3 3" xfId="30476" xr:uid="{CCE47AAA-A871-4627-911C-67D8C8851B20}"/>
    <cellStyle name="Normal 4 2 4 2 4 3 4" xfId="13589" xr:uid="{1BBF887A-EEAB-445F-B0A4-B71A84B6F43C}"/>
    <cellStyle name="Normal 4 2 4 2 4 4" xfId="17812" xr:uid="{EAD7369F-6F6F-4B6C-BD26-11D6A82C2653}"/>
    <cellStyle name="Normal 4 2 4 2 4 5" xfId="26257" xr:uid="{373D9145-997D-494A-98B7-251E6DF98B3F}"/>
    <cellStyle name="Normal 4 2 4 2 4 6" xfId="9371" xr:uid="{1B6C9C80-9189-404A-AE25-04A9FAFF85DD}"/>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24588" xr:uid="{4CE75B61-241E-4F46-A517-75327A0AED7C}"/>
    <cellStyle name="Normal 4 2 4 2 5 2 2 3" xfId="33034" xr:uid="{D2FDEF59-3829-4AA7-AFF2-010552153C8E}"/>
    <cellStyle name="Normal 4 2 4 2 5 2 2 4" xfId="16147" xr:uid="{C6AFADE9-65C2-4D0A-8189-29554B4EDC54}"/>
    <cellStyle name="Normal 4 2 4 2 5 2 3" xfId="20370" xr:uid="{A7F2A578-C9CC-4C6E-A69F-046BD7475D37}"/>
    <cellStyle name="Normal 4 2 4 2 5 2 4" xfId="28817" xr:uid="{37FEF1A5-09BB-4A7A-8EFE-F54941AC3B2D}"/>
    <cellStyle name="Normal 4 2 4 2 5 2 5" xfId="11929" xr:uid="{03C331C4-2EEF-48AA-82AC-DD414C23F808}"/>
    <cellStyle name="Normal 4 2 4 2 5 3" xfId="5560" xr:uid="{00000000-0005-0000-0000-000071130000}"/>
    <cellStyle name="Normal 4 2 4 2 5 3 2" xfId="22443" xr:uid="{51696545-CED8-4497-99AE-609B92C59A48}"/>
    <cellStyle name="Normal 4 2 4 2 5 3 3" xfId="30889" xr:uid="{676841CF-B309-487E-BF70-FEB11452C961}"/>
    <cellStyle name="Normal 4 2 4 2 5 3 4" xfId="14002" xr:uid="{3870267E-B393-4260-A174-24B095946845}"/>
    <cellStyle name="Normal 4 2 4 2 5 4" xfId="18225" xr:uid="{2223E585-78E8-431B-B796-2CA70E55AC09}"/>
    <cellStyle name="Normal 4 2 4 2 5 5" xfId="26670" xr:uid="{65F728EF-2BF5-477E-B6C5-7F166E0E735E}"/>
    <cellStyle name="Normal 4 2 4 2 5 6" xfId="9784" xr:uid="{137EE461-B166-4C6B-AB4F-8DCA57735DB4}"/>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25001" xr:uid="{A0243E24-6FA2-4DE2-9AC2-A297332E4D14}"/>
    <cellStyle name="Normal 4 2 4 2 6 2 2 3" xfId="33447" xr:uid="{721A9BB3-F8CF-4635-A6AB-07CF6D0FB665}"/>
    <cellStyle name="Normal 4 2 4 2 6 2 2 4" xfId="16560" xr:uid="{ED18A6A8-8878-44BD-94E9-7B8F9F25DE0E}"/>
    <cellStyle name="Normal 4 2 4 2 6 2 3" xfId="20783" xr:uid="{3C6A01DE-8AFA-4630-A19B-19F776688BEF}"/>
    <cellStyle name="Normal 4 2 4 2 6 2 4" xfId="29230" xr:uid="{81521AC0-61F2-46E7-87A8-E2F29292C190}"/>
    <cellStyle name="Normal 4 2 4 2 6 2 5" xfId="12342" xr:uid="{9CFD5065-E31C-425A-9105-60DFDAF04E4C}"/>
    <cellStyle name="Normal 4 2 4 2 6 3" xfId="5973" xr:uid="{00000000-0005-0000-0000-000075130000}"/>
    <cellStyle name="Normal 4 2 4 2 6 3 2" xfId="22856" xr:uid="{A9C310E8-4FDF-4830-99FF-8B8B08D19DE8}"/>
    <cellStyle name="Normal 4 2 4 2 6 3 3" xfId="31302" xr:uid="{865D7901-3253-48F2-9007-912721E26A09}"/>
    <cellStyle name="Normal 4 2 4 2 6 3 4" xfId="14415" xr:uid="{EE8CB780-3E23-43C9-9A94-81DC67EFA777}"/>
    <cellStyle name="Normal 4 2 4 2 6 4" xfId="18638" xr:uid="{C38291BA-4FC1-4052-8785-FF201029537A}"/>
    <cellStyle name="Normal 4 2 4 2 6 5" xfId="27083" xr:uid="{17E81ADF-41E2-4940-A7AF-99501B588025}"/>
    <cellStyle name="Normal 4 2 4 2 6 6" xfId="10197" xr:uid="{AE1999B2-78D1-404E-AB19-AE2094877CF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25414" xr:uid="{E3782D06-DD2A-48D0-BDC4-911A4C420947}"/>
    <cellStyle name="Normal 4 2 4 2 7 2 2 3" xfId="33860" xr:uid="{C5384CF4-6AD7-450D-B59E-738F93108EDA}"/>
    <cellStyle name="Normal 4 2 4 2 7 2 2 4" xfId="16973" xr:uid="{9912A6C2-D110-4696-9164-45212C91B7C9}"/>
    <cellStyle name="Normal 4 2 4 2 7 2 3" xfId="21196" xr:uid="{D5FC5CE8-00C4-49E0-81AD-DEC7BD6B56FC}"/>
    <cellStyle name="Normal 4 2 4 2 7 2 4" xfId="29643" xr:uid="{B51C682F-A2DC-4D93-A995-B500ED2D9035}"/>
    <cellStyle name="Normal 4 2 4 2 7 2 5" xfId="12755" xr:uid="{867EFFE1-D69E-4CD8-9EAA-C8297EBBF400}"/>
    <cellStyle name="Normal 4 2 4 2 7 3" xfId="6386" xr:uid="{00000000-0005-0000-0000-000079130000}"/>
    <cellStyle name="Normal 4 2 4 2 7 3 2" xfId="23269" xr:uid="{FEEC13FD-1E8E-407A-9C19-A56FDCC3FCA5}"/>
    <cellStyle name="Normal 4 2 4 2 7 3 3" xfId="31715" xr:uid="{2B49330A-8794-4FE1-A0C6-D43DAC5EB7FE}"/>
    <cellStyle name="Normal 4 2 4 2 7 3 4" xfId="14828" xr:uid="{F3E107CA-7FC2-4D64-8751-8B76CC3E630F}"/>
    <cellStyle name="Normal 4 2 4 2 7 4" xfId="19051" xr:uid="{E2CCDB19-3E7D-4D37-8348-55AA22286029}"/>
    <cellStyle name="Normal 4 2 4 2 7 5" xfId="27496" xr:uid="{D7C6E122-464D-48C3-88E3-113B7E38A0B7}"/>
    <cellStyle name="Normal 4 2 4 2 7 6" xfId="10610" xr:uid="{74F2EE8D-1811-4D03-80AD-CD032C0DA33D}"/>
    <cellStyle name="Normal 4 2 4 2 8" xfId="2515" xr:uid="{00000000-0005-0000-0000-00007A130000}"/>
    <cellStyle name="Normal 4 2 4 2 8 2" xfId="6799" xr:uid="{00000000-0005-0000-0000-00007B130000}"/>
    <cellStyle name="Normal 4 2 4 2 8 2 2" xfId="23682" xr:uid="{C5F80377-F4A4-4698-94D8-1237C123EF3E}"/>
    <cellStyle name="Normal 4 2 4 2 8 2 3" xfId="32128" xr:uid="{7A12C224-07F0-4113-BDA6-28755E10316F}"/>
    <cellStyle name="Normal 4 2 4 2 8 2 4" xfId="15241" xr:uid="{3C1C2B1F-9100-43A0-8359-F8AF6D57B6E6}"/>
    <cellStyle name="Normal 4 2 4 2 8 3" xfId="19464" xr:uid="{E5F0A516-7A6A-4738-AAF5-AC8EBF30B0D8}"/>
    <cellStyle name="Normal 4 2 4 2 8 4" xfId="27909" xr:uid="{220982CC-4847-4953-8E5B-4012836E02A4}"/>
    <cellStyle name="Normal 4 2 4 2 8 5" xfId="11023" xr:uid="{58E3082A-DA98-44BE-9E88-C242139AF470}"/>
    <cellStyle name="Normal 4 2 4 2 9" xfId="4734" xr:uid="{00000000-0005-0000-0000-00007C130000}"/>
    <cellStyle name="Normal 4 2 4 2 9 2" xfId="21617" xr:uid="{5FCE0AD4-C0D1-46A1-A30D-7A8E5138E696}"/>
    <cellStyle name="Normal 4 2 4 2 9 3" xfId="30063" xr:uid="{3FC7B501-0472-4859-95EB-6CB178280E1C}"/>
    <cellStyle name="Normal 4 2 4 2 9 4" xfId="13176" xr:uid="{F1D89327-6586-4592-BAFF-C7B8A4EBBD27}"/>
    <cellStyle name="Normal 4 2 4 3" xfId="360" xr:uid="{00000000-0005-0000-0000-00007D130000}"/>
    <cellStyle name="Normal 4 2 4 3 10" xfId="25847" xr:uid="{F3981D0A-EE6F-44EB-8C4F-D36C6CF7F56E}"/>
    <cellStyle name="Normal 4 2 4 3 11" xfId="8962" xr:uid="{B63A9E89-20D1-45CA-8D0D-BD52C367643D}"/>
    <cellStyle name="Normal 4 2 4 3 2" xfId="361" xr:uid="{00000000-0005-0000-0000-00007E130000}"/>
    <cellStyle name="Normal 4 2 4 3 2 10" xfId="8963" xr:uid="{08DE9187-34DE-4F67-BFF9-15DF92A8BB05}"/>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24180" xr:uid="{53159E39-CF3F-4459-B405-F53A9A9C099F}"/>
    <cellStyle name="Normal 4 2 4 3 2 2 2 2 3" xfId="32626" xr:uid="{3AD8FEF8-47D2-4756-A1CD-615ACB47F0CC}"/>
    <cellStyle name="Normal 4 2 4 3 2 2 2 2 4" xfId="15739" xr:uid="{46F1501A-111E-4D43-B613-402F67380CDA}"/>
    <cellStyle name="Normal 4 2 4 3 2 2 2 3" xfId="19962" xr:uid="{8D38E05D-880C-49B0-B9E7-C33DFA2A8B6E}"/>
    <cellStyle name="Normal 4 2 4 3 2 2 2 4" xfId="28409" xr:uid="{4960FBA5-F20D-4FD6-BD8F-C2822376F83D}"/>
    <cellStyle name="Normal 4 2 4 3 2 2 2 5" xfId="11521" xr:uid="{DCC54DAF-1975-4111-A40D-13FD52F82550}"/>
    <cellStyle name="Normal 4 2 4 3 2 2 3" xfId="5152" xr:uid="{00000000-0005-0000-0000-000082130000}"/>
    <cellStyle name="Normal 4 2 4 3 2 2 3 2" xfId="22035" xr:uid="{93C69A51-BAB4-4049-B591-1D46F9B89149}"/>
    <cellStyle name="Normal 4 2 4 3 2 2 3 3" xfId="30481" xr:uid="{5CBC62A5-5B7B-4B3D-B4F7-E457721B99E8}"/>
    <cellStyle name="Normal 4 2 4 3 2 2 3 4" xfId="13594" xr:uid="{D4138CCB-AA86-4572-AA36-5C58DB179A94}"/>
    <cellStyle name="Normal 4 2 4 3 2 2 4" xfId="17817" xr:uid="{37E6F5E3-64E5-4B98-A32E-F2F8E151DCF3}"/>
    <cellStyle name="Normal 4 2 4 3 2 2 5" xfId="26262" xr:uid="{7EC146D6-C4DC-4D52-B9E3-5F6040778472}"/>
    <cellStyle name="Normal 4 2 4 3 2 2 6" xfId="9376" xr:uid="{729FA708-7135-4E9F-BE3E-670A91A1E78A}"/>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24593" xr:uid="{0ED93CC6-8638-4E94-9C02-986CE0037BD2}"/>
    <cellStyle name="Normal 4 2 4 3 2 3 2 2 3" xfId="33039" xr:uid="{BBDE9BE6-496C-4A93-BC83-539444965649}"/>
    <cellStyle name="Normal 4 2 4 3 2 3 2 2 4" xfId="16152" xr:uid="{54F4BBF1-1983-44EE-AC52-09641FFA14D2}"/>
    <cellStyle name="Normal 4 2 4 3 2 3 2 3" xfId="20375" xr:uid="{196F19BF-780F-4E2D-AA49-D7B68B80B652}"/>
    <cellStyle name="Normal 4 2 4 3 2 3 2 4" xfId="28822" xr:uid="{AA98933E-5040-41DB-8FB6-633361B03BBB}"/>
    <cellStyle name="Normal 4 2 4 3 2 3 2 5" xfId="11934" xr:uid="{070D0170-C120-4E65-989F-3C5BBFBAFF7B}"/>
    <cellStyle name="Normal 4 2 4 3 2 3 3" xfId="5565" xr:uid="{00000000-0005-0000-0000-000086130000}"/>
    <cellStyle name="Normal 4 2 4 3 2 3 3 2" xfId="22448" xr:uid="{CBAA57FE-8E32-4539-A716-26C1F6C3D7B9}"/>
    <cellStyle name="Normal 4 2 4 3 2 3 3 3" xfId="30894" xr:uid="{9B32F241-3C98-4CF5-B72B-A77E523CBDD7}"/>
    <cellStyle name="Normal 4 2 4 3 2 3 3 4" xfId="14007" xr:uid="{4A58C23B-8603-493D-BA27-44DF268B3CBA}"/>
    <cellStyle name="Normal 4 2 4 3 2 3 4" xfId="18230" xr:uid="{44D4D892-AC54-45EE-A85F-2FB9862EE974}"/>
    <cellStyle name="Normal 4 2 4 3 2 3 5" xfId="26675" xr:uid="{8ABA395D-0CE0-48BE-B627-5157C8E6646C}"/>
    <cellStyle name="Normal 4 2 4 3 2 3 6" xfId="9789" xr:uid="{A661AF17-8700-4C4A-81A2-A161C3C18D0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25006" xr:uid="{9B620354-634F-4611-BFA9-F67058CD3C75}"/>
    <cellStyle name="Normal 4 2 4 3 2 4 2 2 3" xfId="33452" xr:uid="{7B3189AA-723F-4526-B82F-FECE7BF9F57F}"/>
    <cellStyle name="Normal 4 2 4 3 2 4 2 2 4" xfId="16565" xr:uid="{1D282378-6463-4438-AD0A-512D14975AE6}"/>
    <cellStyle name="Normal 4 2 4 3 2 4 2 3" xfId="20788" xr:uid="{F749AA4B-AFEB-4CB8-897F-FAB3F29D3749}"/>
    <cellStyle name="Normal 4 2 4 3 2 4 2 4" xfId="29235" xr:uid="{8372F1A5-C581-41BB-AB89-C6A5724FF26C}"/>
    <cellStyle name="Normal 4 2 4 3 2 4 2 5" xfId="12347" xr:uid="{1E8D8142-C54F-443C-AD27-773EB9E0C6E0}"/>
    <cellStyle name="Normal 4 2 4 3 2 4 3" xfId="5978" xr:uid="{00000000-0005-0000-0000-00008A130000}"/>
    <cellStyle name="Normal 4 2 4 3 2 4 3 2" xfId="22861" xr:uid="{9C46C359-D7DA-4CB5-86C0-E74950DD494D}"/>
    <cellStyle name="Normal 4 2 4 3 2 4 3 3" xfId="31307" xr:uid="{07B4E30C-E121-4D17-9DC9-5308CE1DCF23}"/>
    <cellStyle name="Normal 4 2 4 3 2 4 3 4" xfId="14420" xr:uid="{CE69AE93-5FEA-40D0-8D15-F25014904033}"/>
    <cellStyle name="Normal 4 2 4 3 2 4 4" xfId="18643" xr:uid="{CB33B491-019B-4665-A95A-E922514B9287}"/>
    <cellStyle name="Normal 4 2 4 3 2 4 5" xfId="27088" xr:uid="{20B40073-5B94-4CF9-A4CB-CB0623AD94EC}"/>
    <cellStyle name="Normal 4 2 4 3 2 4 6" xfId="10202" xr:uid="{9760225A-E873-404D-A869-2F93084D38D5}"/>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25419" xr:uid="{7E63A803-133D-4544-9851-EABE2855360B}"/>
    <cellStyle name="Normal 4 2 4 3 2 5 2 2 3" xfId="33865" xr:uid="{E9CFA9F3-8E0A-45B5-9A18-A1F7AD930A52}"/>
    <cellStyle name="Normal 4 2 4 3 2 5 2 2 4" xfId="16978" xr:uid="{7D05CAC7-4FC6-4B7B-BD83-476A6E45BB1B}"/>
    <cellStyle name="Normal 4 2 4 3 2 5 2 3" xfId="21201" xr:uid="{1A799019-FC14-4DE9-A125-1217ACC25702}"/>
    <cellStyle name="Normal 4 2 4 3 2 5 2 4" xfId="29648" xr:uid="{EBA68C8D-DCE2-4893-929E-A730ADEB0E50}"/>
    <cellStyle name="Normal 4 2 4 3 2 5 2 5" xfId="12760" xr:uid="{C0E20ED5-1BDA-4D7D-B466-C93AE546D241}"/>
    <cellStyle name="Normal 4 2 4 3 2 5 3" xfId="6391" xr:uid="{00000000-0005-0000-0000-00008E130000}"/>
    <cellStyle name="Normal 4 2 4 3 2 5 3 2" xfId="23274" xr:uid="{AFDB679F-CE1A-4434-BF74-73EE9701CB92}"/>
    <cellStyle name="Normal 4 2 4 3 2 5 3 3" xfId="31720" xr:uid="{35CB65E4-B6D6-4A59-BDF6-3900C135B607}"/>
    <cellStyle name="Normal 4 2 4 3 2 5 3 4" xfId="14833" xr:uid="{6DD7DFCE-4C6F-4645-8408-DBEAB397C6AA}"/>
    <cellStyle name="Normal 4 2 4 3 2 5 4" xfId="19056" xr:uid="{FBDA3954-E0EC-4C64-ACB8-3E2EAC9430E5}"/>
    <cellStyle name="Normal 4 2 4 3 2 5 5" xfId="27501" xr:uid="{A57D5800-34E4-43C3-8C98-05CC9316C38E}"/>
    <cellStyle name="Normal 4 2 4 3 2 5 6" xfId="10615" xr:uid="{CF81F38E-AEFB-4C39-8696-B90C33692164}"/>
    <cellStyle name="Normal 4 2 4 3 2 6" xfId="2520" xr:uid="{00000000-0005-0000-0000-00008F130000}"/>
    <cellStyle name="Normal 4 2 4 3 2 6 2" xfId="6804" xr:uid="{00000000-0005-0000-0000-000090130000}"/>
    <cellStyle name="Normal 4 2 4 3 2 6 2 2" xfId="23687" xr:uid="{1D176F59-C203-4BD0-8BB9-EDD355BB9EB5}"/>
    <cellStyle name="Normal 4 2 4 3 2 6 2 3" xfId="32133" xr:uid="{46AD79FC-939C-4AC6-AB86-745BF82508C2}"/>
    <cellStyle name="Normal 4 2 4 3 2 6 2 4" xfId="15246" xr:uid="{DB875FEB-2A88-4239-8A2C-4F1FBA7B3591}"/>
    <cellStyle name="Normal 4 2 4 3 2 6 3" xfId="19469" xr:uid="{4172FF29-730D-4297-B076-5432C3B9F8A1}"/>
    <cellStyle name="Normal 4 2 4 3 2 6 4" xfId="27914" xr:uid="{D6497484-0A97-4DCC-9C95-DD7C8C188D2E}"/>
    <cellStyle name="Normal 4 2 4 3 2 6 5" xfId="11028" xr:uid="{215BFA3A-E906-4A2B-8A3B-BDF386C93F53}"/>
    <cellStyle name="Normal 4 2 4 3 2 7" xfId="4739" xr:uid="{00000000-0005-0000-0000-000091130000}"/>
    <cellStyle name="Normal 4 2 4 3 2 7 2" xfId="21622" xr:uid="{5A170076-293F-4EE4-9A09-46653FA8A2BC}"/>
    <cellStyle name="Normal 4 2 4 3 2 7 3" xfId="30068" xr:uid="{D2F40AC4-3396-4759-B013-B35DCD560BF7}"/>
    <cellStyle name="Normal 4 2 4 3 2 7 4" xfId="13181" xr:uid="{59681D8F-85E3-4471-BB3A-B5BFC2F14E52}"/>
    <cellStyle name="Normal 4 2 4 3 2 8" xfId="17404" xr:uid="{DA035FD0-35FF-4ED6-AE13-455D5A7ABD71}"/>
    <cellStyle name="Normal 4 2 4 3 2 9" xfId="25848" xr:uid="{2959D389-9D0F-4EC4-AEE3-65922E7ED52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24179" xr:uid="{EC67D58A-345B-4C83-B369-FD18AFDC4570}"/>
    <cellStyle name="Normal 4 2 4 3 3 2 2 3" xfId="32625" xr:uid="{91A14DB8-BDD2-47E4-AE3F-EBD5F281FF87}"/>
    <cellStyle name="Normal 4 2 4 3 3 2 2 4" xfId="15738" xr:uid="{D685C662-AD8C-42D6-9D28-2632EDD4F91E}"/>
    <cellStyle name="Normal 4 2 4 3 3 2 3" xfId="19961" xr:uid="{084F13E7-6C7B-4B5C-B162-EA33A54E14F5}"/>
    <cellStyle name="Normal 4 2 4 3 3 2 4" xfId="28408" xr:uid="{14B0587F-4A35-41BC-B530-0DC000D6EFE3}"/>
    <cellStyle name="Normal 4 2 4 3 3 2 5" xfId="11520" xr:uid="{1D3A7DB8-603E-4E75-B272-3BFDFA28B9E3}"/>
    <cellStyle name="Normal 4 2 4 3 3 3" xfId="5151" xr:uid="{00000000-0005-0000-0000-000095130000}"/>
    <cellStyle name="Normal 4 2 4 3 3 3 2" xfId="22034" xr:uid="{15FB1B0B-F603-46AB-B60C-D83A00A9DA9B}"/>
    <cellStyle name="Normal 4 2 4 3 3 3 3" xfId="30480" xr:uid="{1EC8A875-659E-457A-846D-ACC249C45367}"/>
    <cellStyle name="Normal 4 2 4 3 3 3 4" xfId="13593" xr:uid="{1D7D1C6B-C826-4D01-8F9D-86554F866C33}"/>
    <cellStyle name="Normal 4 2 4 3 3 4" xfId="17816" xr:uid="{AF8B793A-5824-4A69-945E-85B94A913B7A}"/>
    <cellStyle name="Normal 4 2 4 3 3 5" xfId="26261" xr:uid="{84A91B68-445A-480A-AB74-AA5A944E0354}"/>
    <cellStyle name="Normal 4 2 4 3 3 6" xfId="9375" xr:uid="{299A6011-F329-4382-8CDB-7B310D436C1F}"/>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24592" xr:uid="{648945ED-8D09-4240-838C-F92171489CEF}"/>
    <cellStyle name="Normal 4 2 4 3 4 2 2 3" xfId="33038" xr:uid="{F259FC11-2A4E-4D9F-ADAB-23D0419FB908}"/>
    <cellStyle name="Normal 4 2 4 3 4 2 2 4" xfId="16151" xr:uid="{4125CBA9-B8CC-43B4-B2ED-A9D284906BF4}"/>
    <cellStyle name="Normal 4 2 4 3 4 2 3" xfId="20374" xr:uid="{66AE9BED-CE87-4823-ACCA-299573BB0D12}"/>
    <cellStyle name="Normal 4 2 4 3 4 2 4" xfId="28821" xr:uid="{83187FE7-3891-4FEA-9E98-6FEC494A8210}"/>
    <cellStyle name="Normal 4 2 4 3 4 2 5" xfId="11933" xr:uid="{FEB244E9-7519-4444-8363-F30613327B70}"/>
    <cellStyle name="Normal 4 2 4 3 4 3" xfId="5564" xr:uid="{00000000-0005-0000-0000-000099130000}"/>
    <cellStyle name="Normal 4 2 4 3 4 3 2" xfId="22447" xr:uid="{032C4296-7802-4BF5-A2E7-9F016391052D}"/>
    <cellStyle name="Normal 4 2 4 3 4 3 3" xfId="30893" xr:uid="{FF053CAC-E4B4-4585-B7D9-298EE90091CC}"/>
    <cellStyle name="Normal 4 2 4 3 4 3 4" xfId="14006" xr:uid="{A99F7B3E-CD59-4115-B6AD-92AFDE8FE793}"/>
    <cellStyle name="Normal 4 2 4 3 4 4" xfId="18229" xr:uid="{43A1B800-2178-4DCE-818B-94FF343312C4}"/>
    <cellStyle name="Normal 4 2 4 3 4 5" xfId="26674" xr:uid="{9F1269E4-6712-4D2B-B1B7-B5A6547B8A10}"/>
    <cellStyle name="Normal 4 2 4 3 4 6" xfId="9788" xr:uid="{BBA327B9-E7C9-4B8D-B86F-714E0318BD64}"/>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25005" xr:uid="{7E0B6039-9DA9-4BA4-8539-9825B6A62ADD}"/>
    <cellStyle name="Normal 4 2 4 3 5 2 2 3" xfId="33451" xr:uid="{AEB1CE25-8523-46C9-8FC2-F4DF455278CE}"/>
    <cellStyle name="Normal 4 2 4 3 5 2 2 4" xfId="16564" xr:uid="{A96547D3-7D2A-4A70-A69B-F1660C8B3CD6}"/>
    <cellStyle name="Normal 4 2 4 3 5 2 3" xfId="20787" xr:uid="{2B384FA4-773A-4313-882C-E313D494832F}"/>
    <cellStyle name="Normal 4 2 4 3 5 2 4" xfId="29234" xr:uid="{C060C6E9-8F2F-465D-A734-AA8417A44E56}"/>
    <cellStyle name="Normal 4 2 4 3 5 2 5" xfId="12346" xr:uid="{59279BBF-B946-4ADB-84D6-F5E82E3BBDCC}"/>
    <cellStyle name="Normal 4 2 4 3 5 3" xfId="5977" xr:uid="{00000000-0005-0000-0000-00009D130000}"/>
    <cellStyle name="Normal 4 2 4 3 5 3 2" xfId="22860" xr:uid="{FF92B915-74BE-4BFF-8949-D01C4E593B95}"/>
    <cellStyle name="Normal 4 2 4 3 5 3 3" xfId="31306" xr:uid="{ED4575D2-F50F-4DF6-AF9A-0DB49E0BB1FB}"/>
    <cellStyle name="Normal 4 2 4 3 5 3 4" xfId="14419" xr:uid="{066255CB-AA8A-4245-8204-618400087CA1}"/>
    <cellStyle name="Normal 4 2 4 3 5 4" xfId="18642" xr:uid="{BF5D49C8-B934-4417-A3C0-DD47C52F5FA9}"/>
    <cellStyle name="Normal 4 2 4 3 5 5" xfId="27087" xr:uid="{D4B862CD-B3FE-4399-9D60-02911E60059C}"/>
    <cellStyle name="Normal 4 2 4 3 5 6" xfId="10201" xr:uid="{FC000E89-B1B3-425F-889C-36E4061EEB94}"/>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25418" xr:uid="{B7D6ACDF-A956-418E-B24D-6C2EE83CDE91}"/>
    <cellStyle name="Normal 4 2 4 3 6 2 2 3" xfId="33864" xr:uid="{B5D45938-3ECE-41FC-9938-883AA1E8BDF7}"/>
    <cellStyle name="Normal 4 2 4 3 6 2 2 4" xfId="16977" xr:uid="{9709D205-D7AB-4273-9610-46D1AF6E34CE}"/>
    <cellStyle name="Normal 4 2 4 3 6 2 3" xfId="21200" xr:uid="{0BB3937A-4DE0-4DA6-ABAB-2E009CF52EDA}"/>
    <cellStyle name="Normal 4 2 4 3 6 2 4" xfId="29647" xr:uid="{2D157DF4-AAF6-4AD7-B810-BC1968571AD4}"/>
    <cellStyle name="Normal 4 2 4 3 6 2 5" xfId="12759" xr:uid="{9C98B1F4-5B66-42B8-90BB-E5705833B268}"/>
    <cellStyle name="Normal 4 2 4 3 6 3" xfId="6390" xr:uid="{00000000-0005-0000-0000-0000A1130000}"/>
    <cellStyle name="Normal 4 2 4 3 6 3 2" xfId="23273" xr:uid="{7EF9D3FB-6C30-4879-9B20-31AF32892A8E}"/>
    <cellStyle name="Normal 4 2 4 3 6 3 3" xfId="31719" xr:uid="{B6554CF9-2670-4ECA-AA3E-E4B7318279E6}"/>
    <cellStyle name="Normal 4 2 4 3 6 3 4" xfId="14832" xr:uid="{5290ECD7-296F-40E9-857D-3C6DF2294EF0}"/>
    <cellStyle name="Normal 4 2 4 3 6 4" xfId="19055" xr:uid="{FE30601F-D64E-48B3-B707-97CCE7AFD0B5}"/>
    <cellStyle name="Normal 4 2 4 3 6 5" xfId="27500" xr:uid="{6791F1F5-A010-4503-9EA4-E5B9C7ADA3F6}"/>
    <cellStyle name="Normal 4 2 4 3 6 6" xfId="10614" xr:uid="{22C0B69A-9F29-4F7A-9939-DE5A0139EF9B}"/>
    <cellStyle name="Normal 4 2 4 3 7" xfId="2519" xr:uid="{00000000-0005-0000-0000-0000A2130000}"/>
    <cellStyle name="Normal 4 2 4 3 7 2" xfId="6803" xr:uid="{00000000-0005-0000-0000-0000A3130000}"/>
    <cellStyle name="Normal 4 2 4 3 7 2 2" xfId="23686" xr:uid="{27FE00CF-8B1F-43BA-AC93-DB271899D25A}"/>
    <cellStyle name="Normal 4 2 4 3 7 2 3" xfId="32132" xr:uid="{DBB4098E-E843-4F28-9C97-2AC429DA8F5D}"/>
    <cellStyle name="Normal 4 2 4 3 7 2 4" xfId="15245" xr:uid="{3E1E72EF-FCE8-4B53-88F9-43F685006317}"/>
    <cellStyle name="Normal 4 2 4 3 7 3" xfId="19468" xr:uid="{3AA59182-CCDA-4075-B22D-4226E4BCE4DB}"/>
    <cellStyle name="Normal 4 2 4 3 7 4" xfId="27913" xr:uid="{BE3CB6A4-9A67-4479-9ADD-00C547DCA6B2}"/>
    <cellStyle name="Normal 4 2 4 3 7 5" xfId="11027" xr:uid="{21DFFED8-591D-4AD6-9867-4CB607A5EBDB}"/>
    <cellStyle name="Normal 4 2 4 3 8" xfId="4738" xr:uid="{00000000-0005-0000-0000-0000A4130000}"/>
    <cellStyle name="Normal 4 2 4 3 8 2" xfId="21621" xr:uid="{28D6939C-9B42-4EAA-9EC9-BBFC54B8EFAD}"/>
    <cellStyle name="Normal 4 2 4 3 8 3" xfId="30067" xr:uid="{44FFEA8E-8441-4AF7-8694-FBAD21DFC2AF}"/>
    <cellStyle name="Normal 4 2 4 3 8 4" xfId="13180" xr:uid="{E20D5E98-1626-4DA0-A08F-F6660AC3DD0D}"/>
    <cellStyle name="Normal 4 2 4 3 9" xfId="17403" xr:uid="{82B60103-E886-4634-8520-2A498288635C}"/>
    <cellStyle name="Normal 4 2 4 4" xfId="362" xr:uid="{00000000-0005-0000-0000-0000A5130000}"/>
    <cellStyle name="Normal 4 2 4 4 10" xfId="8964" xr:uid="{606ABC05-E081-4569-86EA-5F4B6D2AD613}"/>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24181" xr:uid="{A0CB20C6-BD1E-4E22-ABDA-14F08751A04C}"/>
    <cellStyle name="Normal 4 2 4 4 2 2 2 3" xfId="32627" xr:uid="{A918100C-EC71-4517-848C-A886A5C6C7F8}"/>
    <cellStyle name="Normal 4 2 4 4 2 2 2 4" xfId="15740" xr:uid="{20AB4818-9F1E-44F4-9F13-34DD2E1D6B30}"/>
    <cellStyle name="Normal 4 2 4 4 2 2 3" xfId="19963" xr:uid="{B3E98760-A86A-4EC4-A8A0-229DF9ED8E25}"/>
    <cellStyle name="Normal 4 2 4 4 2 2 4" xfId="28410" xr:uid="{C8836DC5-534E-48A5-A102-F16A2511B58C}"/>
    <cellStyle name="Normal 4 2 4 4 2 2 5" xfId="11522" xr:uid="{759AF574-23F9-4254-8443-D17B8F016D68}"/>
    <cellStyle name="Normal 4 2 4 4 2 3" xfId="5153" xr:uid="{00000000-0005-0000-0000-0000A9130000}"/>
    <cellStyle name="Normal 4 2 4 4 2 3 2" xfId="22036" xr:uid="{ADC09961-4DE7-4BB1-B7CE-71A60DCC3E7D}"/>
    <cellStyle name="Normal 4 2 4 4 2 3 3" xfId="30482" xr:uid="{D9190D95-551A-495F-94AD-1C112FEB8545}"/>
    <cellStyle name="Normal 4 2 4 4 2 3 4" xfId="13595" xr:uid="{56CFE224-2808-47FB-8A2D-990DC4C72458}"/>
    <cellStyle name="Normal 4 2 4 4 2 4" xfId="17818" xr:uid="{2C5B712E-AF6C-423B-BDDA-84B4DFC9DBC8}"/>
    <cellStyle name="Normal 4 2 4 4 2 5" xfId="26263" xr:uid="{6CCA007A-386E-40BB-8565-76642408669E}"/>
    <cellStyle name="Normal 4 2 4 4 2 6" xfId="9377" xr:uid="{06B71EF3-7F3F-4CB2-B025-F5673F48E552}"/>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24594" xr:uid="{F51D11DC-A5BB-49AD-BD9C-A4D377FFB828}"/>
    <cellStyle name="Normal 4 2 4 4 3 2 2 3" xfId="33040" xr:uid="{6322C1CC-171E-4297-ABB0-21E25733966D}"/>
    <cellStyle name="Normal 4 2 4 4 3 2 2 4" xfId="16153" xr:uid="{3FC4E7CB-847C-418B-ADBA-A6AB7DC059A4}"/>
    <cellStyle name="Normal 4 2 4 4 3 2 3" xfId="20376" xr:uid="{2432DA91-7FE3-42B0-87DA-F4C001ED7D8F}"/>
    <cellStyle name="Normal 4 2 4 4 3 2 4" xfId="28823" xr:uid="{97CB958A-22E8-45CF-BFFF-67AB3836ACB1}"/>
    <cellStyle name="Normal 4 2 4 4 3 2 5" xfId="11935" xr:uid="{E46D8C99-9F88-44C6-A651-257D6DD8C023}"/>
    <cellStyle name="Normal 4 2 4 4 3 3" xfId="5566" xr:uid="{00000000-0005-0000-0000-0000AD130000}"/>
    <cellStyle name="Normal 4 2 4 4 3 3 2" xfId="22449" xr:uid="{AE0A268C-FC2E-4746-9706-26DE1E464E9D}"/>
    <cellStyle name="Normal 4 2 4 4 3 3 3" xfId="30895" xr:uid="{D7769E35-6C2A-4FB7-A7F3-C3A6F95EE46E}"/>
    <cellStyle name="Normal 4 2 4 4 3 3 4" xfId="14008" xr:uid="{3B247EE1-5449-4023-9001-81A723A3EC96}"/>
    <cellStyle name="Normal 4 2 4 4 3 4" xfId="18231" xr:uid="{CF3BE906-2D92-46F6-8BB5-3D87C97FCA61}"/>
    <cellStyle name="Normal 4 2 4 4 3 5" xfId="26676" xr:uid="{A4233677-0365-40AA-9BBC-D8BD11A662E2}"/>
    <cellStyle name="Normal 4 2 4 4 3 6" xfId="9790" xr:uid="{010DE1E6-8190-4B71-BEFE-61757764771C}"/>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25007" xr:uid="{27539FDA-1B24-4272-BD01-518860A3A527}"/>
    <cellStyle name="Normal 4 2 4 4 4 2 2 3" xfId="33453" xr:uid="{1A825ED0-9E71-4A50-9271-74AF6D232B49}"/>
    <cellStyle name="Normal 4 2 4 4 4 2 2 4" xfId="16566" xr:uid="{EEB790DB-F886-498F-BB19-A71C24BF43AA}"/>
    <cellStyle name="Normal 4 2 4 4 4 2 3" xfId="20789" xr:uid="{3E313FDB-2C4A-49AA-B8B0-346D2212BB70}"/>
    <cellStyle name="Normal 4 2 4 4 4 2 4" xfId="29236" xr:uid="{EC384934-A846-49B2-83D8-A9B21220FE18}"/>
    <cellStyle name="Normal 4 2 4 4 4 2 5" xfId="12348" xr:uid="{C1A4F695-2533-473B-8FDE-C70FBB020691}"/>
    <cellStyle name="Normal 4 2 4 4 4 3" xfId="5979" xr:uid="{00000000-0005-0000-0000-0000B1130000}"/>
    <cellStyle name="Normal 4 2 4 4 4 3 2" xfId="22862" xr:uid="{A12ED039-6913-4808-9D76-6BC5EA03BB97}"/>
    <cellStyle name="Normal 4 2 4 4 4 3 3" xfId="31308" xr:uid="{1980DB66-60F6-45EC-9BC8-01D4587289EA}"/>
    <cellStyle name="Normal 4 2 4 4 4 3 4" xfId="14421" xr:uid="{B5F16E19-1FB3-4A63-B79B-BD05B54C2C77}"/>
    <cellStyle name="Normal 4 2 4 4 4 4" xfId="18644" xr:uid="{DE63B8DB-CF64-4895-B66D-439F73367AF2}"/>
    <cellStyle name="Normal 4 2 4 4 4 5" xfId="27089" xr:uid="{E568F06C-44D6-4870-8E93-5AE859DD7331}"/>
    <cellStyle name="Normal 4 2 4 4 4 6" xfId="10203" xr:uid="{84B6E89F-A289-4911-BC57-2D81D7F8EA53}"/>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25420" xr:uid="{C9D909E0-81DA-4AB8-8511-BAEB25BDC431}"/>
    <cellStyle name="Normal 4 2 4 4 5 2 2 3" xfId="33866" xr:uid="{AD144430-3244-45D0-89A1-46648C9D2652}"/>
    <cellStyle name="Normal 4 2 4 4 5 2 2 4" xfId="16979" xr:uid="{D21E5AC4-51A1-48DD-A9E3-3098A8CE7D56}"/>
    <cellStyle name="Normal 4 2 4 4 5 2 3" xfId="21202" xr:uid="{0469FF5D-2DAD-4ABF-8FDF-F1B64D9B63A3}"/>
    <cellStyle name="Normal 4 2 4 4 5 2 4" xfId="29649" xr:uid="{B818B3B1-EC22-4DAD-B6E9-D96041A4DFDC}"/>
    <cellStyle name="Normal 4 2 4 4 5 2 5" xfId="12761" xr:uid="{A17E7366-C0D5-4F71-8E81-4D57C6257F66}"/>
    <cellStyle name="Normal 4 2 4 4 5 3" xfId="6392" xr:uid="{00000000-0005-0000-0000-0000B5130000}"/>
    <cellStyle name="Normal 4 2 4 4 5 3 2" xfId="23275" xr:uid="{96DD2E8A-61D7-4630-931E-F6015432AED8}"/>
    <cellStyle name="Normal 4 2 4 4 5 3 3" xfId="31721" xr:uid="{363B309E-F382-4F8C-B4A4-B41C24486DB5}"/>
    <cellStyle name="Normal 4 2 4 4 5 3 4" xfId="14834" xr:uid="{4857732D-5858-4C5E-9E75-7D963E8F3F9A}"/>
    <cellStyle name="Normal 4 2 4 4 5 4" xfId="19057" xr:uid="{A135356A-6FEF-4DAC-9FC9-09D54BCF1AA0}"/>
    <cellStyle name="Normal 4 2 4 4 5 5" xfId="27502" xr:uid="{F8E15430-9066-4B46-BCD8-D4AE7BCC2A42}"/>
    <cellStyle name="Normal 4 2 4 4 5 6" xfId="10616" xr:uid="{8E91D886-8E82-40E2-B871-6EAA7AA879CE}"/>
    <cellStyle name="Normal 4 2 4 4 6" xfId="2521" xr:uid="{00000000-0005-0000-0000-0000B6130000}"/>
    <cellStyle name="Normal 4 2 4 4 6 2" xfId="6805" xr:uid="{00000000-0005-0000-0000-0000B7130000}"/>
    <cellStyle name="Normal 4 2 4 4 6 2 2" xfId="23688" xr:uid="{EA658443-EBC9-42A9-87F9-020A75655D98}"/>
    <cellStyle name="Normal 4 2 4 4 6 2 3" xfId="32134" xr:uid="{C9610663-9764-491E-9601-37F4E73E78AD}"/>
    <cellStyle name="Normal 4 2 4 4 6 2 4" xfId="15247" xr:uid="{7E5469E8-2C13-47F5-B454-91F989A83AE9}"/>
    <cellStyle name="Normal 4 2 4 4 6 3" xfId="19470" xr:uid="{8B6BA91C-5A1A-4D53-A6AF-05005558A668}"/>
    <cellStyle name="Normal 4 2 4 4 6 4" xfId="27915" xr:uid="{3D88EA50-D715-4AAF-9956-B9D232C6194F}"/>
    <cellStyle name="Normal 4 2 4 4 6 5" xfId="11029" xr:uid="{AE671BB8-BEB6-4BAC-87B0-9A74A88F5CAE}"/>
    <cellStyle name="Normal 4 2 4 4 7" xfId="4740" xr:uid="{00000000-0005-0000-0000-0000B8130000}"/>
    <cellStyle name="Normal 4 2 4 4 7 2" xfId="21623" xr:uid="{09CE05A2-5DC2-41D9-898F-668F1D1EC24C}"/>
    <cellStyle name="Normal 4 2 4 4 7 3" xfId="30069" xr:uid="{F2AD1E92-0231-46B4-87B9-81A640718A70}"/>
    <cellStyle name="Normal 4 2 4 4 7 4" xfId="13182" xr:uid="{A1E22795-C87F-4F9B-87C2-03AF06881D20}"/>
    <cellStyle name="Normal 4 2 4 4 8" xfId="17405" xr:uid="{E8F3FEA7-D413-42AD-BDDD-1FE0D4675B97}"/>
    <cellStyle name="Normal 4 2 4 4 9" xfId="25849" xr:uid="{34125ED9-5971-48EB-BC4E-D99514E31EDA}"/>
    <cellStyle name="Normal 4 2 4 5" xfId="831" xr:uid="{00000000-0005-0000-0000-0000B9130000}"/>
    <cellStyle name="Normal 4 2 4 5 2" xfId="3068" xr:uid="{00000000-0005-0000-0000-0000BA130000}"/>
    <cellStyle name="Normal 4 2 4 5 2 2" xfId="7291" xr:uid="{00000000-0005-0000-0000-0000BB130000}"/>
    <cellStyle name="Normal 4 2 4 5 2 2 2" xfId="24174" xr:uid="{0474BBE8-FE10-41ED-A3AB-680F4762ACB0}"/>
    <cellStyle name="Normal 4 2 4 5 2 2 3" xfId="32620" xr:uid="{439DB2FB-4662-4CFE-8F7E-D27543249739}"/>
    <cellStyle name="Normal 4 2 4 5 2 2 4" xfId="15733" xr:uid="{D000E505-180C-4168-A9E6-212E19BF8076}"/>
    <cellStyle name="Normal 4 2 4 5 2 3" xfId="19956" xr:uid="{1346CDF1-53AB-4CA5-9601-7A7AFA697EE5}"/>
    <cellStyle name="Normal 4 2 4 5 2 4" xfId="28403" xr:uid="{8077068C-AE70-43B3-BDE1-8AD8E4800A2F}"/>
    <cellStyle name="Normal 4 2 4 5 2 5" xfId="11515" xr:uid="{747FF3B3-DB50-45D8-8304-66AF7A4EE212}"/>
    <cellStyle name="Normal 4 2 4 5 3" xfId="5146" xr:uid="{00000000-0005-0000-0000-0000BC130000}"/>
    <cellStyle name="Normal 4 2 4 5 3 2" xfId="22029" xr:uid="{CEA18B7F-9959-4B8C-BD03-760234E959B0}"/>
    <cellStyle name="Normal 4 2 4 5 3 3" xfId="30475" xr:uid="{139257C9-E4FC-461B-A2CC-8CDE4A0C6B2E}"/>
    <cellStyle name="Normal 4 2 4 5 3 4" xfId="13588" xr:uid="{30091CAA-C5FC-42CD-AAED-98785FF1840A}"/>
    <cellStyle name="Normal 4 2 4 5 4" xfId="17811" xr:uid="{F01A30EB-1281-4E26-8FBF-016CB9889935}"/>
    <cellStyle name="Normal 4 2 4 5 5" xfId="26256" xr:uid="{C867ECB9-99A0-4D20-810A-A5E7BD2C94CC}"/>
    <cellStyle name="Normal 4 2 4 5 6" xfId="9370" xr:uid="{7B6E7CCC-FBB5-4DFA-A4F6-916C51ABCEAA}"/>
    <cellStyle name="Normal 4 2 4 6" xfId="1251" xr:uid="{00000000-0005-0000-0000-0000BD130000}"/>
    <cellStyle name="Normal 4 2 4 6 2" xfId="3481" xr:uid="{00000000-0005-0000-0000-0000BE130000}"/>
    <cellStyle name="Normal 4 2 4 6 2 2" xfId="7704" xr:uid="{00000000-0005-0000-0000-0000BF130000}"/>
    <cellStyle name="Normal 4 2 4 6 2 2 2" xfId="24587" xr:uid="{CD79A9F5-FFBD-4FDE-AF82-241B4AFF510A}"/>
    <cellStyle name="Normal 4 2 4 6 2 2 3" xfId="33033" xr:uid="{6E6152D4-9397-40FD-B4C3-22F8799A1496}"/>
    <cellStyle name="Normal 4 2 4 6 2 2 4" xfId="16146" xr:uid="{E749B41F-381C-4BE4-8104-607632AAA528}"/>
    <cellStyle name="Normal 4 2 4 6 2 3" xfId="20369" xr:uid="{AEB078F6-2EBA-4DE3-8EDE-F1C3A403F9EE}"/>
    <cellStyle name="Normal 4 2 4 6 2 4" xfId="28816" xr:uid="{66E2A4B6-E60F-4B63-9794-218B452798E7}"/>
    <cellStyle name="Normal 4 2 4 6 2 5" xfId="11928" xr:uid="{55029D18-EC8F-42C5-BC7E-7B8EC16AABED}"/>
    <cellStyle name="Normal 4 2 4 6 3" xfId="5559" xr:uid="{00000000-0005-0000-0000-0000C0130000}"/>
    <cellStyle name="Normal 4 2 4 6 3 2" xfId="22442" xr:uid="{FA708640-0326-4F26-A0A1-9AECFA5E4CCF}"/>
    <cellStyle name="Normal 4 2 4 6 3 3" xfId="30888" xr:uid="{1B7DB7C2-7B51-47B4-A64B-365CFE13AE43}"/>
    <cellStyle name="Normal 4 2 4 6 3 4" xfId="14001" xr:uid="{B997671D-48DB-4AEA-82BE-1337F4E85B1C}"/>
    <cellStyle name="Normal 4 2 4 6 4" xfId="18224" xr:uid="{138DA15A-AB57-46DC-8CB1-497012F5639C}"/>
    <cellStyle name="Normal 4 2 4 6 5" xfId="26669" xr:uid="{FEB992F9-93A9-4F4F-8CFF-C9AF4B58DA20}"/>
    <cellStyle name="Normal 4 2 4 6 6" xfId="9783" xr:uid="{4D33430C-D832-4C3E-8BF0-2708935A9585}"/>
    <cellStyle name="Normal 4 2 4 7" xfId="1664" xr:uid="{00000000-0005-0000-0000-0000C1130000}"/>
    <cellStyle name="Normal 4 2 4 7 2" xfId="3894" xr:uid="{00000000-0005-0000-0000-0000C2130000}"/>
    <cellStyle name="Normal 4 2 4 7 2 2" xfId="8117" xr:uid="{00000000-0005-0000-0000-0000C3130000}"/>
    <cellStyle name="Normal 4 2 4 7 2 2 2" xfId="25000" xr:uid="{49DAB418-C564-44D1-9BC4-891EC2780EFB}"/>
    <cellStyle name="Normal 4 2 4 7 2 2 3" xfId="33446" xr:uid="{72652492-9381-4EC1-B454-4AA0A1A2D951}"/>
    <cellStyle name="Normal 4 2 4 7 2 2 4" xfId="16559" xr:uid="{46CCA809-CEA5-4015-ABA4-2DFB743C0838}"/>
    <cellStyle name="Normal 4 2 4 7 2 3" xfId="20782" xr:uid="{099EF800-DF0D-4666-ACDB-0ECF9C2E76A9}"/>
    <cellStyle name="Normal 4 2 4 7 2 4" xfId="29229" xr:uid="{555808F2-9BC9-48D3-9E11-A3FAA7A1C603}"/>
    <cellStyle name="Normal 4 2 4 7 2 5" xfId="12341" xr:uid="{B853CF8D-78B0-4BD9-A857-FC80F0CD0775}"/>
    <cellStyle name="Normal 4 2 4 7 3" xfId="5972" xr:uid="{00000000-0005-0000-0000-0000C4130000}"/>
    <cellStyle name="Normal 4 2 4 7 3 2" xfId="22855" xr:uid="{5620622E-B726-4A37-AED3-B3E4CC1E6368}"/>
    <cellStyle name="Normal 4 2 4 7 3 3" xfId="31301" xr:uid="{6F332ED8-7763-49E9-86E9-AB3BADBF0C8A}"/>
    <cellStyle name="Normal 4 2 4 7 3 4" xfId="14414" xr:uid="{11D75973-B5DF-49ED-A7CE-2E45E74DB0FB}"/>
    <cellStyle name="Normal 4 2 4 7 4" xfId="18637" xr:uid="{CED1249D-A7FD-4655-B54E-AF36B528AF7C}"/>
    <cellStyle name="Normal 4 2 4 7 5" xfId="27082" xr:uid="{0500690D-1941-4D22-8F8F-1D1281611A41}"/>
    <cellStyle name="Normal 4 2 4 7 6" xfId="10196" xr:uid="{018EAE1A-7D96-457C-8D00-C7CAE5970DB9}"/>
    <cellStyle name="Normal 4 2 4 8" xfId="2078" xr:uid="{00000000-0005-0000-0000-0000C5130000}"/>
    <cellStyle name="Normal 4 2 4 8 2" xfId="4307" xr:uid="{00000000-0005-0000-0000-0000C6130000}"/>
    <cellStyle name="Normal 4 2 4 8 2 2" xfId="8530" xr:uid="{00000000-0005-0000-0000-0000C7130000}"/>
    <cellStyle name="Normal 4 2 4 8 2 2 2" xfId="25413" xr:uid="{9C2DAD31-E8E2-4822-A503-DCD3822854E9}"/>
    <cellStyle name="Normal 4 2 4 8 2 2 3" xfId="33859" xr:uid="{5F6E4F26-3DDD-4906-8F26-0458CFA39816}"/>
    <cellStyle name="Normal 4 2 4 8 2 2 4" xfId="16972" xr:uid="{3D81ECF3-A428-4F44-A609-20922A17092D}"/>
    <cellStyle name="Normal 4 2 4 8 2 3" xfId="21195" xr:uid="{2D255104-86E6-448E-9345-31252D6C4B31}"/>
    <cellStyle name="Normal 4 2 4 8 2 4" xfId="29642" xr:uid="{ACBD8773-1F92-479C-A16E-FE30ED7D84B7}"/>
    <cellStyle name="Normal 4 2 4 8 2 5" xfId="12754" xr:uid="{3076A0D5-66D3-45DA-B6EE-0AD831586012}"/>
    <cellStyle name="Normal 4 2 4 8 3" xfId="6385" xr:uid="{00000000-0005-0000-0000-0000C8130000}"/>
    <cellStyle name="Normal 4 2 4 8 3 2" xfId="23268" xr:uid="{5C91A4FA-ABED-4E1A-885D-0732D7A734AF}"/>
    <cellStyle name="Normal 4 2 4 8 3 3" xfId="31714" xr:uid="{2AFAFACB-2574-4643-A1E7-6F326642C364}"/>
    <cellStyle name="Normal 4 2 4 8 3 4" xfId="14827" xr:uid="{5627C1FD-9FD4-4060-B303-CB760ADDD66C}"/>
    <cellStyle name="Normal 4 2 4 8 4" xfId="19050" xr:uid="{86A038C4-4A1D-44CA-A033-0CA8E6A37C3C}"/>
    <cellStyle name="Normal 4 2 4 8 5" xfId="27495" xr:uid="{8E8E32FA-E6CC-4240-9D1F-FB4CFDEEB596}"/>
    <cellStyle name="Normal 4 2 4 8 6" xfId="10609" xr:uid="{C01C0801-783A-40D7-81E1-0F5B7CBCA9FD}"/>
    <cellStyle name="Normal 4 2 4 9" xfId="2514" xr:uid="{00000000-0005-0000-0000-0000C9130000}"/>
    <cellStyle name="Normal 4 2 4 9 2" xfId="6798" xr:uid="{00000000-0005-0000-0000-0000CA130000}"/>
    <cellStyle name="Normal 4 2 4 9 2 2" xfId="23681" xr:uid="{E1434EE8-13A8-429D-80EF-1E5EDBBA082B}"/>
    <cellStyle name="Normal 4 2 4 9 2 3" xfId="32127" xr:uid="{4C06D528-0D92-4A53-A0D5-6E7F28F24DBA}"/>
    <cellStyle name="Normal 4 2 4 9 2 4" xfId="15240" xr:uid="{86691C0A-4B20-4C5E-A404-C6FD0393BAC5}"/>
    <cellStyle name="Normal 4 2 4 9 3" xfId="19463" xr:uid="{43A4895D-85E0-4733-B5FA-F6AEE5C2DB56}"/>
    <cellStyle name="Normal 4 2 4 9 4" xfId="27908" xr:uid="{E42EA6F8-C087-4AF5-8C10-ED1E5FD0A3E0}"/>
    <cellStyle name="Normal 4 2 4 9 5" xfId="11022" xr:uid="{7F29B30E-EA99-416D-AC5E-88D99CB7122B}"/>
    <cellStyle name="Normal 4 2 5" xfId="363" xr:uid="{00000000-0005-0000-0000-0000CB130000}"/>
    <cellStyle name="Normal 4 2 5 10" xfId="25850" xr:uid="{CB34B6D9-DCFF-4E6F-B0B8-445F3B28F39F}"/>
    <cellStyle name="Normal 4 2 5 11" xfId="8965" xr:uid="{47AAA169-11B3-46E7-8BAA-A90AEB9DA87D}"/>
    <cellStyle name="Normal 4 2 5 2" xfId="364" xr:uid="{00000000-0005-0000-0000-0000CC130000}"/>
    <cellStyle name="Normal 4 2 5 2 10" xfId="8966" xr:uid="{E26F0B81-3284-46D0-AE85-E3981F92C10B}"/>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24183" xr:uid="{422B6481-A256-4CBF-8592-A745E60A52F3}"/>
    <cellStyle name="Normal 4 2 5 2 2 2 2 3" xfId="32629" xr:uid="{EBABA7B2-479C-4ECB-95C8-F7140D7A0DEA}"/>
    <cellStyle name="Normal 4 2 5 2 2 2 2 4" xfId="15742" xr:uid="{801D463F-576E-4BC0-9F94-74630BB29353}"/>
    <cellStyle name="Normal 4 2 5 2 2 2 3" xfId="19965" xr:uid="{EC55D1B1-1981-432F-9348-2F5A829A9263}"/>
    <cellStyle name="Normal 4 2 5 2 2 2 4" xfId="28412" xr:uid="{20BB4829-02F7-4AC5-B740-A9A92FC00D23}"/>
    <cellStyle name="Normal 4 2 5 2 2 2 5" xfId="11524" xr:uid="{12D3B2CB-978B-46C9-910B-DE5BBC86EFF1}"/>
    <cellStyle name="Normal 4 2 5 2 2 3" xfId="5155" xr:uid="{00000000-0005-0000-0000-0000D0130000}"/>
    <cellStyle name="Normal 4 2 5 2 2 3 2" xfId="22038" xr:uid="{E601A76B-7917-4091-AE8D-F2DEB1482444}"/>
    <cellStyle name="Normal 4 2 5 2 2 3 3" xfId="30484" xr:uid="{377EF167-6AC9-44A4-AF3E-CD400C8E1C6D}"/>
    <cellStyle name="Normal 4 2 5 2 2 3 4" xfId="13597" xr:uid="{CD405A72-C919-4D17-9AF9-A1FFA09E166B}"/>
    <cellStyle name="Normal 4 2 5 2 2 4" xfId="17820" xr:uid="{9F18A5FB-D960-42A5-B27D-C8BFDD88E0EB}"/>
    <cellStyle name="Normal 4 2 5 2 2 5" xfId="26265" xr:uid="{769711EF-7008-4C5A-AC98-50715FF9A2ED}"/>
    <cellStyle name="Normal 4 2 5 2 2 6" xfId="9379" xr:uid="{3D81DF61-B37F-4EE7-A98D-6CF96FB453E0}"/>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24596" xr:uid="{58337265-807A-4B10-8616-4C708F5E7959}"/>
    <cellStyle name="Normal 4 2 5 2 3 2 2 3" xfId="33042" xr:uid="{1283B61B-B39D-4BAE-9A9F-075062C24E1F}"/>
    <cellStyle name="Normal 4 2 5 2 3 2 2 4" xfId="16155" xr:uid="{CA7E9E37-3A76-4825-9FF9-9FD37B023B00}"/>
    <cellStyle name="Normal 4 2 5 2 3 2 3" xfId="20378" xr:uid="{C7ED6816-5BCC-42A6-A743-2416B8C5CD76}"/>
    <cellStyle name="Normal 4 2 5 2 3 2 4" xfId="28825" xr:uid="{E758C285-CFB0-4B11-92FB-0FB167DC34C8}"/>
    <cellStyle name="Normal 4 2 5 2 3 2 5" xfId="11937" xr:uid="{866E38E9-57FA-4FA3-9EE4-DFA29F8C86E7}"/>
    <cellStyle name="Normal 4 2 5 2 3 3" xfId="5568" xr:uid="{00000000-0005-0000-0000-0000D4130000}"/>
    <cellStyle name="Normal 4 2 5 2 3 3 2" xfId="22451" xr:uid="{643BA7C4-8ED8-4B17-BDAA-B760D4EEAF37}"/>
    <cellStyle name="Normal 4 2 5 2 3 3 3" xfId="30897" xr:uid="{555BAB64-6BCB-4D42-BEE9-AE9CAF100BBE}"/>
    <cellStyle name="Normal 4 2 5 2 3 3 4" xfId="14010" xr:uid="{E7B05FF9-FA67-4BDB-B8C9-14328075D19C}"/>
    <cellStyle name="Normal 4 2 5 2 3 4" xfId="18233" xr:uid="{D5B2514C-CF47-4E48-B1A9-39E360623AE3}"/>
    <cellStyle name="Normal 4 2 5 2 3 5" xfId="26678" xr:uid="{A0CEF7F2-1148-43B0-BAFA-1AFB101BAE56}"/>
    <cellStyle name="Normal 4 2 5 2 3 6" xfId="9792" xr:uid="{18C4C6E5-C3C1-48EA-B633-957A1EC0E239}"/>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25009" xr:uid="{5AD05889-B43B-4245-8087-76597E6F11A7}"/>
    <cellStyle name="Normal 4 2 5 2 4 2 2 3" xfId="33455" xr:uid="{18561AA8-79FA-4343-8FD7-6B0F83B4314E}"/>
    <cellStyle name="Normal 4 2 5 2 4 2 2 4" xfId="16568" xr:uid="{FF75B464-31B1-45C2-9F9A-66BD0058DAA6}"/>
    <cellStyle name="Normal 4 2 5 2 4 2 3" xfId="20791" xr:uid="{AF0F1291-3821-4D7D-BCA7-18C45D7769B9}"/>
    <cellStyle name="Normal 4 2 5 2 4 2 4" xfId="29238" xr:uid="{542B4967-C151-4129-BA02-670D70896957}"/>
    <cellStyle name="Normal 4 2 5 2 4 2 5" xfId="12350" xr:uid="{8D4E0E5A-D173-42A0-894E-17219C4D7B85}"/>
    <cellStyle name="Normal 4 2 5 2 4 3" xfId="5981" xr:uid="{00000000-0005-0000-0000-0000D8130000}"/>
    <cellStyle name="Normal 4 2 5 2 4 3 2" xfId="22864" xr:uid="{7685E0F6-18B7-4393-8DDB-1F2CB25B4A04}"/>
    <cellStyle name="Normal 4 2 5 2 4 3 3" xfId="31310" xr:uid="{BB5A3978-F3B3-4C1D-8061-9E0EA58C4217}"/>
    <cellStyle name="Normal 4 2 5 2 4 3 4" xfId="14423" xr:uid="{BE043456-B6DC-4E4F-BE51-6C69EB5D553B}"/>
    <cellStyle name="Normal 4 2 5 2 4 4" xfId="18646" xr:uid="{5FE681F8-6483-4D28-8020-578224BB91F2}"/>
    <cellStyle name="Normal 4 2 5 2 4 5" xfId="27091" xr:uid="{80D29082-5578-4C76-8CAA-811DE76F2344}"/>
    <cellStyle name="Normal 4 2 5 2 4 6" xfId="10205" xr:uid="{471E2A11-08C6-4A04-AB35-782BFE887E8D}"/>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25422" xr:uid="{34F42E9B-4EBF-4296-9E30-B61485121AE0}"/>
    <cellStyle name="Normal 4 2 5 2 5 2 2 3" xfId="33868" xr:uid="{E847F9FF-A0BD-4DAB-AB5A-2A8E9E01D640}"/>
    <cellStyle name="Normal 4 2 5 2 5 2 2 4" xfId="16981" xr:uid="{9D1F501E-F3D0-438B-9D91-E51D08DC145A}"/>
    <cellStyle name="Normal 4 2 5 2 5 2 3" xfId="21204" xr:uid="{F7405772-0B47-42F5-9B5B-ADFFF650C446}"/>
    <cellStyle name="Normal 4 2 5 2 5 2 4" xfId="29651" xr:uid="{15A6D480-BD21-431E-9B7B-975B116AB577}"/>
    <cellStyle name="Normal 4 2 5 2 5 2 5" xfId="12763" xr:uid="{D263C636-998A-4F06-BD27-F2F246E50FA6}"/>
    <cellStyle name="Normal 4 2 5 2 5 3" xfId="6394" xr:uid="{00000000-0005-0000-0000-0000DC130000}"/>
    <cellStyle name="Normal 4 2 5 2 5 3 2" xfId="23277" xr:uid="{041E8EF4-C55B-4620-9374-E230A20CB091}"/>
    <cellStyle name="Normal 4 2 5 2 5 3 3" xfId="31723" xr:uid="{209A300C-315D-4691-BAD0-F26EB5494ED1}"/>
    <cellStyle name="Normal 4 2 5 2 5 3 4" xfId="14836" xr:uid="{F93A1BFC-1FE8-4BF8-B9E3-921A33BB4298}"/>
    <cellStyle name="Normal 4 2 5 2 5 4" xfId="19059" xr:uid="{B2BEC296-DC8E-44DA-A1CD-705D38571D1B}"/>
    <cellStyle name="Normal 4 2 5 2 5 5" xfId="27504" xr:uid="{D4BC44C2-2268-40EA-9C26-7B866F2F431D}"/>
    <cellStyle name="Normal 4 2 5 2 5 6" xfId="10618" xr:uid="{717758B3-CF3A-4F24-8FC2-1BFDB86C1A24}"/>
    <cellStyle name="Normal 4 2 5 2 6" xfId="2523" xr:uid="{00000000-0005-0000-0000-0000DD130000}"/>
    <cellStyle name="Normal 4 2 5 2 6 2" xfId="6807" xr:uid="{00000000-0005-0000-0000-0000DE130000}"/>
    <cellStyle name="Normal 4 2 5 2 6 2 2" xfId="23690" xr:uid="{77C61091-919B-407E-B94F-773D3F2D9B4B}"/>
    <cellStyle name="Normal 4 2 5 2 6 2 3" xfId="32136" xr:uid="{6F922383-FCDB-4ABC-9ACA-6E315ACCAD27}"/>
    <cellStyle name="Normal 4 2 5 2 6 2 4" xfId="15249" xr:uid="{781E0058-47E3-4AAB-B578-5AC020C8A6C7}"/>
    <cellStyle name="Normal 4 2 5 2 6 3" xfId="19472" xr:uid="{BA760EB6-03B7-4533-901D-5B011569D4DE}"/>
    <cellStyle name="Normal 4 2 5 2 6 4" xfId="27917" xr:uid="{B8293483-C7C7-4316-AA2A-20FF3FC7D607}"/>
    <cellStyle name="Normal 4 2 5 2 6 5" xfId="11031" xr:uid="{52959651-9DF0-4BDD-9BA5-B2751111E644}"/>
    <cellStyle name="Normal 4 2 5 2 7" xfId="4742" xr:uid="{00000000-0005-0000-0000-0000DF130000}"/>
    <cellStyle name="Normal 4 2 5 2 7 2" xfId="21625" xr:uid="{BCBBF638-FD03-468F-A6A1-1AEA159B11E9}"/>
    <cellStyle name="Normal 4 2 5 2 7 3" xfId="30071" xr:uid="{0E37802E-EB90-48A9-8DF8-FEEC2D061E10}"/>
    <cellStyle name="Normal 4 2 5 2 7 4" xfId="13184" xr:uid="{43A1F927-7D8D-4A01-B22D-8ACBB3535C0B}"/>
    <cellStyle name="Normal 4 2 5 2 8" xfId="17407" xr:uid="{A498E447-85DD-416A-B893-B87A3D5EE07B}"/>
    <cellStyle name="Normal 4 2 5 2 9" xfId="25851" xr:uid="{1C38C58E-A1A4-47B0-9FCE-197E86583650}"/>
    <cellStyle name="Normal 4 2 5 3" xfId="839" xr:uid="{00000000-0005-0000-0000-0000E0130000}"/>
    <cellStyle name="Normal 4 2 5 3 2" xfId="3076" xr:uid="{00000000-0005-0000-0000-0000E1130000}"/>
    <cellStyle name="Normal 4 2 5 3 2 2" xfId="7299" xr:uid="{00000000-0005-0000-0000-0000E2130000}"/>
    <cellStyle name="Normal 4 2 5 3 2 2 2" xfId="24182" xr:uid="{15E38A8A-9458-42A9-9AE4-7BAFACEC758C}"/>
    <cellStyle name="Normal 4 2 5 3 2 2 3" xfId="32628" xr:uid="{729BC6EC-D97F-4E2D-BD97-C51FD950221C}"/>
    <cellStyle name="Normal 4 2 5 3 2 2 4" xfId="15741" xr:uid="{D3B01FF4-3B53-4367-98F7-04839D098529}"/>
    <cellStyle name="Normal 4 2 5 3 2 3" xfId="19964" xr:uid="{74FB1F6B-8484-4D08-B253-43B0F99E03EC}"/>
    <cellStyle name="Normal 4 2 5 3 2 4" xfId="28411" xr:uid="{5801C445-934F-4C6E-A8C6-8BF73CE2E060}"/>
    <cellStyle name="Normal 4 2 5 3 2 5" xfId="11523" xr:uid="{1B88D2B8-C1B6-473C-854B-E2C8402397E2}"/>
    <cellStyle name="Normal 4 2 5 3 3" xfId="5154" xr:uid="{00000000-0005-0000-0000-0000E3130000}"/>
    <cellStyle name="Normal 4 2 5 3 3 2" xfId="22037" xr:uid="{74A9A957-E744-4687-AA46-6B1B8D12350C}"/>
    <cellStyle name="Normal 4 2 5 3 3 3" xfId="30483" xr:uid="{2A19FC94-F981-499E-9BD1-C71079B6C92F}"/>
    <cellStyle name="Normal 4 2 5 3 3 4" xfId="13596" xr:uid="{7706093F-EAF3-4FC3-8D9E-AEB80E003B3B}"/>
    <cellStyle name="Normal 4 2 5 3 4" xfId="17819" xr:uid="{64347F74-7E8E-4895-8520-FB62019DC111}"/>
    <cellStyle name="Normal 4 2 5 3 5" xfId="26264" xr:uid="{41EEE149-9C74-400A-8082-7014BD9D5F9C}"/>
    <cellStyle name="Normal 4 2 5 3 6" xfId="9378" xr:uid="{4B48A4FC-4F34-4DAB-A2FB-64D461B97CA1}"/>
    <cellStyle name="Normal 4 2 5 4" xfId="1259" xr:uid="{00000000-0005-0000-0000-0000E4130000}"/>
    <cellStyle name="Normal 4 2 5 4 2" xfId="3489" xr:uid="{00000000-0005-0000-0000-0000E5130000}"/>
    <cellStyle name="Normal 4 2 5 4 2 2" xfId="7712" xr:uid="{00000000-0005-0000-0000-0000E6130000}"/>
    <cellStyle name="Normal 4 2 5 4 2 2 2" xfId="24595" xr:uid="{09EE3398-82C3-4039-99FD-0EEBA8764984}"/>
    <cellStyle name="Normal 4 2 5 4 2 2 3" xfId="33041" xr:uid="{49C29D25-B4FD-4F52-B43F-AFA172F08EE9}"/>
    <cellStyle name="Normal 4 2 5 4 2 2 4" xfId="16154" xr:uid="{F49A0EA9-930A-454B-BF88-0590197E6AD9}"/>
    <cellStyle name="Normal 4 2 5 4 2 3" xfId="20377" xr:uid="{A9652ACA-E94A-43A6-993D-6096D36D22E3}"/>
    <cellStyle name="Normal 4 2 5 4 2 4" xfId="28824" xr:uid="{826C696A-5C53-4257-8956-463131AED26A}"/>
    <cellStyle name="Normal 4 2 5 4 2 5" xfId="11936" xr:uid="{68E76EDD-F36F-4B78-BA75-86BFF2265E51}"/>
    <cellStyle name="Normal 4 2 5 4 3" xfId="5567" xr:uid="{00000000-0005-0000-0000-0000E7130000}"/>
    <cellStyle name="Normal 4 2 5 4 3 2" xfId="22450" xr:uid="{C02E1429-8AF3-418B-8383-04EF9F0D76B0}"/>
    <cellStyle name="Normal 4 2 5 4 3 3" xfId="30896" xr:uid="{15C26175-A37F-4AF3-B4C5-465D9E77B89D}"/>
    <cellStyle name="Normal 4 2 5 4 3 4" xfId="14009" xr:uid="{7C625512-BC50-4B4D-9F74-76373873C3D5}"/>
    <cellStyle name="Normal 4 2 5 4 4" xfId="18232" xr:uid="{52089646-D03E-4052-861E-1BDFB2EE893C}"/>
    <cellStyle name="Normal 4 2 5 4 5" xfId="26677" xr:uid="{28174276-986B-435F-A9CF-AA556C3D898F}"/>
    <cellStyle name="Normal 4 2 5 4 6" xfId="9791" xr:uid="{8D703B3C-E2CE-4CC4-940B-B22886C02DBF}"/>
    <cellStyle name="Normal 4 2 5 5" xfId="1672" xr:uid="{00000000-0005-0000-0000-0000E8130000}"/>
    <cellStyle name="Normal 4 2 5 5 2" xfId="3902" xr:uid="{00000000-0005-0000-0000-0000E9130000}"/>
    <cellStyle name="Normal 4 2 5 5 2 2" xfId="8125" xr:uid="{00000000-0005-0000-0000-0000EA130000}"/>
    <cellStyle name="Normal 4 2 5 5 2 2 2" xfId="25008" xr:uid="{09CE1BD1-DAE2-4099-8175-B74C6170834B}"/>
    <cellStyle name="Normal 4 2 5 5 2 2 3" xfId="33454" xr:uid="{588E709D-3A9E-4169-855A-F6877EC271BE}"/>
    <cellStyle name="Normal 4 2 5 5 2 2 4" xfId="16567" xr:uid="{52AFF172-E628-4725-80C1-575FC423F150}"/>
    <cellStyle name="Normal 4 2 5 5 2 3" xfId="20790" xr:uid="{88084266-7B6E-4794-AF1F-DEA2EE0C7A1A}"/>
    <cellStyle name="Normal 4 2 5 5 2 4" xfId="29237" xr:uid="{C5026635-B5C2-4E52-8509-9A1EBC34ACF1}"/>
    <cellStyle name="Normal 4 2 5 5 2 5" xfId="12349" xr:uid="{EFCDE5AE-57D1-4812-AC28-10643A8D7E4A}"/>
    <cellStyle name="Normal 4 2 5 5 3" xfId="5980" xr:uid="{00000000-0005-0000-0000-0000EB130000}"/>
    <cellStyle name="Normal 4 2 5 5 3 2" xfId="22863" xr:uid="{6335FEB5-A4A0-4097-825E-748114717E28}"/>
    <cellStyle name="Normal 4 2 5 5 3 3" xfId="31309" xr:uid="{F3E2297F-F28E-4EC2-9C32-B4421CF9BCE2}"/>
    <cellStyle name="Normal 4 2 5 5 3 4" xfId="14422" xr:uid="{C8DBA559-8A35-48F0-9FA1-32FCE6680A5D}"/>
    <cellStyle name="Normal 4 2 5 5 4" xfId="18645" xr:uid="{7606F8DC-6086-4B6A-BF7C-38E6857BE710}"/>
    <cellStyle name="Normal 4 2 5 5 5" xfId="27090" xr:uid="{A9B043BA-FF73-4E4A-B6C3-F31A161DD97D}"/>
    <cellStyle name="Normal 4 2 5 5 6" xfId="10204" xr:uid="{2D7AFD25-CBCB-4689-9418-3898CF4E8411}"/>
    <cellStyle name="Normal 4 2 5 6" xfId="2086" xr:uid="{00000000-0005-0000-0000-0000EC130000}"/>
    <cellStyle name="Normal 4 2 5 6 2" xfId="4315" xr:uid="{00000000-0005-0000-0000-0000ED130000}"/>
    <cellStyle name="Normal 4 2 5 6 2 2" xfId="8538" xr:uid="{00000000-0005-0000-0000-0000EE130000}"/>
    <cellStyle name="Normal 4 2 5 6 2 2 2" xfId="25421" xr:uid="{8A6B97F7-B9DA-4995-9EDA-DC3627D6227B}"/>
    <cellStyle name="Normal 4 2 5 6 2 2 3" xfId="33867" xr:uid="{B8067A0C-93DD-405C-9BA6-7E7F612FC37F}"/>
    <cellStyle name="Normal 4 2 5 6 2 2 4" xfId="16980" xr:uid="{512D9612-A2EC-42DA-9774-5696772F9FA7}"/>
    <cellStyle name="Normal 4 2 5 6 2 3" xfId="21203" xr:uid="{FDC0365E-223C-433D-9A09-C26003BBB236}"/>
    <cellStyle name="Normal 4 2 5 6 2 4" xfId="29650" xr:uid="{C1FAD7DF-8F40-4130-84D0-65B506A841F0}"/>
    <cellStyle name="Normal 4 2 5 6 2 5" xfId="12762" xr:uid="{C48EB8F2-45EE-4666-B8E1-CAC15F6E3EAA}"/>
    <cellStyle name="Normal 4 2 5 6 3" xfId="6393" xr:uid="{00000000-0005-0000-0000-0000EF130000}"/>
    <cellStyle name="Normal 4 2 5 6 3 2" xfId="23276" xr:uid="{52C0A230-7FD4-44B2-8D88-086E2A5F3D8A}"/>
    <cellStyle name="Normal 4 2 5 6 3 3" xfId="31722" xr:uid="{AE16A37E-2887-4D8E-A712-FEB3D50DECFF}"/>
    <cellStyle name="Normal 4 2 5 6 3 4" xfId="14835" xr:uid="{C2E7ADFE-17D8-40C1-A2D0-F948D8A10BC6}"/>
    <cellStyle name="Normal 4 2 5 6 4" xfId="19058" xr:uid="{97593252-D148-417C-AFB0-0550D993F721}"/>
    <cellStyle name="Normal 4 2 5 6 5" xfId="27503" xr:uid="{89779602-9680-4DA7-A199-DFB36D2B9057}"/>
    <cellStyle name="Normal 4 2 5 6 6" xfId="10617" xr:uid="{6A16F13D-9223-437A-A0FD-7CF3DA1357A7}"/>
    <cellStyle name="Normal 4 2 5 7" xfId="2522" xr:uid="{00000000-0005-0000-0000-0000F0130000}"/>
    <cellStyle name="Normal 4 2 5 7 2" xfId="6806" xr:uid="{00000000-0005-0000-0000-0000F1130000}"/>
    <cellStyle name="Normal 4 2 5 7 2 2" xfId="23689" xr:uid="{37E9A204-8B30-40EE-84B1-9D461E2D35ED}"/>
    <cellStyle name="Normal 4 2 5 7 2 3" xfId="32135" xr:uid="{FC2F3919-0B34-4975-B61F-62FDEC0D5303}"/>
    <cellStyle name="Normal 4 2 5 7 2 4" xfId="15248" xr:uid="{EEA20974-632E-4DB0-AAD8-B3D27716B9D0}"/>
    <cellStyle name="Normal 4 2 5 7 3" xfId="19471" xr:uid="{0181E7AF-7EDE-40C4-B58F-917E071E1719}"/>
    <cellStyle name="Normal 4 2 5 7 4" xfId="27916" xr:uid="{9418DBF7-22AA-4717-8EA5-EC782FC981FD}"/>
    <cellStyle name="Normal 4 2 5 7 5" xfId="11030" xr:uid="{8CF44565-4286-4651-944A-D15EE3BFD4C7}"/>
    <cellStyle name="Normal 4 2 5 8" xfId="4741" xr:uid="{00000000-0005-0000-0000-0000F2130000}"/>
    <cellStyle name="Normal 4 2 5 8 2" xfId="21624" xr:uid="{45C7207F-36CD-4A11-96C0-EEAAAE3D1931}"/>
    <cellStyle name="Normal 4 2 5 8 3" xfId="30070" xr:uid="{8F220444-B62C-4B6A-B0B2-382AC636B093}"/>
    <cellStyle name="Normal 4 2 5 8 4" xfId="13183" xr:uid="{C56EF437-498C-4217-A86E-0AB2E211E8A9}"/>
    <cellStyle name="Normal 4 2 5 9" xfId="17406" xr:uid="{4F9FD052-A9A7-4EA2-9E7A-7FE6493292CF}"/>
    <cellStyle name="Normal 4 2 6" xfId="365" xr:uid="{00000000-0005-0000-0000-0000F3130000}"/>
    <cellStyle name="Normal 4 2 6 10" xfId="8967" xr:uid="{2EF3EB3C-170E-4385-8A54-B63AFBCC69E1}"/>
    <cellStyle name="Normal 4 2 6 2" xfId="841" xr:uid="{00000000-0005-0000-0000-0000F4130000}"/>
    <cellStyle name="Normal 4 2 6 2 2" xfId="3078" xr:uid="{00000000-0005-0000-0000-0000F5130000}"/>
    <cellStyle name="Normal 4 2 6 2 2 2" xfId="7301" xr:uid="{00000000-0005-0000-0000-0000F6130000}"/>
    <cellStyle name="Normal 4 2 6 2 2 2 2" xfId="24184" xr:uid="{C29BD2E3-B860-4CC8-8BF3-1DA85E8644FC}"/>
    <cellStyle name="Normal 4 2 6 2 2 2 3" xfId="32630" xr:uid="{312F40F3-9F93-47E7-B158-4CC27426693E}"/>
    <cellStyle name="Normal 4 2 6 2 2 2 4" xfId="15743" xr:uid="{4FE20FAB-F7EC-40E3-89DA-03A799408BB9}"/>
    <cellStyle name="Normal 4 2 6 2 2 3" xfId="19966" xr:uid="{0A2A6501-34C4-4BB8-ADB9-364B1ED692F2}"/>
    <cellStyle name="Normal 4 2 6 2 2 4" xfId="28413" xr:uid="{AC8C5455-D3B0-42D7-BB35-7873485829A4}"/>
    <cellStyle name="Normal 4 2 6 2 2 5" xfId="11525" xr:uid="{05DC591F-0FF6-4158-B18F-FF80C14F540E}"/>
    <cellStyle name="Normal 4 2 6 2 3" xfId="5156" xr:uid="{00000000-0005-0000-0000-0000F7130000}"/>
    <cellStyle name="Normal 4 2 6 2 3 2" xfId="22039" xr:uid="{1E06A2BF-62D2-4612-BC97-49DF59DE0157}"/>
    <cellStyle name="Normal 4 2 6 2 3 3" xfId="30485" xr:uid="{658BAE2F-83FC-4FAC-8B73-FFD6167B62A5}"/>
    <cellStyle name="Normal 4 2 6 2 3 4" xfId="13598" xr:uid="{86045F35-AE48-4C06-A873-31E7D1880085}"/>
    <cellStyle name="Normal 4 2 6 2 4" xfId="17821" xr:uid="{2D908061-F802-4870-A863-19DC4B48D9E3}"/>
    <cellStyle name="Normal 4 2 6 2 5" xfId="26266" xr:uid="{4D5BDFB3-940A-42BD-8B09-1B658DC6192C}"/>
    <cellStyle name="Normal 4 2 6 2 6" xfId="9380" xr:uid="{1BE0243F-DC75-45C9-A152-2A1C058E9767}"/>
    <cellStyle name="Normal 4 2 6 3" xfId="1261" xr:uid="{00000000-0005-0000-0000-0000F8130000}"/>
    <cellStyle name="Normal 4 2 6 3 2" xfId="3491" xr:uid="{00000000-0005-0000-0000-0000F9130000}"/>
    <cellStyle name="Normal 4 2 6 3 2 2" xfId="7714" xr:uid="{00000000-0005-0000-0000-0000FA130000}"/>
    <cellStyle name="Normal 4 2 6 3 2 2 2" xfId="24597" xr:uid="{D321750B-67B0-46B6-84B9-13A656A2B5A0}"/>
    <cellStyle name="Normal 4 2 6 3 2 2 3" xfId="33043" xr:uid="{B1AF98CC-50E5-436B-8DB9-8B09FF0D33BA}"/>
    <cellStyle name="Normal 4 2 6 3 2 2 4" xfId="16156" xr:uid="{C1E68C07-75E4-4F41-8E69-2EDE780B3A6F}"/>
    <cellStyle name="Normal 4 2 6 3 2 3" xfId="20379" xr:uid="{C1A35656-D2D8-4DCF-9A77-AB99B293482B}"/>
    <cellStyle name="Normal 4 2 6 3 2 4" xfId="28826" xr:uid="{AD8B45CF-5E5F-42AA-937A-A6BE8CFD6D7F}"/>
    <cellStyle name="Normal 4 2 6 3 2 5" xfId="11938" xr:uid="{E25CF7FE-0529-4184-B33B-18C7C55F47FC}"/>
    <cellStyle name="Normal 4 2 6 3 3" xfId="5569" xr:uid="{00000000-0005-0000-0000-0000FB130000}"/>
    <cellStyle name="Normal 4 2 6 3 3 2" xfId="22452" xr:uid="{3A2F5A3F-5689-4043-BCCF-4D955EBBA57D}"/>
    <cellStyle name="Normal 4 2 6 3 3 3" xfId="30898" xr:uid="{22955443-3C52-4587-B09C-247C32DB94C9}"/>
    <cellStyle name="Normal 4 2 6 3 3 4" xfId="14011" xr:uid="{B78E29FA-533B-48F1-B540-1FEABFA2570C}"/>
    <cellStyle name="Normal 4 2 6 3 4" xfId="18234" xr:uid="{9F15A3FC-F76E-4745-915E-592B864960BF}"/>
    <cellStyle name="Normal 4 2 6 3 5" xfId="26679" xr:uid="{9748F461-1488-40D5-94DA-30D277CED9CD}"/>
    <cellStyle name="Normal 4 2 6 3 6" xfId="9793" xr:uid="{9ECB5DA9-980C-4154-8F25-750FD4A9AFFE}"/>
    <cellStyle name="Normal 4 2 6 4" xfId="1674" xr:uid="{00000000-0005-0000-0000-0000FC130000}"/>
    <cellStyle name="Normal 4 2 6 4 2" xfId="3904" xr:uid="{00000000-0005-0000-0000-0000FD130000}"/>
    <cellStyle name="Normal 4 2 6 4 2 2" xfId="8127" xr:uid="{00000000-0005-0000-0000-0000FE130000}"/>
    <cellStyle name="Normal 4 2 6 4 2 2 2" xfId="25010" xr:uid="{DF211111-211D-4BEB-8F87-A8E601EB6D37}"/>
    <cellStyle name="Normal 4 2 6 4 2 2 3" xfId="33456" xr:uid="{2E1292B5-A3A0-4134-AF7C-746B87DB3836}"/>
    <cellStyle name="Normal 4 2 6 4 2 2 4" xfId="16569" xr:uid="{E17CDBE9-DBD7-4A41-9BE3-E15C21024BB3}"/>
    <cellStyle name="Normal 4 2 6 4 2 3" xfId="20792" xr:uid="{8D38B9C7-8673-4A7F-8594-2D329E1BDC43}"/>
    <cellStyle name="Normal 4 2 6 4 2 4" xfId="29239" xr:uid="{D19713F0-21C6-4DCD-B1EF-C4AF0DA57530}"/>
    <cellStyle name="Normal 4 2 6 4 2 5" xfId="12351" xr:uid="{866059CF-1075-4A8E-8A4D-547847535AE1}"/>
    <cellStyle name="Normal 4 2 6 4 3" xfId="5982" xr:uid="{00000000-0005-0000-0000-0000FF130000}"/>
    <cellStyle name="Normal 4 2 6 4 3 2" xfId="22865" xr:uid="{288505FC-4814-4D4B-BBAF-7B526A889086}"/>
    <cellStyle name="Normal 4 2 6 4 3 3" xfId="31311" xr:uid="{7B404573-87CF-4BDF-AB79-41672C7A534D}"/>
    <cellStyle name="Normal 4 2 6 4 3 4" xfId="14424" xr:uid="{50DFB60E-3955-4BE3-933B-A84D6FBE2836}"/>
    <cellStyle name="Normal 4 2 6 4 4" xfId="18647" xr:uid="{FB92ECCF-3E61-427E-B875-52030D692DE8}"/>
    <cellStyle name="Normal 4 2 6 4 5" xfId="27092" xr:uid="{5C7D1C71-96AB-43DB-8619-783B81E8D76C}"/>
    <cellStyle name="Normal 4 2 6 4 6" xfId="10206" xr:uid="{4161A71D-97DB-42AC-9A0E-B058675038D0}"/>
    <cellStyle name="Normal 4 2 6 5" xfId="2088" xr:uid="{00000000-0005-0000-0000-000000140000}"/>
    <cellStyle name="Normal 4 2 6 5 2" xfId="4317" xr:uid="{00000000-0005-0000-0000-000001140000}"/>
    <cellStyle name="Normal 4 2 6 5 2 2" xfId="8540" xr:uid="{00000000-0005-0000-0000-000002140000}"/>
    <cellStyle name="Normal 4 2 6 5 2 2 2" xfId="25423" xr:uid="{1AB41C93-78AB-44B0-8945-7D5F83A58379}"/>
    <cellStyle name="Normal 4 2 6 5 2 2 3" xfId="33869" xr:uid="{940BAB3F-7F87-4AB6-885D-99D881551773}"/>
    <cellStyle name="Normal 4 2 6 5 2 2 4" xfId="16982" xr:uid="{D165D7E9-1661-4675-BC57-7E1A8537BCC4}"/>
    <cellStyle name="Normal 4 2 6 5 2 3" xfId="21205" xr:uid="{FCDBAE56-6D0B-477A-A243-CBC0760B6E2A}"/>
    <cellStyle name="Normal 4 2 6 5 2 4" xfId="29652" xr:uid="{FF805728-EA69-45BB-B340-ED814F432696}"/>
    <cellStyle name="Normal 4 2 6 5 2 5" xfId="12764" xr:uid="{BB802545-4999-41EF-B174-8004F74A2052}"/>
    <cellStyle name="Normal 4 2 6 5 3" xfId="6395" xr:uid="{00000000-0005-0000-0000-000003140000}"/>
    <cellStyle name="Normal 4 2 6 5 3 2" xfId="23278" xr:uid="{F83D85C3-84D1-479A-91B8-5786AE61B387}"/>
    <cellStyle name="Normal 4 2 6 5 3 3" xfId="31724" xr:uid="{FC285DAD-46A9-4C06-8E01-834F536CBAD0}"/>
    <cellStyle name="Normal 4 2 6 5 3 4" xfId="14837" xr:uid="{26702B5F-F651-4D20-BDAE-018D1FF80E11}"/>
    <cellStyle name="Normal 4 2 6 5 4" xfId="19060" xr:uid="{B784BB87-3F6A-42C4-B0D0-1AFA8E62AA68}"/>
    <cellStyle name="Normal 4 2 6 5 5" xfId="27505" xr:uid="{0CFC205B-544E-4261-BA92-7154ABDFCA81}"/>
    <cellStyle name="Normal 4 2 6 5 6" xfId="10619" xr:uid="{A73FBA99-0175-42B4-9AF9-3C2C6FE7104D}"/>
    <cellStyle name="Normal 4 2 6 6" xfId="2524" xr:uid="{00000000-0005-0000-0000-000004140000}"/>
    <cellStyle name="Normal 4 2 6 6 2" xfId="6808" xr:uid="{00000000-0005-0000-0000-000005140000}"/>
    <cellStyle name="Normal 4 2 6 6 2 2" xfId="23691" xr:uid="{6BD35960-4E21-4346-844C-383256BD4BA3}"/>
    <cellStyle name="Normal 4 2 6 6 2 3" xfId="32137" xr:uid="{BC1F2336-1788-422B-B779-0448EC5FA3AF}"/>
    <cellStyle name="Normal 4 2 6 6 2 4" xfId="15250" xr:uid="{D79ED582-FB36-4984-ACAB-A447E18E9611}"/>
    <cellStyle name="Normal 4 2 6 6 3" xfId="19473" xr:uid="{A0002DC9-8081-4808-AB8B-CC7C10C9B81F}"/>
    <cellStyle name="Normal 4 2 6 6 4" xfId="27918" xr:uid="{B6090E63-89B3-4068-9993-44B43068F83E}"/>
    <cellStyle name="Normal 4 2 6 6 5" xfId="11032" xr:uid="{2A1626FA-68FC-472A-94F9-2A953C44FB5C}"/>
    <cellStyle name="Normal 4 2 6 7" xfId="4743" xr:uid="{00000000-0005-0000-0000-000006140000}"/>
    <cellStyle name="Normal 4 2 6 7 2" xfId="21626" xr:uid="{60F23884-5D62-4DCC-93E2-6A5BE4900031}"/>
    <cellStyle name="Normal 4 2 6 7 3" xfId="30072" xr:uid="{1B579ECD-A05A-4C3D-BA80-F1A3429C9FE6}"/>
    <cellStyle name="Normal 4 2 6 7 4" xfId="13185" xr:uid="{9BECBBD7-8338-4337-9AF0-B96447F525D9}"/>
    <cellStyle name="Normal 4 2 6 8" xfId="17408" xr:uid="{1281D806-365D-47D5-A2C2-D284F5F2A4B2}"/>
    <cellStyle name="Normal 4 2 6 9" xfId="25852" xr:uid="{7B612872-B9CC-4EC3-94CA-125DB5A28A5C}"/>
    <cellStyle name="Normal 4 2 7" xfId="34126" xr:uid="{30387D60-FF35-41A2-AF85-082C125FE2EB}"/>
    <cellStyle name="Normal 4 2_Item C7" xfId="34183" xr:uid="{03A50E73-919A-497D-A69E-B404519158D9}"/>
    <cellStyle name="Normal 4 3" xfId="366" xr:uid="{00000000-0005-0000-0000-000007140000}"/>
    <cellStyle name="Normal 4 3 10" xfId="17409" xr:uid="{1C1C7F8F-0D0F-4CC1-8410-CCD23D8ADFDB}"/>
    <cellStyle name="Normal 4 3 11" xfId="25853" xr:uid="{766BD4EB-B025-46F9-AE68-E66F7B93CFDB}"/>
    <cellStyle name="Normal 4 3 12" xfId="34063" xr:uid="{89E6E0FF-C332-4052-990A-F35A43CFE46C}"/>
    <cellStyle name="Normal 4 3 13" xfId="8968" xr:uid="{4E16E245-5C54-4A18-9E17-B14C8A3A2B6C}"/>
    <cellStyle name="Normal 4 3 2" xfId="367" xr:uid="{00000000-0005-0000-0000-000008140000}"/>
    <cellStyle name="Normal 4 3 2 2" xfId="368" xr:uid="{00000000-0005-0000-0000-000009140000}"/>
    <cellStyle name="Normal 4 3 2 2 2" xfId="369" xr:uid="{00000000-0005-0000-0000-00000A140000}"/>
    <cellStyle name="Normal 4 3 2 2 2 10" xfId="17410" xr:uid="{CD359F48-B22F-49A9-97E1-DBB087A7170C}"/>
    <cellStyle name="Normal 4 3 2 2 2 11" xfId="25854" xr:uid="{3BA11D15-C429-49F7-8175-2E5892AF9FAE}"/>
    <cellStyle name="Normal 4 3 2 2 2 12" xfId="8969" xr:uid="{FAEDDB68-8F40-4A89-86AB-5BF507C1BFC5}"/>
    <cellStyle name="Normal 4 3 2 2 2 2" xfId="370" xr:uid="{00000000-0005-0000-0000-00000B140000}"/>
    <cellStyle name="Normal 4 3 2 2 2 2 10" xfId="25855" xr:uid="{D1182494-B003-4F4B-AC16-655D9028A3B2}"/>
    <cellStyle name="Normal 4 3 2 2 2 2 11" xfId="8970" xr:uid="{16D5B2D6-C142-4DB2-836A-6CD5180AC931}"/>
    <cellStyle name="Normal 4 3 2 2 2 2 2" xfId="371" xr:uid="{00000000-0005-0000-0000-00000C140000}"/>
    <cellStyle name="Normal 4 3 2 2 2 2 2 10" xfId="8971" xr:uid="{401B09CB-B6B2-41C2-9BF6-54F00F87D6FE}"/>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24188" xr:uid="{6CA11806-EEB5-4C6D-9CD4-DC88D97EDB4F}"/>
    <cellStyle name="Normal 4 3 2 2 2 2 2 2 2 2 3" xfId="32634" xr:uid="{11807C14-BC15-4B6E-BC21-4D5B0E305DF2}"/>
    <cellStyle name="Normal 4 3 2 2 2 2 2 2 2 2 4" xfId="15747" xr:uid="{B81C0A80-8780-49E7-99C3-81B48B472830}"/>
    <cellStyle name="Normal 4 3 2 2 2 2 2 2 2 3" xfId="19970" xr:uid="{E977895A-DAC0-47C2-B7FB-D54FEAB1F091}"/>
    <cellStyle name="Normal 4 3 2 2 2 2 2 2 2 4" xfId="28417" xr:uid="{A893137A-795F-43F7-84EC-71359D3BC0FC}"/>
    <cellStyle name="Normal 4 3 2 2 2 2 2 2 2 5" xfId="11529" xr:uid="{873F846E-5B9C-42A5-9DD2-E41023621DFA}"/>
    <cellStyle name="Normal 4 3 2 2 2 2 2 2 3" xfId="5160" xr:uid="{00000000-0005-0000-0000-000010140000}"/>
    <cellStyle name="Normal 4 3 2 2 2 2 2 2 3 2" xfId="22043" xr:uid="{C4453D42-2AFA-4FBB-AF3D-8A7334099E46}"/>
    <cellStyle name="Normal 4 3 2 2 2 2 2 2 3 3" xfId="30489" xr:uid="{0D4DA855-F6D4-49BB-8395-86D761F76301}"/>
    <cellStyle name="Normal 4 3 2 2 2 2 2 2 3 4" xfId="13602" xr:uid="{A5D1496D-C384-4793-9DC6-02A23899FF54}"/>
    <cellStyle name="Normal 4 3 2 2 2 2 2 2 4" xfId="17825" xr:uid="{5451FE50-B91D-4A2D-B75E-29F2327AC639}"/>
    <cellStyle name="Normal 4 3 2 2 2 2 2 2 5" xfId="26270" xr:uid="{617133D7-5C64-4F24-9B84-6E27F9EF5286}"/>
    <cellStyle name="Normal 4 3 2 2 2 2 2 2 6" xfId="9384" xr:uid="{9553A487-47FB-42B1-ADDE-C61F9163C14A}"/>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24601" xr:uid="{7126E4AB-5F72-474E-A3E7-88B6418943BE}"/>
    <cellStyle name="Normal 4 3 2 2 2 2 2 3 2 2 3" xfId="33047" xr:uid="{A9564487-05B3-4BB5-9D54-7E46CB10D4AA}"/>
    <cellStyle name="Normal 4 3 2 2 2 2 2 3 2 2 4" xfId="16160" xr:uid="{B101B86C-0308-44FA-A636-2F355C0256E5}"/>
    <cellStyle name="Normal 4 3 2 2 2 2 2 3 2 3" xfId="20383" xr:uid="{2C25B06F-A336-4060-9DED-BB2042D300FC}"/>
    <cellStyle name="Normal 4 3 2 2 2 2 2 3 2 4" xfId="28830" xr:uid="{D18C342F-F10C-4338-A8BE-989C405B1CCA}"/>
    <cellStyle name="Normal 4 3 2 2 2 2 2 3 2 5" xfId="11942" xr:uid="{2CF46D05-32B9-47A6-9502-9E669A4675E6}"/>
    <cellStyle name="Normal 4 3 2 2 2 2 2 3 3" xfId="5573" xr:uid="{00000000-0005-0000-0000-000014140000}"/>
    <cellStyle name="Normal 4 3 2 2 2 2 2 3 3 2" xfId="22456" xr:uid="{21F0FCDA-BDCB-4DF5-B37E-61CE54B60118}"/>
    <cellStyle name="Normal 4 3 2 2 2 2 2 3 3 3" xfId="30902" xr:uid="{3160CAB3-99B1-439B-A1BF-E86E01C14C3F}"/>
    <cellStyle name="Normal 4 3 2 2 2 2 2 3 3 4" xfId="14015" xr:uid="{8733F045-0207-46FE-A8F9-A372FC1E7605}"/>
    <cellStyle name="Normal 4 3 2 2 2 2 2 3 4" xfId="18238" xr:uid="{5B576BAA-84DC-4655-87CE-8C4DC2773ED8}"/>
    <cellStyle name="Normal 4 3 2 2 2 2 2 3 5" xfId="26683" xr:uid="{8773DF5B-195A-4D8B-9BED-126C95B67299}"/>
    <cellStyle name="Normal 4 3 2 2 2 2 2 3 6" xfId="9797" xr:uid="{527AEF50-D1E0-4FB3-8B14-765268E9F66B}"/>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25014" xr:uid="{898F82E9-4128-435B-8BE5-FE7A7D9D604E}"/>
    <cellStyle name="Normal 4 3 2 2 2 2 2 4 2 2 3" xfId="33460" xr:uid="{0AF7C47F-0849-4219-A459-4BF25465D941}"/>
    <cellStyle name="Normal 4 3 2 2 2 2 2 4 2 2 4" xfId="16573" xr:uid="{FEEE3665-D63D-4620-AAE9-777F6FD72F73}"/>
    <cellStyle name="Normal 4 3 2 2 2 2 2 4 2 3" xfId="20796" xr:uid="{1AFE343C-DEDD-4F8D-9596-A016631E74E6}"/>
    <cellStyle name="Normal 4 3 2 2 2 2 2 4 2 4" xfId="29243" xr:uid="{ADEB9437-0B81-4DC6-BEC4-8B006D51561E}"/>
    <cellStyle name="Normal 4 3 2 2 2 2 2 4 2 5" xfId="12355" xr:uid="{3E6C3062-0887-4F6A-90AA-051F2156F95C}"/>
    <cellStyle name="Normal 4 3 2 2 2 2 2 4 3" xfId="5986" xr:uid="{00000000-0005-0000-0000-000018140000}"/>
    <cellStyle name="Normal 4 3 2 2 2 2 2 4 3 2" xfId="22869" xr:uid="{F0295DDE-5DAE-4221-8DF2-B2EEC8C4B56D}"/>
    <cellStyle name="Normal 4 3 2 2 2 2 2 4 3 3" xfId="31315" xr:uid="{C80CBE85-4182-4913-BB31-B10D2D86FA7C}"/>
    <cellStyle name="Normal 4 3 2 2 2 2 2 4 3 4" xfId="14428" xr:uid="{EEE1D52C-6F76-4ECC-BF1B-466431D0B4BA}"/>
    <cellStyle name="Normal 4 3 2 2 2 2 2 4 4" xfId="18651" xr:uid="{B57FF6F5-63CA-4B7E-96E6-034A11987BFF}"/>
    <cellStyle name="Normal 4 3 2 2 2 2 2 4 5" xfId="27096" xr:uid="{1C71E676-C69D-4BA4-9319-22ED2F800DFA}"/>
    <cellStyle name="Normal 4 3 2 2 2 2 2 4 6" xfId="10210" xr:uid="{7F1F22FB-826D-4F36-9EB9-5B61A39A7531}"/>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25427" xr:uid="{299BC6AE-5955-4E8B-BF1E-1D2E9466B7AE}"/>
    <cellStyle name="Normal 4 3 2 2 2 2 2 5 2 2 3" xfId="33873" xr:uid="{21FBC3E8-34E9-495E-A63B-119762AD76FF}"/>
    <cellStyle name="Normal 4 3 2 2 2 2 2 5 2 2 4" xfId="16986" xr:uid="{FFA2745D-30D4-4FAB-ACCF-1160667CAD23}"/>
    <cellStyle name="Normal 4 3 2 2 2 2 2 5 2 3" xfId="21209" xr:uid="{AB06BE96-0254-4814-ABDE-B6C435245AD4}"/>
    <cellStyle name="Normal 4 3 2 2 2 2 2 5 2 4" xfId="29656" xr:uid="{50DFED59-04CD-4240-86B2-F6F12CB0E9B9}"/>
    <cellStyle name="Normal 4 3 2 2 2 2 2 5 2 5" xfId="12768" xr:uid="{6F712091-18B6-4F0B-83B0-0CB46D4B7580}"/>
    <cellStyle name="Normal 4 3 2 2 2 2 2 5 3" xfId="6399" xr:uid="{00000000-0005-0000-0000-00001C140000}"/>
    <cellStyle name="Normal 4 3 2 2 2 2 2 5 3 2" xfId="23282" xr:uid="{3B88D2D2-D066-4C2A-93B3-97C026E73030}"/>
    <cellStyle name="Normal 4 3 2 2 2 2 2 5 3 3" xfId="31728" xr:uid="{252F8646-7DAA-4FFC-A33A-008081EA6808}"/>
    <cellStyle name="Normal 4 3 2 2 2 2 2 5 3 4" xfId="14841" xr:uid="{E8485FDB-D214-4EC7-8226-96C874E5F5D3}"/>
    <cellStyle name="Normal 4 3 2 2 2 2 2 5 4" xfId="19064" xr:uid="{478EC1A8-2E6B-4EC0-9035-2E92C589CB8F}"/>
    <cellStyle name="Normal 4 3 2 2 2 2 2 5 5" xfId="27509" xr:uid="{7B8FC0A5-B69F-4840-A7C1-53476AE4D1A5}"/>
    <cellStyle name="Normal 4 3 2 2 2 2 2 5 6" xfId="10623" xr:uid="{9CF32D7C-20D2-4344-B80D-B54833649CA8}"/>
    <cellStyle name="Normal 4 3 2 2 2 2 2 6" xfId="2528" xr:uid="{00000000-0005-0000-0000-00001D140000}"/>
    <cellStyle name="Normal 4 3 2 2 2 2 2 6 2" xfId="6812" xr:uid="{00000000-0005-0000-0000-00001E140000}"/>
    <cellStyle name="Normal 4 3 2 2 2 2 2 6 2 2" xfId="23695" xr:uid="{94A7DAB5-BE71-4F73-857E-D6D9DE332775}"/>
    <cellStyle name="Normal 4 3 2 2 2 2 2 6 2 3" xfId="32141" xr:uid="{B9EB007B-753E-424C-B57F-3F355AE29D4E}"/>
    <cellStyle name="Normal 4 3 2 2 2 2 2 6 2 4" xfId="15254" xr:uid="{1C3073F0-7C41-49A1-AFCC-7B0C3A5504DD}"/>
    <cellStyle name="Normal 4 3 2 2 2 2 2 6 3" xfId="19477" xr:uid="{C7B4A458-DDA6-46B8-90B5-6ED8B2869823}"/>
    <cellStyle name="Normal 4 3 2 2 2 2 2 6 4" xfId="27922" xr:uid="{C014B6F1-CBE9-439D-BCF3-89C0948BEAF3}"/>
    <cellStyle name="Normal 4 3 2 2 2 2 2 6 5" xfId="11036" xr:uid="{2186318D-6993-4288-AC7D-7666988C0EC2}"/>
    <cellStyle name="Normal 4 3 2 2 2 2 2 7" xfId="4747" xr:uid="{00000000-0005-0000-0000-00001F140000}"/>
    <cellStyle name="Normal 4 3 2 2 2 2 2 7 2" xfId="21630" xr:uid="{56ACDC9C-8E72-4CDF-A744-20EC1557BC2A}"/>
    <cellStyle name="Normal 4 3 2 2 2 2 2 7 3" xfId="30076" xr:uid="{7E142BD2-178C-4200-94BA-B9AA316164F4}"/>
    <cellStyle name="Normal 4 3 2 2 2 2 2 7 4" xfId="13189" xr:uid="{A0930605-6880-4AA4-914E-99DC62DD83AE}"/>
    <cellStyle name="Normal 4 3 2 2 2 2 2 8" xfId="17412" xr:uid="{39FE21C3-032D-457E-BE86-B779AA71BE9B}"/>
    <cellStyle name="Normal 4 3 2 2 2 2 2 9" xfId="25856" xr:uid="{895C2BBA-31F1-41A8-A5B9-7406FD7AFB6A}"/>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24187" xr:uid="{182681DA-4F69-4790-A746-D763FFF51297}"/>
    <cellStyle name="Normal 4 3 2 2 2 2 3 2 2 3" xfId="32633" xr:uid="{3FF60E28-D9AC-47DD-ACC0-90FF0D28BC98}"/>
    <cellStyle name="Normal 4 3 2 2 2 2 3 2 2 4" xfId="15746" xr:uid="{35631183-C2B8-4DBF-91D8-50FAF4A40340}"/>
    <cellStyle name="Normal 4 3 2 2 2 2 3 2 3" xfId="19969" xr:uid="{62160A78-911E-4BB7-84A2-85DA8C17B405}"/>
    <cellStyle name="Normal 4 3 2 2 2 2 3 2 4" xfId="28416" xr:uid="{8CF43212-F7C3-41BA-8BE3-7007BF4B74AD}"/>
    <cellStyle name="Normal 4 3 2 2 2 2 3 2 5" xfId="11528" xr:uid="{8C6E6EF2-72F8-43C0-8855-66221CC302AB}"/>
    <cellStyle name="Normal 4 3 2 2 2 2 3 3" xfId="5159" xr:uid="{00000000-0005-0000-0000-000023140000}"/>
    <cellStyle name="Normal 4 3 2 2 2 2 3 3 2" xfId="22042" xr:uid="{5FA18102-4602-4671-B3B8-FF3D8758317F}"/>
    <cellStyle name="Normal 4 3 2 2 2 2 3 3 3" xfId="30488" xr:uid="{22E27259-C539-4E5A-9D13-DAF1974500A5}"/>
    <cellStyle name="Normal 4 3 2 2 2 2 3 3 4" xfId="13601" xr:uid="{594711B0-F51D-4A8E-9FA8-8FE4CA7012F1}"/>
    <cellStyle name="Normal 4 3 2 2 2 2 3 4" xfId="17824" xr:uid="{514F8EC3-AAD9-4EEC-9774-AAFB020150CC}"/>
    <cellStyle name="Normal 4 3 2 2 2 2 3 5" xfId="26269" xr:uid="{4D21A603-C782-42A1-8EDC-0C37AED9DBF0}"/>
    <cellStyle name="Normal 4 3 2 2 2 2 3 6" xfId="9383" xr:uid="{81AE917F-A059-4E90-9C1B-C49B8833B251}"/>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24600" xr:uid="{AFD913D8-468D-41DB-AB4C-55910CA5DF2B}"/>
    <cellStyle name="Normal 4 3 2 2 2 2 4 2 2 3" xfId="33046" xr:uid="{03CFA3E1-85AA-4AB5-80F7-2A3853CF382E}"/>
    <cellStyle name="Normal 4 3 2 2 2 2 4 2 2 4" xfId="16159" xr:uid="{E49E6900-A4D1-4FB3-A586-4677B12BCF9A}"/>
    <cellStyle name="Normal 4 3 2 2 2 2 4 2 3" xfId="20382" xr:uid="{010B983E-DB04-489D-9F2E-5A2BF0748962}"/>
    <cellStyle name="Normal 4 3 2 2 2 2 4 2 4" xfId="28829" xr:uid="{492F2FDD-F789-4DD1-B1F4-83EDF959BD3C}"/>
    <cellStyle name="Normal 4 3 2 2 2 2 4 2 5" xfId="11941" xr:uid="{3949D444-CE4D-47A7-9A81-DAC07DE6550B}"/>
    <cellStyle name="Normal 4 3 2 2 2 2 4 3" xfId="5572" xr:uid="{00000000-0005-0000-0000-000027140000}"/>
    <cellStyle name="Normal 4 3 2 2 2 2 4 3 2" xfId="22455" xr:uid="{B32A36E3-1232-448A-A3D1-B4748017703C}"/>
    <cellStyle name="Normal 4 3 2 2 2 2 4 3 3" xfId="30901" xr:uid="{28BE9698-A378-42BA-9E52-692C847B77E5}"/>
    <cellStyle name="Normal 4 3 2 2 2 2 4 3 4" xfId="14014" xr:uid="{E5D97AF3-8EEA-44C8-9721-534756B5F942}"/>
    <cellStyle name="Normal 4 3 2 2 2 2 4 4" xfId="18237" xr:uid="{2B93EAB5-25D6-49CF-8132-ECF04A977EAF}"/>
    <cellStyle name="Normal 4 3 2 2 2 2 4 5" xfId="26682" xr:uid="{4764DAA1-B816-479F-88AB-E854850C98F6}"/>
    <cellStyle name="Normal 4 3 2 2 2 2 4 6" xfId="9796" xr:uid="{5321BF6D-9352-495D-8FFD-F70941FD4863}"/>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25013" xr:uid="{2E12F84F-C0EF-456E-9131-CE646FA16713}"/>
    <cellStyle name="Normal 4 3 2 2 2 2 5 2 2 3" xfId="33459" xr:uid="{2C907F17-CAC1-453D-ACBA-16EE04D0B78F}"/>
    <cellStyle name="Normal 4 3 2 2 2 2 5 2 2 4" xfId="16572" xr:uid="{CF693F01-BD1E-4171-87F2-679D73A9DDD3}"/>
    <cellStyle name="Normal 4 3 2 2 2 2 5 2 3" xfId="20795" xr:uid="{5703C9B5-1A5D-4FEC-ADE0-D2CF820875CF}"/>
    <cellStyle name="Normal 4 3 2 2 2 2 5 2 4" xfId="29242" xr:uid="{95F538B5-9C27-4F69-A579-501DC401759C}"/>
    <cellStyle name="Normal 4 3 2 2 2 2 5 2 5" xfId="12354" xr:uid="{CABDA303-F788-45F6-ACF8-C4CE15AB9A31}"/>
    <cellStyle name="Normal 4 3 2 2 2 2 5 3" xfId="5985" xr:uid="{00000000-0005-0000-0000-00002B140000}"/>
    <cellStyle name="Normal 4 3 2 2 2 2 5 3 2" xfId="22868" xr:uid="{EFA53079-53B7-442C-9551-0473AFA580FE}"/>
    <cellStyle name="Normal 4 3 2 2 2 2 5 3 3" xfId="31314" xr:uid="{8E74F586-8815-4CDE-8CA0-7BD4242DD788}"/>
    <cellStyle name="Normal 4 3 2 2 2 2 5 3 4" xfId="14427" xr:uid="{670EB419-799E-43E7-A352-BCFE57E8A7C1}"/>
    <cellStyle name="Normal 4 3 2 2 2 2 5 4" xfId="18650" xr:uid="{5852A304-6273-4CA0-A86E-85E0DCF735CA}"/>
    <cellStyle name="Normal 4 3 2 2 2 2 5 5" xfId="27095" xr:uid="{9F196FC2-DB8B-4EF8-A162-4FDFF350DDD8}"/>
    <cellStyle name="Normal 4 3 2 2 2 2 5 6" xfId="10209" xr:uid="{C6A7EAA2-9996-4473-939B-1DDFD81EB899}"/>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25426" xr:uid="{CA743909-5ADF-4858-B458-40159A5BF04E}"/>
    <cellStyle name="Normal 4 3 2 2 2 2 6 2 2 3" xfId="33872" xr:uid="{C7221FDD-3C5D-4353-A665-F926E0A7265D}"/>
    <cellStyle name="Normal 4 3 2 2 2 2 6 2 2 4" xfId="16985" xr:uid="{2C47896A-25B1-47E4-BA9A-20B58B6A987E}"/>
    <cellStyle name="Normal 4 3 2 2 2 2 6 2 3" xfId="21208" xr:uid="{83116852-AD6B-4E31-8BA8-EF0D114638FF}"/>
    <cellStyle name="Normal 4 3 2 2 2 2 6 2 4" xfId="29655" xr:uid="{59C60C9B-11F5-4ACD-B49B-3137C7A9E6E8}"/>
    <cellStyle name="Normal 4 3 2 2 2 2 6 2 5" xfId="12767" xr:uid="{86F67745-51CD-4500-B4C0-9FEC67FA0F98}"/>
    <cellStyle name="Normal 4 3 2 2 2 2 6 3" xfId="6398" xr:uid="{00000000-0005-0000-0000-00002F140000}"/>
    <cellStyle name="Normal 4 3 2 2 2 2 6 3 2" xfId="23281" xr:uid="{524BE3DB-A871-45C1-A4AB-36DCB728484E}"/>
    <cellStyle name="Normal 4 3 2 2 2 2 6 3 3" xfId="31727" xr:uid="{36AEAE47-4572-4806-BE3D-380855A3D532}"/>
    <cellStyle name="Normal 4 3 2 2 2 2 6 3 4" xfId="14840" xr:uid="{57860BB1-72A6-4657-B971-80476E51F24F}"/>
    <cellStyle name="Normal 4 3 2 2 2 2 6 4" xfId="19063" xr:uid="{C35E9C22-477E-4B0C-8701-64DD6D924C93}"/>
    <cellStyle name="Normal 4 3 2 2 2 2 6 5" xfId="27508" xr:uid="{CA3A37B2-292E-43D6-87DB-723F287D9914}"/>
    <cellStyle name="Normal 4 3 2 2 2 2 6 6" xfId="10622" xr:uid="{A17C56C8-72EA-40FA-BDA0-C3C01FDA7D8B}"/>
    <cellStyle name="Normal 4 3 2 2 2 2 7" xfId="2527" xr:uid="{00000000-0005-0000-0000-000030140000}"/>
    <cellStyle name="Normal 4 3 2 2 2 2 7 2" xfId="6811" xr:uid="{00000000-0005-0000-0000-000031140000}"/>
    <cellStyle name="Normal 4 3 2 2 2 2 7 2 2" xfId="23694" xr:uid="{2002BDF0-EEAC-4284-B497-00F32480E375}"/>
    <cellStyle name="Normal 4 3 2 2 2 2 7 2 3" xfId="32140" xr:uid="{F4E321AD-1CF1-4FF2-B64E-B73A2BBC440A}"/>
    <cellStyle name="Normal 4 3 2 2 2 2 7 2 4" xfId="15253" xr:uid="{F6335674-F56A-401C-B0BA-FE051FF82FCC}"/>
    <cellStyle name="Normal 4 3 2 2 2 2 7 3" xfId="19476" xr:uid="{6AAF8850-3E66-4F8A-8EE5-D3EBCABDF908}"/>
    <cellStyle name="Normal 4 3 2 2 2 2 7 4" xfId="27921" xr:uid="{4F3DD573-8C47-43AE-A7FB-7D10A6643545}"/>
    <cellStyle name="Normal 4 3 2 2 2 2 7 5" xfId="11035" xr:uid="{E567C295-8CBD-4779-A683-ED38B10901AF}"/>
    <cellStyle name="Normal 4 3 2 2 2 2 8" xfId="4746" xr:uid="{00000000-0005-0000-0000-000032140000}"/>
    <cellStyle name="Normal 4 3 2 2 2 2 8 2" xfId="21629" xr:uid="{A5897E1C-CA80-4F20-AC67-F3232F17EDDD}"/>
    <cellStyle name="Normal 4 3 2 2 2 2 8 3" xfId="30075" xr:uid="{AFCADA62-2A4A-4A9C-ABFE-DDC86BC3A600}"/>
    <cellStyle name="Normal 4 3 2 2 2 2 8 4" xfId="13188" xr:uid="{B0F7DCF4-F405-4019-85A1-9F785385BD50}"/>
    <cellStyle name="Normal 4 3 2 2 2 2 9" xfId="17411" xr:uid="{069046B7-6685-4369-B590-D7F4E8FE5B12}"/>
    <cellStyle name="Normal 4 3 2 2 2 3" xfId="372" xr:uid="{00000000-0005-0000-0000-000033140000}"/>
    <cellStyle name="Normal 4 3 2 2 2 3 10" xfId="8972" xr:uid="{46B104A6-BDDE-408D-94FA-ACD4EC82B4FD}"/>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24189" xr:uid="{35BDFC78-34B5-4F2A-BD1E-82CDB956193F}"/>
    <cellStyle name="Normal 4 3 2 2 2 3 2 2 2 3" xfId="32635" xr:uid="{41485579-E488-482B-918E-753A7163A1C4}"/>
    <cellStyle name="Normal 4 3 2 2 2 3 2 2 2 4" xfId="15748" xr:uid="{7F5C5AF2-1536-4CC8-932E-3B566915359F}"/>
    <cellStyle name="Normal 4 3 2 2 2 3 2 2 3" xfId="19971" xr:uid="{D99E4B61-225B-4540-8632-24E852F61A4B}"/>
    <cellStyle name="Normal 4 3 2 2 2 3 2 2 4" xfId="28418" xr:uid="{4B053692-2F28-4FB4-AB06-B050A9A2C46D}"/>
    <cellStyle name="Normal 4 3 2 2 2 3 2 2 5" xfId="11530" xr:uid="{D6BCA38B-2985-4EDA-8D03-66F52613CDFB}"/>
    <cellStyle name="Normal 4 3 2 2 2 3 2 3" xfId="5161" xr:uid="{00000000-0005-0000-0000-000037140000}"/>
    <cellStyle name="Normal 4 3 2 2 2 3 2 3 2" xfId="22044" xr:uid="{793AE920-E958-49A6-A3C4-7FA9F4FBB9E0}"/>
    <cellStyle name="Normal 4 3 2 2 2 3 2 3 3" xfId="30490" xr:uid="{A7F35701-58A7-4EF2-BE74-FFCF19A04844}"/>
    <cellStyle name="Normal 4 3 2 2 2 3 2 3 4" xfId="13603" xr:uid="{EB0DEBD2-8A49-4D58-9841-DC854F49797F}"/>
    <cellStyle name="Normal 4 3 2 2 2 3 2 4" xfId="17826" xr:uid="{195BD059-D9CB-440C-BB02-4738AC043B24}"/>
    <cellStyle name="Normal 4 3 2 2 2 3 2 5" xfId="26271" xr:uid="{7E2F8552-3BCC-4CC9-B714-AF734C479A94}"/>
    <cellStyle name="Normal 4 3 2 2 2 3 2 6" xfId="9385" xr:uid="{A2FA8F85-A6BA-4394-AE9C-2398B27336E2}"/>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24602" xr:uid="{9F2A2664-578A-4F2C-BD01-F480C8A7567C}"/>
    <cellStyle name="Normal 4 3 2 2 2 3 3 2 2 3" xfId="33048" xr:uid="{9932796B-000D-446B-8695-5C8267FD70F0}"/>
    <cellStyle name="Normal 4 3 2 2 2 3 3 2 2 4" xfId="16161" xr:uid="{F9800ABF-0CF7-4DEE-A102-6A9E50A7D884}"/>
    <cellStyle name="Normal 4 3 2 2 2 3 3 2 3" xfId="20384" xr:uid="{DC2D937A-A4B7-48D5-B5E7-F32A3F98D9F3}"/>
    <cellStyle name="Normal 4 3 2 2 2 3 3 2 4" xfId="28831" xr:uid="{F65FFFD3-7C61-4A59-91E8-6BF9BF1CE91D}"/>
    <cellStyle name="Normal 4 3 2 2 2 3 3 2 5" xfId="11943" xr:uid="{F451DD75-9BC5-4C53-80DF-AD9F40A40162}"/>
    <cellStyle name="Normal 4 3 2 2 2 3 3 3" xfId="5574" xr:uid="{00000000-0005-0000-0000-00003B140000}"/>
    <cellStyle name="Normal 4 3 2 2 2 3 3 3 2" xfId="22457" xr:uid="{B63A8167-3919-4D2B-8AA3-1F10593710EB}"/>
    <cellStyle name="Normal 4 3 2 2 2 3 3 3 3" xfId="30903" xr:uid="{E9B9D742-E26C-4B29-BFB2-F7F693C33B34}"/>
    <cellStyle name="Normal 4 3 2 2 2 3 3 3 4" xfId="14016" xr:uid="{29DD2C0D-AC12-4BE4-89D5-7B9551851526}"/>
    <cellStyle name="Normal 4 3 2 2 2 3 3 4" xfId="18239" xr:uid="{7CF0E3C4-E580-4DE9-AAA1-5F779E3D9C31}"/>
    <cellStyle name="Normal 4 3 2 2 2 3 3 5" xfId="26684" xr:uid="{86F8B74E-96A7-4DA4-A271-B6EC6C44E6D8}"/>
    <cellStyle name="Normal 4 3 2 2 2 3 3 6" xfId="9798" xr:uid="{302F6C7A-19E8-47CC-B69C-BE8D5D00CAB8}"/>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25015" xr:uid="{0F024246-10CB-4E56-AA59-8990072A0F59}"/>
    <cellStyle name="Normal 4 3 2 2 2 3 4 2 2 3" xfId="33461" xr:uid="{479D06E5-D2FD-45FD-873C-6F0AC9E8FBFA}"/>
    <cellStyle name="Normal 4 3 2 2 2 3 4 2 2 4" xfId="16574" xr:uid="{1EEFF5CA-4E1D-4877-994F-71971D34CE31}"/>
    <cellStyle name="Normal 4 3 2 2 2 3 4 2 3" xfId="20797" xr:uid="{D956A932-CE19-4AEC-8191-2897BEAC81CD}"/>
    <cellStyle name="Normal 4 3 2 2 2 3 4 2 4" xfId="29244" xr:uid="{2AB6F834-6B5E-49F1-A2AB-D5A824FEEB92}"/>
    <cellStyle name="Normal 4 3 2 2 2 3 4 2 5" xfId="12356" xr:uid="{6298BC70-A201-45ED-8AF4-168691A046D8}"/>
    <cellStyle name="Normal 4 3 2 2 2 3 4 3" xfId="5987" xr:uid="{00000000-0005-0000-0000-00003F140000}"/>
    <cellStyle name="Normal 4 3 2 2 2 3 4 3 2" xfId="22870" xr:uid="{4E5BDD14-1C53-4D4C-BB0B-F69CFADEA9DF}"/>
    <cellStyle name="Normal 4 3 2 2 2 3 4 3 3" xfId="31316" xr:uid="{81FE3B8C-6F2C-4B6D-BAF0-EF0AA0E5C53E}"/>
    <cellStyle name="Normal 4 3 2 2 2 3 4 3 4" xfId="14429" xr:uid="{04A03E72-D9D9-40A6-9EA6-001EBF21D7C5}"/>
    <cellStyle name="Normal 4 3 2 2 2 3 4 4" xfId="18652" xr:uid="{035AAEA0-D683-40DD-BF98-A1B1A603863E}"/>
    <cellStyle name="Normal 4 3 2 2 2 3 4 5" xfId="27097" xr:uid="{F9BBB4EB-FB77-4019-99D7-8EE35E85A342}"/>
    <cellStyle name="Normal 4 3 2 2 2 3 4 6" xfId="10211" xr:uid="{0FDCF978-DBC4-43C1-AE7C-E4E63B29A846}"/>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25428" xr:uid="{6ACBCC47-5EBF-4DE7-B3F2-6DFF51BC39E2}"/>
    <cellStyle name="Normal 4 3 2 2 2 3 5 2 2 3" xfId="33874" xr:uid="{22F93F12-62AF-4B47-A251-60889DCAB1DC}"/>
    <cellStyle name="Normal 4 3 2 2 2 3 5 2 2 4" xfId="16987" xr:uid="{C542FFF6-5201-448C-A0D8-0D19E7609008}"/>
    <cellStyle name="Normal 4 3 2 2 2 3 5 2 3" xfId="21210" xr:uid="{B2547887-20C5-40A5-89AE-B0FCA6BA6CE7}"/>
    <cellStyle name="Normal 4 3 2 2 2 3 5 2 4" xfId="29657" xr:uid="{5F8329CF-FD30-4444-9370-C77C90375AFC}"/>
    <cellStyle name="Normal 4 3 2 2 2 3 5 2 5" xfId="12769" xr:uid="{3EFD5E4D-FBF9-4D5A-90D4-FE9214861BC4}"/>
    <cellStyle name="Normal 4 3 2 2 2 3 5 3" xfId="6400" xr:uid="{00000000-0005-0000-0000-000043140000}"/>
    <cellStyle name="Normal 4 3 2 2 2 3 5 3 2" xfId="23283" xr:uid="{FD11AFF8-500D-4F24-81A6-E8083BA3CE28}"/>
    <cellStyle name="Normal 4 3 2 2 2 3 5 3 3" xfId="31729" xr:uid="{E3D48B29-7D74-4D36-B728-19132FF5E30B}"/>
    <cellStyle name="Normal 4 3 2 2 2 3 5 3 4" xfId="14842" xr:uid="{A0817F5B-9566-4842-B6CE-5A3E46D6DE3E}"/>
    <cellStyle name="Normal 4 3 2 2 2 3 5 4" xfId="19065" xr:uid="{99956368-BE78-4EA4-95A5-9FE372021757}"/>
    <cellStyle name="Normal 4 3 2 2 2 3 5 5" xfId="27510" xr:uid="{37478D0E-D515-4CED-ACA8-6E02551D8256}"/>
    <cellStyle name="Normal 4 3 2 2 2 3 5 6" xfId="10624" xr:uid="{EEDFA30A-F4AB-40C6-A9D4-5C2817D315FE}"/>
    <cellStyle name="Normal 4 3 2 2 2 3 6" xfId="2529" xr:uid="{00000000-0005-0000-0000-000044140000}"/>
    <cellStyle name="Normal 4 3 2 2 2 3 6 2" xfId="6813" xr:uid="{00000000-0005-0000-0000-000045140000}"/>
    <cellStyle name="Normal 4 3 2 2 2 3 6 2 2" xfId="23696" xr:uid="{2DF3A65F-AFD3-4C30-83AB-0C9B3A2FE176}"/>
    <cellStyle name="Normal 4 3 2 2 2 3 6 2 3" xfId="32142" xr:uid="{964713EE-CECD-4C14-8452-8A2290102209}"/>
    <cellStyle name="Normal 4 3 2 2 2 3 6 2 4" xfId="15255" xr:uid="{60D007DC-C80F-450F-959F-AF585C3ADF2A}"/>
    <cellStyle name="Normal 4 3 2 2 2 3 6 3" xfId="19478" xr:uid="{5B0A01F9-8305-48BF-9A8E-1F1C00B04866}"/>
    <cellStyle name="Normal 4 3 2 2 2 3 6 4" xfId="27923" xr:uid="{85278823-902E-4276-AF0A-7EADB1B36692}"/>
    <cellStyle name="Normal 4 3 2 2 2 3 6 5" xfId="11037" xr:uid="{847F35E5-424A-4AF7-A18A-5E44E6F560AE}"/>
    <cellStyle name="Normal 4 3 2 2 2 3 7" xfId="4748" xr:uid="{00000000-0005-0000-0000-000046140000}"/>
    <cellStyle name="Normal 4 3 2 2 2 3 7 2" xfId="21631" xr:uid="{9CE635F1-F8B0-4DB4-A08C-741C2E80885F}"/>
    <cellStyle name="Normal 4 3 2 2 2 3 7 3" xfId="30077" xr:uid="{50308F32-E8F2-4AD2-82AE-F8BFAAC9345C}"/>
    <cellStyle name="Normal 4 3 2 2 2 3 7 4" xfId="13190" xr:uid="{F80B6421-6FCF-4F3A-81A0-ADC8295EC845}"/>
    <cellStyle name="Normal 4 3 2 2 2 3 8" xfId="17413" xr:uid="{2189A400-4809-44AB-BEDF-02AEF704281A}"/>
    <cellStyle name="Normal 4 3 2 2 2 3 9" xfId="25857" xr:uid="{3D483FBE-C221-448A-8F7D-B8B1826678B9}"/>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24186" xr:uid="{AA5CAE2B-85E9-4D2B-BF47-9B567175BAD5}"/>
    <cellStyle name="Normal 4 3 2 2 2 4 2 2 3" xfId="32632" xr:uid="{B72073F7-E103-45D6-B64B-65EE3587FD79}"/>
    <cellStyle name="Normal 4 3 2 2 2 4 2 2 4" xfId="15745" xr:uid="{F9550DDB-646A-4BD1-8389-B9101C6B9A85}"/>
    <cellStyle name="Normal 4 3 2 2 2 4 2 3" xfId="19968" xr:uid="{9FF774D3-2E33-479F-B5B3-A35C530E348D}"/>
    <cellStyle name="Normal 4 3 2 2 2 4 2 4" xfId="28415" xr:uid="{C062C2BC-0E30-421A-811C-0AFE67CE25AA}"/>
    <cellStyle name="Normal 4 3 2 2 2 4 2 5" xfId="11527" xr:uid="{87837520-1E44-44A0-8888-6BA2BCB5E88E}"/>
    <cellStyle name="Normal 4 3 2 2 2 4 3" xfId="5158" xr:uid="{00000000-0005-0000-0000-00004A140000}"/>
    <cellStyle name="Normal 4 3 2 2 2 4 3 2" xfId="22041" xr:uid="{81BBD4B9-0B89-4556-AED6-36657FC476BE}"/>
    <cellStyle name="Normal 4 3 2 2 2 4 3 3" xfId="30487" xr:uid="{B1DBFF86-DDB2-47F6-AC75-CBD169318421}"/>
    <cellStyle name="Normal 4 3 2 2 2 4 3 4" xfId="13600" xr:uid="{3625BEF3-397B-4803-B4C6-016C112C72D6}"/>
    <cellStyle name="Normal 4 3 2 2 2 4 4" xfId="17823" xr:uid="{DC639237-0A49-4405-8F6D-9F0D9AA83C35}"/>
    <cellStyle name="Normal 4 3 2 2 2 4 5" xfId="26268" xr:uid="{85A309C6-2F37-4B1B-BAE1-FC87951E99F8}"/>
    <cellStyle name="Normal 4 3 2 2 2 4 6" xfId="9382" xr:uid="{922559A1-4CD9-4679-ADD9-2733E520A417}"/>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24599" xr:uid="{1153DE6C-20DF-485C-90CF-5B2B30FCAF9B}"/>
    <cellStyle name="Normal 4 3 2 2 2 5 2 2 3" xfId="33045" xr:uid="{C426F5C6-B4F7-49F2-AA50-49ABDBA4373E}"/>
    <cellStyle name="Normal 4 3 2 2 2 5 2 2 4" xfId="16158" xr:uid="{A4923D59-3D15-4E37-9176-97AFC6D356B7}"/>
    <cellStyle name="Normal 4 3 2 2 2 5 2 3" xfId="20381" xr:uid="{5C675C7C-4760-4F0A-A821-F01755DC932A}"/>
    <cellStyle name="Normal 4 3 2 2 2 5 2 4" xfId="28828" xr:uid="{29A1253F-942D-4753-90AF-C014A8F38055}"/>
    <cellStyle name="Normal 4 3 2 2 2 5 2 5" xfId="11940" xr:uid="{5CA3D0EC-D269-45F0-9681-9E1CDDA50846}"/>
    <cellStyle name="Normal 4 3 2 2 2 5 3" xfId="5571" xr:uid="{00000000-0005-0000-0000-00004E140000}"/>
    <cellStyle name="Normal 4 3 2 2 2 5 3 2" xfId="22454" xr:uid="{26BFC12B-CD56-4531-B0FF-28159A18CE33}"/>
    <cellStyle name="Normal 4 3 2 2 2 5 3 3" xfId="30900" xr:uid="{AA555E1F-CB79-4F74-9147-8E02F24D2F00}"/>
    <cellStyle name="Normal 4 3 2 2 2 5 3 4" xfId="14013" xr:uid="{BC8202C1-B4F7-40B4-A59F-0484B6C897BE}"/>
    <cellStyle name="Normal 4 3 2 2 2 5 4" xfId="18236" xr:uid="{B416F2D9-9350-4C07-8662-2BACABD7E07E}"/>
    <cellStyle name="Normal 4 3 2 2 2 5 5" xfId="26681" xr:uid="{D9FD4E19-2075-4A97-B177-671809D9BFD9}"/>
    <cellStyle name="Normal 4 3 2 2 2 5 6" xfId="9795" xr:uid="{5F25E2DD-B017-4660-B1E3-AAE887B30184}"/>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25012" xr:uid="{91965A2E-EBD0-40C8-B4AA-A0BF7E7382D7}"/>
    <cellStyle name="Normal 4 3 2 2 2 6 2 2 3" xfId="33458" xr:uid="{B5D57A79-9B8C-4FBF-BC90-A9C6658CE2B1}"/>
    <cellStyle name="Normal 4 3 2 2 2 6 2 2 4" xfId="16571" xr:uid="{6195A857-B87A-43EA-9482-D0578A7D5CFD}"/>
    <cellStyle name="Normal 4 3 2 2 2 6 2 3" xfId="20794" xr:uid="{BD40AD4F-2D27-4D45-AD98-7DD0528DB8A6}"/>
    <cellStyle name="Normal 4 3 2 2 2 6 2 4" xfId="29241" xr:uid="{2F593663-540A-4DEC-A86E-9B6F94A1537D}"/>
    <cellStyle name="Normal 4 3 2 2 2 6 2 5" xfId="12353" xr:uid="{DEDF58D9-A3E6-4A3B-8DC7-6A37B405E2D9}"/>
    <cellStyle name="Normal 4 3 2 2 2 6 3" xfId="5984" xr:uid="{00000000-0005-0000-0000-000052140000}"/>
    <cellStyle name="Normal 4 3 2 2 2 6 3 2" xfId="22867" xr:uid="{FB13E4D5-488D-460E-A5F5-75F02E7104BB}"/>
    <cellStyle name="Normal 4 3 2 2 2 6 3 3" xfId="31313" xr:uid="{5E487A3A-B75A-4546-BFA9-9A976063160D}"/>
    <cellStyle name="Normal 4 3 2 2 2 6 3 4" xfId="14426" xr:uid="{12D68EA1-CCBA-4A45-8E97-0FF9AA816432}"/>
    <cellStyle name="Normal 4 3 2 2 2 6 4" xfId="18649" xr:uid="{D80068B2-E474-4BF9-8D6B-FF0094A2C960}"/>
    <cellStyle name="Normal 4 3 2 2 2 6 5" xfId="27094" xr:uid="{F6988ADB-43EA-4783-8050-0F4787F1A3FE}"/>
    <cellStyle name="Normal 4 3 2 2 2 6 6" xfId="10208" xr:uid="{73127D66-9503-4B64-9FEB-C4921BAF2212}"/>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25425" xr:uid="{AEE8AA67-AF08-4AB3-AEA2-25EA67CE2415}"/>
    <cellStyle name="Normal 4 3 2 2 2 7 2 2 3" xfId="33871" xr:uid="{C2E360EF-3CA7-4F05-8270-4A4FA825D04A}"/>
    <cellStyle name="Normal 4 3 2 2 2 7 2 2 4" xfId="16984" xr:uid="{07DE3606-39CE-4F38-9D97-19710C00A7FF}"/>
    <cellStyle name="Normal 4 3 2 2 2 7 2 3" xfId="21207" xr:uid="{EFFD7D6E-67FF-451C-8418-F1F8CD6B296D}"/>
    <cellStyle name="Normal 4 3 2 2 2 7 2 4" xfId="29654" xr:uid="{F48D8094-EEE9-499E-AE3B-12EBC56C0231}"/>
    <cellStyle name="Normal 4 3 2 2 2 7 2 5" xfId="12766" xr:uid="{E464AE72-04E0-463C-B746-666512C3B7DA}"/>
    <cellStyle name="Normal 4 3 2 2 2 7 3" xfId="6397" xr:uid="{00000000-0005-0000-0000-000056140000}"/>
    <cellStyle name="Normal 4 3 2 2 2 7 3 2" xfId="23280" xr:uid="{58F9D96D-7304-4521-947F-5195E4AA334D}"/>
    <cellStyle name="Normal 4 3 2 2 2 7 3 3" xfId="31726" xr:uid="{41278A5A-53E6-4124-9E0C-C523D2215D52}"/>
    <cellStyle name="Normal 4 3 2 2 2 7 3 4" xfId="14839" xr:uid="{058D9C7F-D5C5-4299-96A4-52D86F0BF26A}"/>
    <cellStyle name="Normal 4 3 2 2 2 7 4" xfId="19062" xr:uid="{0D3714B4-9CE5-4308-BFE0-CB64BEAEDD6A}"/>
    <cellStyle name="Normal 4 3 2 2 2 7 5" xfId="27507" xr:uid="{7DAECECE-1C9E-4392-A8A5-E1422DCDE32A}"/>
    <cellStyle name="Normal 4 3 2 2 2 7 6" xfId="10621" xr:uid="{7BEB259B-8F52-4F6B-B5DC-0EDE84083423}"/>
    <cellStyle name="Normal 4 3 2 2 2 8" xfId="2526" xr:uid="{00000000-0005-0000-0000-000057140000}"/>
    <cellStyle name="Normal 4 3 2 2 2 8 2" xfId="6810" xr:uid="{00000000-0005-0000-0000-000058140000}"/>
    <cellStyle name="Normal 4 3 2 2 2 8 2 2" xfId="23693" xr:uid="{C0D3A126-C208-40E1-B27D-A3347E700450}"/>
    <cellStyle name="Normal 4 3 2 2 2 8 2 3" xfId="32139" xr:uid="{FF0D2947-0F8D-4E39-A713-81ACCA6DAE24}"/>
    <cellStyle name="Normal 4 3 2 2 2 8 2 4" xfId="15252" xr:uid="{5DCFF820-4363-4972-A64C-592E4100B899}"/>
    <cellStyle name="Normal 4 3 2 2 2 8 3" xfId="19475" xr:uid="{A819DC32-6A1A-4338-952A-C361F698C85B}"/>
    <cellStyle name="Normal 4 3 2 2 2 8 4" xfId="27920" xr:uid="{ACC9C942-4221-4213-9169-E8565E200519}"/>
    <cellStyle name="Normal 4 3 2 2 2 8 5" xfId="11034" xr:uid="{6C257208-4940-439D-80AA-898BD79A0C30}"/>
    <cellStyle name="Normal 4 3 2 2 2 9" xfId="4745" xr:uid="{00000000-0005-0000-0000-000059140000}"/>
    <cellStyle name="Normal 4 3 2 2 2 9 2" xfId="21628" xr:uid="{CBC2B68D-610E-4D1D-BC4E-7E7ECAB6BA26}"/>
    <cellStyle name="Normal 4 3 2 2 2 9 3" xfId="30074" xr:uid="{895563D9-3361-4185-BF0F-2D61DD62C5A7}"/>
    <cellStyle name="Normal 4 3 2 2 2 9 4" xfId="13187" xr:uid="{775C63D2-4993-49BA-9E4B-CC237FDF6EFB}"/>
    <cellStyle name="Normal 4 3 2 3" xfId="373" xr:uid="{00000000-0005-0000-0000-00005A140000}"/>
    <cellStyle name="Normal 4 3 2 3 2" xfId="848" xr:uid="{00000000-0005-0000-0000-00005B140000}"/>
    <cellStyle name="Normal 4 3 2 4" xfId="843" xr:uid="{00000000-0005-0000-0000-00005C140000}"/>
    <cellStyle name="Normal 4 3 2 5" xfId="34077" xr:uid="{70FD243E-0711-4BF8-89A2-B367EE8D3147}"/>
    <cellStyle name="Normal 4 3 3" xfId="374" xr:uid="{00000000-0005-0000-0000-00005D140000}"/>
    <cellStyle name="Normal 4 3 3 10" xfId="17414" xr:uid="{6EE85944-D73C-4659-ACC2-F5DDD10A4DDE}"/>
    <cellStyle name="Normal 4 3 3 11" xfId="25858" xr:uid="{CCBF34AC-B0D4-4E85-BD07-04FC2C042288}"/>
    <cellStyle name="Normal 4 3 3 12" xfId="8973" xr:uid="{2DAD38ED-07D7-4384-B9F5-8CA31A9A2249}"/>
    <cellStyle name="Normal 4 3 3 2" xfId="375" xr:uid="{00000000-0005-0000-0000-00005E140000}"/>
    <cellStyle name="Normal 4 3 3 2 10" xfId="25859" xr:uid="{60A0856C-EAFD-4A1E-83DD-A6DF9AA65735}"/>
    <cellStyle name="Normal 4 3 3 2 11" xfId="8974" xr:uid="{597B89C6-91A4-41B1-B22F-EBF608552007}"/>
    <cellStyle name="Normal 4 3 3 2 2" xfId="376" xr:uid="{00000000-0005-0000-0000-00005F140000}"/>
    <cellStyle name="Normal 4 3 3 2 2 10" xfId="8975" xr:uid="{FB97DEC6-239D-48D0-A300-BFE0320B975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24192" xr:uid="{4383D48B-ABF6-4112-A6AA-D33B7C8CF4BF}"/>
    <cellStyle name="Normal 4 3 3 2 2 2 2 2 3" xfId="32638" xr:uid="{5A8B46F8-6104-4747-8681-B24ADC0A3A79}"/>
    <cellStyle name="Normal 4 3 3 2 2 2 2 2 4" xfId="15751" xr:uid="{37421ADA-F1E9-426F-8FBF-356568E2EFDC}"/>
    <cellStyle name="Normal 4 3 3 2 2 2 2 3" xfId="19974" xr:uid="{AD214A49-E775-4F71-BF89-608284B9151D}"/>
    <cellStyle name="Normal 4 3 3 2 2 2 2 4" xfId="28421" xr:uid="{9F442E77-E5CC-479F-AEC5-228DF27178B9}"/>
    <cellStyle name="Normal 4 3 3 2 2 2 2 5" xfId="11533" xr:uid="{C6DB1F09-913A-4CFD-B369-449BCA292F8B}"/>
    <cellStyle name="Normal 4 3 3 2 2 2 3" xfId="5164" xr:uid="{00000000-0005-0000-0000-000063140000}"/>
    <cellStyle name="Normal 4 3 3 2 2 2 3 2" xfId="22047" xr:uid="{4372CB56-9643-44C6-B279-E11676C4DC86}"/>
    <cellStyle name="Normal 4 3 3 2 2 2 3 3" xfId="30493" xr:uid="{44F8C3BE-6504-4E09-B719-721564AEDAF3}"/>
    <cellStyle name="Normal 4 3 3 2 2 2 3 4" xfId="13606" xr:uid="{45219353-C87C-4B36-8EDC-EDBFADF9F4FF}"/>
    <cellStyle name="Normal 4 3 3 2 2 2 4" xfId="17829" xr:uid="{07F85DAE-C315-4083-B7A7-6BCD0E07EAE0}"/>
    <cellStyle name="Normal 4 3 3 2 2 2 5" xfId="26274" xr:uid="{F5FB4416-508E-4940-B0A7-550DCBBC9499}"/>
    <cellStyle name="Normal 4 3 3 2 2 2 6" xfId="9388" xr:uid="{D475F7BE-692E-447D-9210-138141302CE8}"/>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24605" xr:uid="{C3362CF4-8985-49C9-8176-3F80D02739EC}"/>
    <cellStyle name="Normal 4 3 3 2 2 3 2 2 3" xfId="33051" xr:uid="{0C703D84-2903-4975-8FE8-7782A39DF4EC}"/>
    <cellStyle name="Normal 4 3 3 2 2 3 2 2 4" xfId="16164" xr:uid="{1B25079B-0CD5-4913-A9C4-8622C5BCB64D}"/>
    <cellStyle name="Normal 4 3 3 2 2 3 2 3" xfId="20387" xr:uid="{41573588-F1A8-467E-8B0B-C50124EA209E}"/>
    <cellStyle name="Normal 4 3 3 2 2 3 2 4" xfId="28834" xr:uid="{569FE7E8-A247-4278-ACDB-B3EFE4D191A9}"/>
    <cellStyle name="Normal 4 3 3 2 2 3 2 5" xfId="11946" xr:uid="{14BC1A9D-70F6-4534-BCB0-9E4825CFE3A3}"/>
    <cellStyle name="Normal 4 3 3 2 2 3 3" xfId="5577" xr:uid="{00000000-0005-0000-0000-000067140000}"/>
    <cellStyle name="Normal 4 3 3 2 2 3 3 2" xfId="22460" xr:uid="{7860FA72-6025-4415-BFA0-6315042B92BF}"/>
    <cellStyle name="Normal 4 3 3 2 2 3 3 3" xfId="30906" xr:uid="{158CFF18-E3A5-44F4-9F85-1C34C89DE0E6}"/>
    <cellStyle name="Normal 4 3 3 2 2 3 3 4" xfId="14019" xr:uid="{F152DB58-D930-4610-B797-B08F91E29323}"/>
    <cellStyle name="Normal 4 3 3 2 2 3 4" xfId="18242" xr:uid="{BAE457AA-912F-401B-A728-84204925C2C3}"/>
    <cellStyle name="Normal 4 3 3 2 2 3 5" xfId="26687" xr:uid="{895CB96F-11B9-4731-AC8D-5DC9EDAEE27F}"/>
    <cellStyle name="Normal 4 3 3 2 2 3 6" xfId="9801" xr:uid="{7ACBF67B-85F2-4652-A974-A81004260389}"/>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25018" xr:uid="{44924A01-A76F-41B4-8F42-36844BCE3239}"/>
    <cellStyle name="Normal 4 3 3 2 2 4 2 2 3" xfId="33464" xr:uid="{087891DA-239A-46A7-AF8D-4909426ADC49}"/>
    <cellStyle name="Normal 4 3 3 2 2 4 2 2 4" xfId="16577" xr:uid="{A1757B6D-55EF-4739-B730-363F7380D31D}"/>
    <cellStyle name="Normal 4 3 3 2 2 4 2 3" xfId="20800" xr:uid="{08F7E18B-2970-4D3C-996E-F5E18AA50FDA}"/>
    <cellStyle name="Normal 4 3 3 2 2 4 2 4" xfId="29247" xr:uid="{219F607B-989F-4A23-B5AD-1045D822E8DF}"/>
    <cellStyle name="Normal 4 3 3 2 2 4 2 5" xfId="12359" xr:uid="{CDEF295E-7541-4D9B-BA3C-8D3C22C282D7}"/>
    <cellStyle name="Normal 4 3 3 2 2 4 3" xfId="5990" xr:uid="{00000000-0005-0000-0000-00006B140000}"/>
    <cellStyle name="Normal 4 3 3 2 2 4 3 2" xfId="22873" xr:uid="{F929E777-1195-4457-8106-6BD8599DF300}"/>
    <cellStyle name="Normal 4 3 3 2 2 4 3 3" xfId="31319" xr:uid="{2BC7E752-E5BB-4E30-BD8B-0BEA6BB9D22C}"/>
    <cellStyle name="Normal 4 3 3 2 2 4 3 4" xfId="14432" xr:uid="{9126D459-F2B1-4665-875E-7735F461316F}"/>
    <cellStyle name="Normal 4 3 3 2 2 4 4" xfId="18655" xr:uid="{D62F1D75-13F2-401B-9236-A7A2DB7E3CDC}"/>
    <cellStyle name="Normal 4 3 3 2 2 4 5" xfId="27100" xr:uid="{E6AAE4C4-856F-40F1-AAF3-D716E485B14A}"/>
    <cellStyle name="Normal 4 3 3 2 2 4 6" xfId="10214" xr:uid="{2F389C6F-C3AE-4EA2-9A20-45AB33DBAB4E}"/>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25431" xr:uid="{463C283C-869E-40A6-850E-56FA35D95F92}"/>
    <cellStyle name="Normal 4 3 3 2 2 5 2 2 3" xfId="33877" xr:uid="{06C56ABF-4FF4-4609-9BBC-8F76EC8029BA}"/>
    <cellStyle name="Normal 4 3 3 2 2 5 2 2 4" xfId="16990" xr:uid="{A2D9D2A2-E5B0-4632-8F2C-DB41B4210C15}"/>
    <cellStyle name="Normal 4 3 3 2 2 5 2 3" xfId="21213" xr:uid="{2260C8D8-AFAC-40BF-BF26-BAC9B6155B1D}"/>
    <cellStyle name="Normal 4 3 3 2 2 5 2 4" xfId="29660" xr:uid="{18C5FD66-8CC2-4A0F-852D-D7CD44B10587}"/>
    <cellStyle name="Normal 4 3 3 2 2 5 2 5" xfId="12772" xr:uid="{D943AA00-06B6-4BF5-AAFC-1E394C334784}"/>
    <cellStyle name="Normal 4 3 3 2 2 5 3" xfId="6403" xr:uid="{00000000-0005-0000-0000-00006F140000}"/>
    <cellStyle name="Normal 4 3 3 2 2 5 3 2" xfId="23286" xr:uid="{9771FC66-6CD6-4248-930A-5445A45F0242}"/>
    <cellStyle name="Normal 4 3 3 2 2 5 3 3" xfId="31732" xr:uid="{D1ECDC00-911E-4DE6-A61A-1EA3BC17C84F}"/>
    <cellStyle name="Normal 4 3 3 2 2 5 3 4" xfId="14845" xr:uid="{89BCA40D-31EE-4F2A-B89A-0D070F82857C}"/>
    <cellStyle name="Normal 4 3 3 2 2 5 4" xfId="19068" xr:uid="{660900EF-C5AC-402D-AE1E-BF6E23604D9B}"/>
    <cellStyle name="Normal 4 3 3 2 2 5 5" xfId="27513" xr:uid="{047BA99C-13B0-4D9C-ABB6-D2C4DB68BFEB}"/>
    <cellStyle name="Normal 4 3 3 2 2 5 6" xfId="10627" xr:uid="{E70942A0-99A2-478C-A7D4-F96041FF67AA}"/>
    <cellStyle name="Normal 4 3 3 2 2 6" xfId="2532" xr:uid="{00000000-0005-0000-0000-000070140000}"/>
    <cellStyle name="Normal 4 3 3 2 2 6 2" xfId="6816" xr:uid="{00000000-0005-0000-0000-000071140000}"/>
    <cellStyle name="Normal 4 3 3 2 2 6 2 2" xfId="23699" xr:uid="{04DCC5EF-AF7B-4B5C-AE06-3D477E574E98}"/>
    <cellStyle name="Normal 4 3 3 2 2 6 2 3" xfId="32145" xr:uid="{28E59D86-9F5A-493E-A085-AD5E7E28276D}"/>
    <cellStyle name="Normal 4 3 3 2 2 6 2 4" xfId="15258" xr:uid="{3D741AD1-C8B7-4A72-B62B-1FEFCC4AD565}"/>
    <cellStyle name="Normal 4 3 3 2 2 6 3" xfId="19481" xr:uid="{6C4E536F-4375-41F0-819F-8C5D27F2F06F}"/>
    <cellStyle name="Normal 4 3 3 2 2 6 4" xfId="27926" xr:uid="{B4520A6A-5F8B-4DED-97AA-1926A937CB20}"/>
    <cellStyle name="Normal 4 3 3 2 2 6 5" xfId="11040" xr:uid="{3EB1D704-C054-41AA-ACE0-11EE860176A8}"/>
    <cellStyle name="Normal 4 3 3 2 2 7" xfId="4751" xr:uid="{00000000-0005-0000-0000-000072140000}"/>
    <cellStyle name="Normal 4 3 3 2 2 7 2" xfId="21634" xr:uid="{69ADAB9C-318C-4C57-B4A0-AEB4909069D7}"/>
    <cellStyle name="Normal 4 3 3 2 2 7 3" xfId="30080" xr:uid="{D639E599-C269-44A9-809A-48069FA20FDC}"/>
    <cellStyle name="Normal 4 3 3 2 2 7 4" xfId="13193" xr:uid="{0AFC0680-1357-4B07-AA1E-EFAA554B7733}"/>
    <cellStyle name="Normal 4 3 3 2 2 8" xfId="17416" xr:uid="{E73619DD-C10E-4EB2-A124-11A14B7B1C8C}"/>
    <cellStyle name="Normal 4 3 3 2 2 9" xfId="25860" xr:uid="{D11FDB98-0B23-4981-B6C6-E5BD424575D1}"/>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24191" xr:uid="{64F37D19-0387-40D3-B8D9-5A9657D1848F}"/>
    <cellStyle name="Normal 4 3 3 2 3 2 2 3" xfId="32637" xr:uid="{9B3532C6-BC27-44BC-97A7-57805F9F1611}"/>
    <cellStyle name="Normal 4 3 3 2 3 2 2 4" xfId="15750" xr:uid="{90CF547D-51C0-49C0-B3E0-2264F8B9F87C}"/>
    <cellStyle name="Normal 4 3 3 2 3 2 3" xfId="19973" xr:uid="{6B4C1B18-E19A-4B6C-A7DD-96A11B87B1C6}"/>
    <cellStyle name="Normal 4 3 3 2 3 2 4" xfId="28420" xr:uid="{D6DFCA93-9416-4271-B78F-234627AB5A84}"/>
    <cellStyle name="Normal 4 3 3 2 3 2 5" xfId="11532" xr:uid="{D3664B86-E33C-4C8E-BC0E-E65FD90CCEB9}"/>
    <cellStyle name="Normal 4 3 3 2 3 3" xfId="5163" xr:uid="{00000000-0005-0000-0000-000076140000}"/>
    <cellStyle name="Normal 4 3 3 2 3 3 2" xfId="22046" xr:uid="{2B00F4BF-F851-44E2-86B6-A9AF09093C21}"/>
    <cellStyle name="Normal 4 3 3 2 3 3 3" xfId="30492" xr:uid="{5B3130EB-CC34-40CC-B889-E1F3ECA5DEF2}"/>
    <cellStyle name="Normal 4 3 3 2 3 3 4" xfId="13605" xr:uid="{CD552BCF-D642-4AA7-93ED-CAC1F055D810}"/>
    <cellStyle name="Normal 4 3 3 2 3 4" xfId="17828" xr:uid="{AAB1865F-2BD9-4A25-897D-7E528DFC9F91}"/>
    <cellStyle name="Normal 4 3 3 2 3 5" xfId="26273" xr:uid="{9C6FB6B2-D165-461F-8B3E-0111CAE1128A}"/>
    <cellStyle name="Normal 4 3 3 2 3 6" xfId="9387" xr:uid="{51B2DD4A-91DF-4E1C-BF7E-327D708A2902}"/>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24604" xr:uid="{2CDDCB7E-B4FA-41CE-A9AF-71F08AF74EBE}"/>
    <cellStyle name="Normal 4 3 3 2 4 2 2 3" xfId="33050" xr:uid="{060C3C90-3592-4F43-A416-9A92888AD3D6}"/>
    <cellStyle name="Normal 4 3 3 2 4 2 2 4" xfId="16163" xr:uid="{04F5A25D-9B6F-4D87-AED8-8E328693DDF8}"/>
    <cellStyle name="Normal 4 3 3 2 4 2 3" xfId="20386" xr:uid="{4B0E14B1-839D-4EC1-9AE6-159D063713FB}"/>
    <cellStyle name="Normal 4 3 3 2 4 2 4" xfId="28833" xr:uid="{CC3A6BAA-5EFB-47AF-8586-402E8E748339}"/>
    <cellStyle name="Normal 4 3 3 2 4 2 5" xfId="11945" xr:uid="{E938D45A-826E-451D-8E13-0990FF5E6901}"/>
    <cellStyle name="Normal 4 3 3 2 4 3" xfId="5576" xr:uid="{00000000-0005-0000-0000-00007A140000}"/>
    <cellStyle name="Normal 4 3 3 2 4 3 2" xfId="22459" xr:uid="{8F79E577-B221-4907-999D-487CBCEC6DF0}"/>
    <cellStyle name="Normal 4 3 3 2 4 3 3" xfId="30905" xr:uid="{5883E0BC-D462-48E6-A454-38A5FE19AD9C}"/>
    <cellStyle name="Normal 4 3 3 2 4 3 4" xfId="14018" xr:uid="{B22DDA7B-693F-4D2F-AE26-4EABF8BE63C7}"/>
    <cellStyle name="Normal 4 3 3 2 4 4" xfId="18241" xr:uid="{D4C08687-CC2D-49D7-A4AD-A43BA0ECDFF5}"/>
    <cellStyle name="Normal 4 3 3 2 4 5" xfId="26686" xr:uid="{1138B731-A3CD-41B0-B17E-F0C8795930EB}"/>
    <cellStyle name="Normal 4 3 3 2 4 6" xfId="9800" xr:uid="{88763231-4315-406C-ACE0-EB2DB86CB19A}"/>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25017" xr:uid="{252DA099-2C7F-490F-B8D4-B9188E7BC793}"/>
    <cellStyle name="Normal 4 3 3 2 5 2 2 3" xfId="33463" xr:uid="{8B26D380-17B0-407D-B85A-8737B83C36B5}"/>
    <cellStyle name="Normal 4 3 3 2 5 2 2 4" xfId="16576" xr:uid="{C3580BB2-7F80-42BE-9E3B-519C10D9013E}"/>
    <cellStyle name="Normal 4 3 3 2 5 2 3" xfId="20799" xr:uid="{1C1A9628-9219-4352-895E-3CD23C2EB2DB}"/>
    <cellStyle name="Normal 4 3 3 2 5 2 4" xfId="29246" xr:uid="{17B9EB47-4AB7-4887-91F6-A0403A8341F5}"/>
    <cellStyle name="Normal 4 3 3 2 5 2 5" xfId="12358" xr:uid="{527A14CF-0A23-4C04-857F-0C3A83276836}"/>
    <cellStyle name="Normal 4 3 3 2 5 3" xfId="5989" xr:uid="{00000000-0005-0000-0000-00007E140000}"/>
    <cellStyle name="Normal 4 3 3 2 5 3 2" xfId="22872" xr:uid="{300ED8EA-F7FC-4675-BD97-8014F7C69994}"/>
    <cellStyle name="Normal 4 3 3 2 5 3 3" xfId="31318" xr:uid="{81B88DD7-08F9-4DA9-8F8F-7C54110D9E0C}"/>
    <cellStyle name="Normal 4 3 3 2 5 3 4" xfId="14431" xr:uid="{5B5E55B6-3909-4CFC-AE68-C2C5BC8F7E6A}"/>
    <cellStyle name="Normal 4 3 3 2 5 4" xfId="18654" xr:uid="{4BAE5998-0C5A-4F67-A1E4-8EC3B3D70B95}"/>
    <cellStyle name="Normal 4 3 3 2 5 5" xfId="27099" xr:uid="{65E13744-7E99-4A37-8C86-F8AE94A034BA}"/>
    <cellStyle name="Normal 4 3 3 2 5 6" xfId="10213" xr:uid="{357E3336-905C-4E8A-8460-7292B88AC0E0}"/>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25430" xr:uid="{6BFC798E-4751-4FF6-BBBE-1C6F3C447516}"/>
    <cellStyle name="Normal 4 3 3 2 6 2 2 3" xfId="33876" xr:uid="{4C46CFFF-4F60-428E-85BE-45E449C918BF}"/>
    <cellStyle name="Normal 4 3 3 2 6 2 2 4" xfId="16989" xr:uid="{C8137B6A-D730-4B75-810C-5A6A3B2CFFBA}"/>
    <cellStyle name="Normal 4 3 3 2 6 2 3" xfId="21212" xr:uid="{CDF3A1F3-EE73-42B5-8524-8BAB0AE4DEFF}"/>
    <cellStyle name="Normal 4 3 3 2 6 2 4" xfId="29659" xr:uid="{35E8D7FA-2EFD-4F0E-8697-C11A1016170D}"/>
    <cellStyle name="Normal 4 3 3 2 6 2 5" xfId="12771" xr:uid="{A9A8D6D2-987B-422D-8FE3-03C74870167F}"/>
    <cellStyle name="Normal 4 3 3 2 6 3" xfId="6402" xr:uid="{00000000-0005-0000-0000-000082140000}"/>
    <cellStyle name="Normal 4 3 3 2 6 3 2" xfId="23285" xr:uid="{AA695E85-A3D2-481A-97F6-42A313213FF1}"/>
    <cellStyle name="Normal 4 3 3 2 6 3 3" xfId="31731" xr:uid="{709457EE-8FB8-42D2-8C13-8E0CE0FD14DD}"/>
    <cellStyle name="Normal 4 3 3 2 6 3 4" xfId="14844" xr:uid="{06EB25A6-55A6-488A-A9D5-4260C566735C}"/>
    <cellStyle name="Normal 4 3 3 2 6 4" xfId="19067" xr:uid="{6947F9DA-F6A3-4D99-8725-576443ED184A}"/>
    <cellStyle name="Normal 4 3 3 2 6 5" xfId="27512" xr:uid="{874D8FE7-F54F-4F76-A744-3AFA59E2A26A}"/>
    <cellStyle name="Normal 4 3 3 2 6 6" xfId="10626" xr:uid="{B8075B48-5D01-4F23-9590-E45BB6995166}"/>
    <cellStyle name="Normal 4 3 3 2 7" xfId="2531" xr:uid="{00000000-0005-0000-0000-000083140000}"/>
    <cellStyle name="Normal 4 3 3 2 7 2" xfId="6815" xr:uid="{00000000-0005-0000-0000-000084140000}"/>
    <cellStyle name="Normal 4 3 3 2 7 2 2" xfId="23698" xr:uid="{88F324C9-8D7D-4939-A434-854108C8B577}"/>
    <cellStyle name="Normal 4 3 3 2 7 2 3" xfId="32144" xr:uid="{FEACCFA4-1014-44BA-843E-9A867CC7C55D}"/>
    <cellStyle name="Normal 4 3 3 2 7 2 4" xfId="15257" xr:uid="{5090542F-54EA-47B3-B11A-D6F0D36B2180}"/>
    <cellStyle name="Normal 4 3 3 2 7 3" xfId="19480" xr:uid="{17DD44B8-F707-4BC7-A2F8-FE4B20C2A04D}"/>
    <cellStyle name="Normal 4 3 3 2 7 4" xfId="27925" xr:uid="{2C17EE27-C1E2-4A6D-8F0F-3796DAD0DFC2}"/>
    <cellStyle name="Normal 4 3 3 2 7 5" xfId="11039" xr:uid="{B7648EDA-03BB-45FE-BDAA-F706C0A66D37}"/>
    <cellStyle name="Normal 4 3 3 2 8" xfId="4750" xr:uid="{00000000-0005-0000-0000-000085140000}"/>
    <cellStyle name="Normal 4 3 3 2 8 2" xfId="21633" xr:uid="{5F2765DE-F093-4E14-AD83-0E78FA2B00EB}"/>
    <cellStyle name="Normal 4 3 3 2 8 3" xfId="30079" xr:uid="{1A90CB4F-3160-46B1-A566-BD35E7CEF5BC}"/>
    <cellStyle name="Normal 4 3 3 2 8 4" xfId="13192" xr:uid="{0B593FDD-7E8C-4950-A0CC-24C2B2A4AB2A}"/>
    <cellStyle name="Normal 4 3 3 2 9" xfId="17415" xr:uid="{3FD9F3AC-D7BC-4C62-9EED-42EAF8B808A5}"/>
    <cellStyle name="Normal 4 3 3 3" xfId="377" xr:uid="{00000000-0005-0000-0000-000086140000}"/>
    <cellStyle name="Normal 4 3 3 3 10" xfId="8976" xr:uid="{2F42B431-4940-465B-A188-5EB11270F518}"/>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24193" xr:uid="{D366087E-F7DA-42EB-815C-AA5BCBDBE1A7}"/>
    <cellStyle name="Normal 4 3 3 3 2 2 2 3" xfId="32639" xr:uid="{DDAD5D2F-2DBE-46E8-B326-187AC3047B3C}"/>
    <cellStyle name="Normal 4 3 3 3 2 2 2 4" xfId="15752" xr:uid="{936CCA5F-F9E3-414B-8934-14BDB5AE7B6D}"/>
    <cellStyle name="Normal 4 3 3 3 2 2 3" xfId="19975" xr:uid="{7B20E3E9-08FF-4A01-8A9B-5AA8BC476DF7}"/>
    <cellStyle name="Normal 4 3 3 3 2 2 4" xfId="28422" xr:uid="{9282DA57-BD9F-49E0-A53E-E01AA9A81174}"/>
    <cellStyle name="Normal 4 3 3 3 2 2 5" xfId="11534" xr:uid="{D6AC095B-2EA2-4064-B830-5E78C850D82D}"/>
    <cellStyle name="Normal 4 3 3 3 2 3" xfId="5165" xr:uid="{00000000-0005-0000-0000-00008A140000}"/>
    <cellStyle name="Normal 4 3 3 3 2 3 2" xfId="22048" xr:uid="{01141BEF-9B02-439C-BC8E-3D87245D180B}"/>
    <cellStyle name="Normal 4 3 3 3 2 3 3" xfId="30494" xr:uid="{1BDCD98F-B2C0-4779-ABDC-F77B2D2BE130}"/>
    <cellStyle name="Normal 4 3 3 3 2 3 4" xfId="13607" xr:uid="{E5692DC1-B63C-482B-8658-3E2B08BC6D18}"/>
    <cellStyle name="Normal 4 3 3 3 2 4" xfId="17830" xr:uid="{1BD444C3-48FA-4635-88BD-A20440DEF538}"/>
    <cellStyle name="Normal 4 3 3 3 2 5" xfId="26275" xr:uid="{3E062D16-D1CB-44FB-BEC7-8C05C9D98A08}"/>
    <cellStyle name="Normal 4 3 3 3 2 6" xfId="9389" xr:uid="{866CC848-C4DE-4ACB-AE7C-D9D603C9C6D9}"/>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24606" xr:uid="{AC3CD233-6D02-4D22-BAB5-D0EF460F5AAF}"/>
    <cellStyle name="Normal 4 3 3 3 3 2 2 3" xfId="33052" xr:uid="{82EB21DF-4D74-4413-A85A-298EB83A2D46}"/>
    <cellStyle name="Normal 4 3 3 3 3 2 2 4" xfId="16165" xr:uid="{9CCD01DA-BD89-4C44-AC85-FFA03E286F57}"/>
    <cellStyle name="Normal 4 3 3 3 3 2 3" xfId="20388" xr:uid="{AB250D63-AD18-452F-B4DA-C64E598F4250}"/>
    <cellStyle name="Normal 4 3 3 3 3 2 4" xfId="28835" xr:uid="{0E16E17B-4935-4A32-A4A0-3CFA5EF8AAE6}"/>
    <cellStyle name="Normal 4 3 3 3 3 2 5" xfId="11947" xr:uid="{D36D9DA7-3768-4CE1-9442-B662766810C2}"/>
    <cellStyle name="Normal 4 3 3 3 3 3" xfId="5578" xr:uid="{00000000-0005-0000-0000-00008E140000}"/>
    <cellStyle name="Normal 4 3 3 3 3 3 2" xfId="22461" xr:uid="{F47D3CC8-0BFC-4FB7-9CE3-8A9AE91E2F9E}"/>
    <cellStyle name="Normal 4 3 3 3 3 3 3" xfId="30907" xr:uid="{66BF533C-8C18-4740-B22D-BDD8E2D2D0F9}"/>
    <cellStyle name="Normal 4 3 3 3 3 3 4" xfId="14020" xr:uid="{BCE9B41C-63C6-4B51-825A-7801BA6E974D}"/>
    <cellStyle name="Normal 4 3 3 3 3 4" xfId="18243" xr:uid="{D1597287-0A4D-446C-8B6F-C96B6E5F3948}"/>
    <cellStyle name="Normal 4 3 3 3 3 5" xfId="26688" xr:uid="{6BE77B20-6932-4BB9-9F0D-5110193F570F}"/>
    <cellStyle name="Normal 4 3 3 3 3 6" xfId="9802" xr:uid="{786143F4-AE36-43D6-848B-07FE93B375DA}"/>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25019" xr:uid="{AA1506E4-678C-43A8-AA71-CD80442D4E55}"/>
    <cellStyle name="Normal 4 3 3 3 4 2 2 3" xfId="33465" xr:uid="{276BBC60-3A10-462E-9201-C73EB52794A0}"/>
    <cellStyle name="Normal 4 3 3 3 4 2 2 4" xfId="16578" xr:uid="{2BB7995B-8099-449D-A1A8-1F02C9CA385E}"/>
    <cellStyle name="Normal 4 3 3 3 4 2 3" xfId="20801" xr:uid="{EB518E79-247C-4EA4-BA80-65CFC681FA53}"/>
    <cellStyle name="Normal 4 3 3 3 4 2 4" xfId="29248" xr:uid="{3EC0D0F7-8421-42E4-B4E8-B67163ABD698}"/>
    <cellStyle name="Normal 4 3 3 3 4 2 5" xfId="12360" xr:uid="{D3D96951-0BEA-4FF2-A916-B9423EDCF2AE}"/>
    <cellStyle name="Normal 4 3 3 3 4 3" xfId="5991" xr:uid="{00000000-0005-0000-0000-000092140000}"/>
    <cellStyle name="Normal 4 3 3 3 4 3 2" xfId="22874" xr:uid="{BE85B68F-036C-4D49-A5B9-A0F08B82E310}"/>
    <cellStyle name="Normal 4 3 3 3 4 3 3" xfId="31320" xr:uid="{BA95F238-4D74-4CC2-A742-2241446C499F}"/>
    <cellStyle name="Normal 4 3 3 3 4 3 4" xfId="14433" xr:uid="{36CEEF65-76C0-412E-869A-7B6C47D19E35}"/>
    <cellStyle name="Normal 4 3 3 3 4 4" xfId="18656" xr:uid="{09CC12F8-FFFA-4352-AA2C-9AC47C95A00F}"/>
    <cellStyle name="Normal 4 3 3 3 4 5" xfId="27101" xr:uid="{AB77E852-11AB-4FC9-85C6-2CD51029CE94}"/>
    <cellStyle name="Normal 4 3 3 3 4 6" xfId="10215" xr:uid="{7BDFDD87-B1F7-46CF-9C4B-EF72F09BBEE2}"/>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25432" xr:uid="{752BD079-8D4B-43A2-8693-F4EADE0ABB19}"/>
    <cellStyle name="Normal 4 3 3 3 5 2 2 3" xfId="33878" xr:uid="{7F3CC814-F63E-4B76-96B7-66A7095520F5}"/>
    <cellStyle name="Normal 4 3 3 3 5 2 2 4" xfId="16991" xr:uid="{B6222EEE-9126-4C91-B0B0-E28011C9A635}"/>
    <cellStyle name="Normal 4 3 3 3 5 2 3" xfId="21214" xr:uid="{B639901F-D53D-40F2-811B-5084F954E2E9}"/>
    <cellStyle name="Normal 4 3 3 3 5 2 4" xfId="29661" xr:uid="{1F89D60F-9B9B-4487-BFFD-B357583D1455}"/>
    <cellStyle name="Normal 4 3 3 3 5 2 5" xfId="12773" xr:uid="{838F2A2F-7A7B-4EA1-A20B-D9292E959972}"/>
    <cellStyle name="Normal 4 3 3 3 5 3" xfId="6404" xr:uid="{00000000-0005-0000-0000-000096140000}"/>
    <cellStyle name="Normal 4 3 3 3 5 3 2" xfId="23287" xr:uid="{ADD53494-7630-4AD4-A744-BD3EA77C37C8}"/>
    <cellStyle name="Normal 4 3 3 3 5 3 3" xfId="31733" xr:uid="{BCA9F792-D2A4-4D02-8299-E402C808E46D}"/>
    <cellStyle name="Normal 4 3 3 3 5 3 4" xfId="14846" xr:uid="{55718C1A-0913-42FB-8D30-9E02B8EBDB4A}"/>
    <cellStyle name="Normal 4 3 3 3 5 4" xfId="19069" xr:uid="{3FFF554B-5F4B-48BB-9FD2-8ADE89F15C06}"/>
    <cellStyle name="Normal 4 3 3 3 5 5" xfId="27514" xr:uid="{A85B033D-2106-4BEC-A687-DFD933702F98}"/>
    <cellStyle name="Normal 4 3 3 3 5 6" xfId="10628" xr:uid="{0A33021E-1D12-4DCB-9DA3-9DAE3D27FF2B}"/>
    <cellStyle name="Normal 4 3 3 3 6" xfId="2533" xr:uid="{00000000-0005-0000-0000-000097140000}"/>
    <cellStyle name="Normal 4 3 3 3 6 2" xfId="6817" xr:uid="{00000000-0005-0000-0000-000098140000}"/>
    <cellStyle name="Normal 4 3 3 3 6 2 2" xfId="23700" xr:uid="{65AC1ACB-3FA1-4967-A26A-95879CEB239E}"/>
    <cellStyle name="Normal 4 3 3 3 6 2 3" xfId="32146" xr:uid="{19EC4FC6-E806-48C5-916F-099BDF077B59}"/>
    <cellStyle name="Normal 4 3 3 3 6 2 4" xfId="15259" xr:uid="{0E52C78B-A7A9-4315-81F0-AA975785CBFF}"/>
    <cellStyle name="Normal 4 3 3 3 6 3" xfId="19482" xr:uid="{3A574841-95AE-4304-94B9-B21DBA501FEA}"/>
    <cellStyle name="Normal 4 3 3 3 6 4" xfId="27927" xr:uid="{9D56CAC5-DB65-4F53-953F-C94A6D45F691}"/>
    <cellStyle name="Normal 4 3 3 3 6 5" xfId="11041" xr:uid="{25D0C1B4-45A3-4D17-B59F-A76CEE8B7BFA}"/>
    <cellStyle name="Normal 4 3 3 3 7" xfId="4752" xr:uid="{00000000-0005-0000-0000-000099140000}"/>
    <cellStyle name="Normal 4 3 3 3 7 2" xfId="21635" xr:uid="{CFE7BFB7-27CF-4A2B-835E-315268DF874E}"/>
    <cellStyle name="Normal 4 3 3 3 7 3" xfId="30081" xr:uid="{63585B21-FA3C-4B67-917D-F44428A087B5}"/>
    <cellStyle name="Normal 4 3 3 3 7 4" xfId="13194" xr:uid="{12137B98-8DB8-4685-AE6F-4D43A9CDE9A1}"/>
    <cellStyle name="Normal 4 3 3 3 8" xfId="17417" xr:uid="{93A98530-CF11-454E-944C-5147D23359F8}"/>
    <cellStyle name="Normal 4 3 3 3 9" xfId="25861" xr:uid="{9B9B1A2E-FCA4-4D73-8A32-ADC2BB37C4FD}"/>
    <cellStyle name="Normal 4 3 3 4" xfId="849" xr:uid="{00000000-0005-0000-0000-00009A140000}"/>
    <cellStyle name="Normal 4 3 3 4 2" xfId="3084" xr:uid="{00000000-0005-0000-0000-00009B140000}"/>
    <cellStyle name="Normal 4 3 3 4 2 2" xfId="7307" xr:uid="{00000000-0005-0000-0000-00009C140000}"/>
    <cellStyle name="Normal 4 3 3 4 2 2 2" xfId="24190" xr:uid="{340936EC-0693-4AEC-91AD-27BB37776C4F}"/>
    <cellStyle name="Normal 4 3 3 4 2 2 3" xfId="32636" xr:uid="{968258E6-EC68-4807-BC46-4AF03F33A6A6}"/>
    <cellStyle name="Normal 4 3 3 4 2 2 4" xfId="15749" xr:uid="{97F66EA4-2377-4BE3-81AB-3D095F81B409}"/>
    <cellStyle name="Normal 4 3 3 4 2 3" xfId="19972" xr:uid="{C4F831FF-30B2-4DC7-A94C-8A33975BC4CE}"/>
    <cellStyle name="Normal 4 3 3 4 2 4" xfId="28419" xr:uid="{F7D84F85-CF18-4A14-B35A-E2B5334060D1}"/>
    <cellStyle name="Normal 4 3 3 4 2 5" xfId="11531" xr:uid="{B75E2192-82A0-41DC-894B-69D136C7DE82}"/>
    <cellStyle name="Normal 4 3 3 4 3" xfId="5162" xr:uid="{00000000-0005-0000-0000-00009D140000}"/>
    <cellStyle name="Normal 4 3 3 4 3 2" xfId="22045" xr:uid="{FA25AE92-B444-412D-90A1-D79BC9820938}"/>
    <cellStyle name="Normal 4 3 3 4 3 3" xfId="30491" xr:uid="{B421C485-B17F-469A-98CE-39D3087D4CCB}"/>
    <cellStyle name="Normal 4 3 3 4 3 4" xfId="13604" xr:uid="{656EEDC5-5C53-4483-B988-02BE705CC1FC}"/>
    <cellStyle name="Normal 4 3 3 4 4" xfId="17827" xr:uid="{A9B852D2-2B15-46ED-A32E-D729267C4DA8}"/>
    <cellStyle name="Normal 4 3 3 4 5" xfId="26272" xr:uid="{485693F8-B5FF-4BCE-B9AC-70BA54350B76}"/>
    <cellStyle name="Normal 4 3 3 4 6" xfId="9386" xr:uid="{0D8639F3-DF55-4439-9057-5C26B59412A5}"/>
    <cellStyle name="Normal 4 3 3 5" xfId="1267" xr:uid="{00000000-0005-0000-0000-00009E140000}"/>
    <cellStyle name="Normal 4 3 3 5 2" xfId="3497" xr:uid="{00000000-0005-0000-0000-00009F140000}"/>
    <cellStyle name="Normal 4 3 3 5 2 2" xfId="7720" xr:uid="{00000000-0005-0000-0000-0000A0140000}"/>
    <cellStyle name="Normal 4 3 3 5 2 2 2" xfId="24603" xr:uid="{F63E82F5-4090-48A3-9F6F-F1D5A3C65BDB}"/>
    <cellStyle name="Normal 4 3 3 5 2 2 3" xfId="33049" xr:uid="{33A04DDA-33D2-40F2-AC0D-26153BB52E17}"/>
    <cellStyle name="Normal 4 3 3 5 2 2 4" xfId="16162" xr:uid="{07C03622-43B4-42E8-ABFF-1F6EBB87A8EA}"/>
    <cellStyle name="Normal 4 3 3 5 2 3" xfId="20385" xr:uid="{7D62048B-3B34-4175-ABA0-73A9B55ED0F2}"/>
    <cellStyle name="Normal 4 3 3 5 2 4" xfId="28832" xr:uid="{3B5F31CD-CB47-43EC-BE99-335592E3FCDF}"/>
    <cellStyle name="Normal 4 3 3 5 2 5" xfId="11944" xr:uid="{21193CEE-30D9-4880-BA80-B88F02C9C74A}"/>
    <cellStyle name="Normal 4 3 3 5 3" xfId="5575" xr:uid="{00000000-0005-0000-0000-0000A1140000}"/>
    <cellStyle name="Normal 4 3 3 5 3 2" xfId="22458" xr:uid="{155C56F5-8AC8-4278-9F9B-582DB807A36B}"/>
    <cellStyle name="Normal 4 3 3 5 3 3" xfId="30904" xr:uid="{C554D50C-AE98-4DA2-9AFD-63A81D419D95}"/>
    <cellStyle name="Normal 4 3 3 5 3 4" xfId="14017" xr:uid="{C15C5203-C502-43F0-B51E-4D51160FDE0C}"/>
    <cellStyle name="Normal 4 3 3 5 4" xfId="18240" xr:uid="{2626B452-B04F-43E3-ACA1-04194E0922EA}"/>
    <cellStyle name="Normal 4 3 3 5 5" xfId="26685" xr:uid="{5CD63B0C-B84B-4CA8-979C-343FF4899ABD}"/>
    <cellStyle name="Normal 4 3 3 5 6" xfId="9799" xr:uid="{0A7D264B-2FC2-4C6E-971D-64AE35AC4C5B}"/>
    <cellStyle name="Normal 4 3 3 6" xfId="1680" xr:uid="{00000000-0005-0000-0000-0000A2140000}"/>
    <cellStyle name="Normal 4 3 3 6 2" xfId="3910" xr:uid="{00000000-0005-0000-0000-0000A3140000}"/>
    <cellStyle name="Normal 4 3 3 6 2 2" xfId="8133" xr:uid="{00000000-0005-0000-0000-0000A4140000}"/>
    <cellStyle name="Normal 4 3 3 6 2 2 2" xfId="25016" xr:uid="{C6F7B00F-8327-460B-B3B8-8425CA94038F}"/>
    <cellStyle name="Normal 4 3 3 6 2 2 3" xfId="33462" xr:uid="{55A7EE90-44F6-4248-810F-9FD6CAF2C01F}"/>
    <cellStyle name="Normal 4 3 3 6 2 2 4" xfId="16575" xr:uid="{FAA9C17A-AF6D-4C8E-B57D-CEA27540E0A9}"/>
    <cellStyle name="Normal 4 3 3 6 2 3" xfId="20798" xr:uid="{346625AC-A18B-412A-8ABE-1C4A72745CE1}"/>
    <cellStyle name="Normal 4 3 3 6 2 4" xfId="29245" xr:uid="{A7E44859-D769-479F-9B1D-03B8F713A6EA}"/>
    <cellStyle name="Normal 4 3 3 6 2 5" xfId="12357" xr:uid="{6C93F593-50AC-4ADA-B053-F5ECDDAF8515}"/>
    <cellStyle name="Normal 4 3 3 6 3" xfId="5988" xr:uid="{00000000-0005-0000-0000-0000A5140000}"/>
    <cellStyle name="Normal 4 3 3 6 3 2" xfId="22871" xr:uid="{80730806-190E-45B1-8D73-ED58D07F29D3}"/>
    <cellStyle name="Normal 4 3 3 6 3 3" xfId="31317" xr:uid="{5140711A-94B6-4CE7-8F58-D8E7998C54E6}"/>
    <cellStyle name="Normal 4 3 3 6 3 4" xfId="14430" xr:uid="{67C1214E-FC84-4246-BCBF-FE5644D3F397}"/>
    <cellStyle name="Normal 4 3 3 6 4" xfId="18653" xr:uid="{575E4102-33DE-4F62-8FBA-FBEA9B6EDA68}"/>
    <cellStyle name="Normal 4 3 3 6 5" xfId="27098" xr:uid="{9394AD47-B833-419D-82EE-47FBB22E52F6}"/>
    <cellStyle name="Normal 4 3 3 6 6" xfId="10212" xr:uid="{A1D767DA-60FC-45CC-9181-56EC4C32A3B0}"/>
    <cellStyle name="Normal 4 3 3 7" xfId="2094" xr:uid="{00000000-0005-0000-0000-0000A6140000}"/>
    <cellStyle name="Normal 4 3 3 7 2" xfId="4323" xr:uid="{00000000-0005-0000-0000-0000A7140000}"/>
    <cellStyle name="Normal 4 3 3 7 2 2" xfId="8546" xr:uid="{00000000-0005-0000-0000-0000A8140000}"/>
    <cellStyle name="Normal 4 3 3 7 2 2 2" xfId="25429" xr:uid="{CD24DE06-ED07-45AD-94EB-03A47F9EBA84}"/>
    <cellStyle name="Normal 4 3 3 7 2 2 3" xfId="33875" xr:uid="{EF62D53D-EE35-4158-8801-1719D92F7468}"/>
    <cellStyle name="Normal 4 3 3 7 2 2 4" xfId="16988" xr:uid="{B0DE37A7-A953-4A76-A223-71654551AE4D}"/>
    <cellStyle name="Normal 4 3 3 7 2 3" xfId="21211" xr:uid="{A39F5498-3C29-4C78-8F24-CB0DE9349C93}"/>
    <cellStyle name="Normal 4 3 3 7 2 4" xfId="29658" xr:uid="{2D70124A-3923-4A67-9266-BE6B43356CF4}"/>
    <cellStyle name="Normal 4 3 3 7 2 5" xfId="12770" xr:uid="{2526ECC1-1598-4607-87B4-7CBD9F45A5B4}"/>
    <cellStyle name="Normal 4 3 3 7 3" xfId="6401" xr:uid="{00000000-0005-0000-0000-0000A9140000}"/>
    <cellStyle name="Normal 4 3 3 7 3 2" xfId="23284" xr:uid="{25602C1E-6C93-46A4-A3E3-17EEA4D02182}"/>
    <cellStyle name="Normal 4 3 3 7 3 3" xfId="31730" xr:uid="{C6B883E5-A621-45FA-8D83-8139D515D4A8}"/>
    <cellStyle name="Normal 4 3 3 7 3 4" xfId="14843" xr:uid="{B2C5854C-0BCE-41A7-8566-5E69163A319F}"/>
    <cellStyle name="Normal 4 3 3 7 4" xfId="19066" xr:uid="{DEF82F54-2BC0-4E3E-A6BE-0200E605ABFA}"/>
    <cellStyle name="Normal 4 3 3 7 5" xfId="27511" xr:uid="{56E6D4FE-6124-4C34-A4C3-E7EC0323CA27}"/>
    <cellStyle name="Normal 4 3 3 7 6" xfId="10625" xr:uid="{DB6BE993-5F51-4FC1-8151-2945889E550B}"/>
    <cellStyle name="Normal 4 3 3 8" xfId="2530" xr:uid="{00000000-0005-0000-0000-0000AA140000}"/>
    <cellStyle name="Normal 4 3 3 8 2" xfId="6814" xr:uid="{00000000-0005-0000-0000-0000AB140000}"/>
    <cellStyle name="Normal 4 3 3 8 2 2" xfId="23697" xr:uid="{FA34179F-5367-49DE-83D0-003E2EE83551}"/>
    <cellStyle name="Normal 4 3 3 8 2 3" xfId="32143" xr:uid="{02E87799-51DE-4D2F-AB7C-9251DE55BBC3}"/>
    <cellStyle name="Normal 4 3 3 8 2 4" xfId="15256" xr:uid="{F706709E-9C03-44C8-AAE0-D62BEEFA969F}"/>
    <cellStyle name="Normal 4 3 3 8 3" xfId="19479" xr:uid="{AE19C3FC-B28D-4953-AE5E-E505D16D065B}"/>
    <cellStyle name="Normal 4 3 3 8 4" xfId="27924" xr:uid="{2F50ECE3-96BB-4BE7-928E-F5DD97A5F1F9}"/>
    <cellStyle name="Normal 4 3 3 8 5" xfId="11038" xr:uid="{EE3C2A25-E1B9-43EE-A73C-7E1D3332AC3C}"/>
    <cellStyle name="Normal 4 3 3 9" xfId="4749" xr:uid="{00000000-0005-0000-0000-0000AC140000}"/>
    <cellStyle name="Normal 4 3 3 9 2" xfId="21632" xr:uid="{E42CB1EB-D5B5-4309-911F-EA2804B27EB1}"/>
    <cellStyle name="Normal 4 3 3 9 3" xfId="30078" xr:uid="{F889669D-6D90-4281-9734-DA2033D79612}"/>
    <cellStyle name="Normal 4 3 3 9 4" xfId="13191" xr:uid="{33866942-CC72-45BE-92FD-E4B7BDF11D9D}"/>
    <cellStyle name="Normal 4 3 4" xfId="842" xr:uid="{00000000-0005-0000-0000-0000AD140000}"/>
    <cellStyle name="Normal 4 3 4 2" xfId="3079" xr:uid="{00000000-0005-0000-0000-0000AE140000}"/>
    <cellStyle name="Normal 4 3 4 2 2" xfId="7302" xr:uid="{00000000-0005-0000-0000-0000AF140000}"/>
    <cellStyle name="Normal 4 3 4 2 2 2" xfId="24185" xr:uid="{91950006-0CB9-489B-A7FB-9B565C9603FD}"/>
    <cellStyle name="Normal 4 3 4 2 2 3" xfId="32631" xr:uid="{FDC3019E-0E0E-4998-8423-DCAEA1B0B6D3}"/>
    <cellStyle name="Normal 4 3 4 2 2 4" xfId="15744" xr:uid="{B6FCBC34-E87B-4C5A-9FBB-612266785107}"/>
    <cellStyle name="Normal 4 3 4 2 3" xfId="19967" xr:uid="{95D95562-F0D8-42A7-BD29-08ECFF73065E}"/>
    <cellStyle name="Normal 4 3 4 2 4" xfId="28414" xr:uid="{648E8F9D-D885-4589-A612-F556A6D094FD}"/>
    <cellStyle name="Normal 4 3 4 2 5" xfId="11526" xr:uid="{FFC73A58-B54D-46CF-AEA7-E8B2B9C09821}"/>
    <cellStyle name="Normal 4 3 4 3" xfId="5157" xr:uid="{00000000-0005-0000-0000-0000B0140000}"/>
    <cellStyle name="Normal 4 3 4 3 2" xfId="22040" xr:uid="{A11306CB-2C7F-423F-B280-CED78AC93EA9}"/>
    <cellStyle name="Normal 4 3 4 3 3" xfId="30486" xr:uid="{A5929D67-5DE0-499D-8C89-EC6C03956FAF}"/>
    <cellStyle name="Normal 4 3 4 3 4" xfId="13599" xr:uid="{8D3FF7BC-B63C-4E1F-8AB4-7182A53731BC}"/>
    <cellStyle name="Normal 4 3 4 4" xfId="17822" xr:uid="{435345D2-9662-4CF9-BB03-5713230A4112}"/>
    <cellStyle name="Normal 4 3 4 5" xfId="26267" xr:uid="{DDC65B34-95D6-4427-814E-71C4C61873A9}"/>
    <cellStyle name="Normal 4 3 4 6" xfId="9381" xr:uid="{37D57B11-B30D-4C09-B8F6-4649AFC91B64}"/>
    <cellStyle name="Normal 4 3 5" xfId="1262" xr:uid="{00000000-0005-0000-0000-0000B1140000}"/>
    <cellStyle name="Normal 4 3 5 2" xfId="3492" xr:uid="{00000000-0005-0000-0000-0000B2140000}"/>
    <cellStyle name="Normal 4 3 5 2 2" xfId="7715" xr:uid="{00000000-0005-0000-0000-0000B3140000}"/>
    <cellStyle name="Normal 4 3 5 2 2 2" xfId="24598" xr:uid="{0D3E493A-6197-4B7D-881A-2A4982273AB6}"/>
    <cellStyle name="Normal 4 3 5 2 2 3" xfId="33044" xr:uid="{8BC1F25F-3947-4732-B03F-1322289A8AC4}"/>
    <cellStyle name="Normal 4 3 5 2 2 4" xfId="16157" xr:uid="{A85FD494-5262-4B0B-A890-386A04A74ED0}"/>
    <cellStyle name="Normal 4 3 5 2 3" xfId="20380" xr:uid="{5F33F773-4208-4CA1-9C80-D371FAB07112}"/>
    <cellStyle name="Normal 4 3 5 2 4" xfId="28827" xr:uid="{DB1E5F90-A0DC-4DC0-BBAA-8510ECED9A2D}"/>
    <cellStyle name="Normal 4 3 5 2 5" xfId="11939" xr:uid="{204DC703-B484-4CAA-A577-B044C6233A37}"/>
    <cellStyle name="Normal 4 3 5 3" xfId="5570" xr:uid="{00000000-0005-0000-0000-0000B4140000}"/>
    <cellStyle name="Normal 4 3 5 3 2" xfId="22453" xr:uid="{722F5618-AA82-4C5A-900B-7D763C5DA4DC}"/>
    <cellStyle name="Normal 4 3 5 3 3" xfId="30899" xr:uid="{A9709864-7270-4426-A5DA-D1EE62772AD2}"/>
    <cellStyle name="Normal 4 3 5 3 4" xfId="14012" xr:uid="{840EFF4C-DD67-4C7D-873A-E39C34B27DCB}"/>
    <cellStyle name="Normal 4 3 5 4" xfId="18235" xr:uid="{3B76B597-163E-4AE8-8304-7F91024C35BC}"/>
    <cellStyle name="Normal 4 3 5 5" xfId="26680" xr:uid="{FFF51871-D09B-4BC2-A0A5-AF6897727402}"/>
    <cellStyle name="Normal 4 3 5 6" xfId="9794" xr:uid="{D7FF7464-1E14-4D62-9C85-C880463C3A76}"/>
    <cellStyle name="Normal 4 3 6" xfId="1675" xr:uid="{00000000-0005-0000-0000-0000B5140000}"/>
    <cellStyle name="Normal 4 3 6 2" xfId="3905" xr:uid="{00000000-0005-0000-0000-0000B6140000}"/>
    <cellStyle name="Normal 4 3 6 2 2" xfId="8128" xr:uid="{00000000-0005-0000-0000-0000B7140000}"/>
    <cellStyle name="Normal 4 3 6 2 2 2" xfId="25011" xr:uid="{6AD3970E-9671-4209-869E-8ED0079FBB84}"/>
    <cellStyle name="Normal 4 3 6 2 2 3" xfId="33457" xr:uid="{2D750767-773A-4910-AC73-2BACAC346DD3}"/>
    <cellStyle name="Normal 4 3 6 2 2 4" xfId="16570" xr:uid="{F04FDA2C-5850-4B27-929E-9D505FA64014}"/>
    <cellStyle name="Normal 4 3 6 2 3" xfId="20793" xr:uid="{8980DC7E-A133-439F-89B8-FB692DFBB9AB}"/>
    <cellStyle name="Normal 4 3 6 2 4" xfId="29240" xr:uid="{7E15685A-724B-426C-A705-F80FB23B01EE}"/>
    <cellStyle name="Normal 4 3 6 2 5" xfId="12352" xr:uid="{34D6D8B8-A4EB-4C6A-A1B3-13F62803FA01}"/>
    <cellStyle name="Normal 4 3 6 3" xfId="5983" xr:uid="{00000000-0005-0000-0000-0000B8140000}"/>
    <cellStyle name="Normal 4 3 6 3 2" xfId="22866" xr:uid="{2E39D08A-508B-481C-ACF7-E80DCCF60720}"/>
    <cellStyle name="Normal 4 3 6 3 3" xfId="31312" xr:uid="{07210C4A-5584-477D-8CE8-C3F7EAD18B72}"/>
    <cellStyle name="Normal 4 3 6 3 4" xfId="14425" xr:uid="{1E065A84-E891-4151-88CD-088B5471AECD}"/>
    <cellStyle name="Normal 4 3 6 4" xfId="18648" xr:uid="{FD9F9DC2-1E68-4B4C-90C0-9D90B8A93018}"/>
    <cellStyle name="Normal 4 3 6 5" xfId="27093" xr:uid="{EC31B7E9-D646-4B91-AF8A-F151EA7B4843}"/>
    <cellStyle name="Normal 4 3 6 6" xfId="10207" xr:uid="{4D5E595D-C4E6-4337-8B5C-BF8EAE62ABCD}"/>
    <cellStyle name="Normal 4 3 7" xfId="2089" xr:uid="{00000000-0005-0000-0000-0000B9140000}"/>
    <cellStyle name="Normal 4 3 7 2" xfId="4318" xr:uid="{00000000-0005-0000-0000-0000BA140000}"/>
    <cellStyle name="Normal 4 3 7 2 2" xfId="8541" xr:uid="{00000000-0005-0000-0000-0000BB140000}"/>
    <cellStyle name="Normal 4 3 7 2 2 2" xfId="25424" xr:uid="{D3A70980-A300-418B-B322-25F1C67CFEB2}"/>
    <cellStyle name="Normal 4 3 7 2 2 3" xfId="33870" xr:uid="{80CE41AE-41F6-4D69-ACE3-83CAAC15257D}"/>
    <cellStyle name="Normal 4 3 7 2 2 4" xfId="16983" xr:uid="{DA766D76-55AE-404D-A8F3-F6DF256C59F0}"/>
    <cellStyle name="Normal 4 3 7 2 3" xfId="21206" xr:uid="{F249089E-8A61-405D-8AE7-448DB610BE75}"/>
    <cellStyle name="Normal 4 3 7 2 4" xfId="29653" xr:uid="{DF251B7F-49A4-429A-B32A-DE8E0BA8FD0A}"/>
    <cellStyle name="Normal 4 3 7 2 5" xfId="12765" xr:uid="{0666A740-FE6A-4E57-B04B-DA8A7270C06A}"/>
    <cellStyle name="Normal 4 3 7 3" xfId="6396" xr:uid="{00000000-0005-0000-0000-0000BC140000}"/>
    <cellStyle name="Normal 4 3 7 3 2" xfId="23279" xr:uid="{63043021-1B87-4B49-879E-11BB8FA0706D}"/>
    <cellStyle name="Normal 4 3 7 3 3" xfId="31725" xr:uid="{F0ACAEE7-7849-4227-A466-BBEAEC2D75A0}"/>
    <cellStyle name="Normal 4 3 7 3 4" xfId="14838" xr:uid="{47F4942C-9E84-49A0-BBF8-BC5D4AE1C1E4}"/>
    <cellStyle name="Normal 4 3 7 4" xfId="19061" xr:uid="{05B117B1-62F3-4F77-BEE3-B1CCC1C00F95}"/>
    <cellStyle name="Normal 4 3 7 5" xfId="27506" xr:uid="{22B0782C-37F1-499E-8514-ED0975F6A893}"/>
    <cellStyle name="Normal 4 3 7 6" xfId="10620" xr:uid="{9A704320-A048-4330-828F-0A4FEBFB1380}"/>
    <cellStyle name="Normal 4 3 8" xfId="2525" xr:uid="{00000000-0005-0000-0000-0000BD140000}"/>
    <cellStyle name="Normal 4 3 8 2" xfId="6809" xr:uid="{00000000-0005-0000-0000-0000BE140000}"/>
    <cellStyle name="Normal 4 3 8 2 2" xfId="23692" xr:uid="{229B17E0-1D31-4468-9970-5F6130652486}"/>
    <cellStyle name="Normal 4 3 8 2 3" xfId="32138" xr:uid="{0CFFF81F-1BAA-4E5A-8648-EA87BB3D8BCE}"/>
    <cellStyle name="Normal 4 3 8 2 4" xfId="15251" xr:uid="{613FFFDE-DF9E-47CC-9B49-0BFF3371B067}"/>
    <cellStyle name="Normal 4 3 8 3" xfId="19474" xr:uid="{35752715-5F87-4BF4-99AD-F84E3EB9F763}"/>
    <cellStyle name="Normal 4 3 8 4" xfId="27919" xr:uid="{4F894C7E-1307-4D84-9ED9-8F0428822563}"/>
    <cellStyle name="Normal 4 3 8 5" xfId="11033" xr:uid="{AE6EB00F-9DEC-4F5D-8F6A-107CFC4ED030}"/>
    <cellStyle name="Normal 4 3 9" xfId="4744" xr:uid="{00000000-0005-0000-0000-0000BF140000}"/>
    <cellStyle name="Normal 4 3 9 2" xfId="21627" xr:uid="{62503A67-8474-4598-9C6F-7DFAA4D2AF34}"/>
    <cellStyle name="Normal 4 3 9 3" xfId="30073" xr:uid="{3C91E88A-EAA1-448C-8DAE-1F4744EF06C1}"/>
    <cellStyle name="Normal 4 3 9 4" xfId="13186" xr:uid="{CA8ECE7B-2168-400C-BB9E-F063B107F7D5}"/>
    <cellStyle name="Normal 4 3_Item C7" xfId="34058" xr:uid="{A9FDEAB9-FC61-46CC-B7CF-CDA40C649809}"/>
    <cellStyle name="Normal 4 4" xfId="378" xr:uid="{00000000-0005-0000-0000-0000C0140000}"/>
    <cellStyle name="Normal 4 4 10" xfId="2534" xr:uid="{00000000-0005-0000-0000-0000C1140000}"/>
    <cellStyle name="Normal 4 4 10 2" xfId="6818" xr:uid="{00000000-0005-0000-0000-0000C2140000}"/>
    <cellStyle name="Normal 4 4 10 2 2" xfId="23701" xr:uid="{6EEB64A9-3810-4F1D-81BC-8550F1606F37}"/>
    <cellStyle name="Normal 4 4 10 2 3" xfId="32147" xr:uid="{0C964D28-869F-460B-B134-926997AE4951}"/>
    <cellStyle name="Normal 4 4 10 2 4" xfId="15260" xr:uid="{3099AC50-0934-4C5A-A7CC-C04CC4E3F173}"/>
    <cellStyle name="Normal 4 4 10 3" xfId="19483" xr:uid="{0982C3C0-E57D-4D19-991F-33734F2FDD2C}"/>
    <cellStyle name="Normal 4 4 10 4" xfId="27928" xr:uid="{2B9F3425-B70C-4043-9B96-2DD8DB39B3B5}"/>
    <cellStyle name="Normal 4 4 10 5" xfId="11042" xr:uid="{AECCE06E-6820-438D-8A44-047F24B44F65}"/>
    <cellStyle name="Normal 4 4 11" xfId="4753" xr:uid="{00000000-0005-0000-0000-0000C3140000}"/>
    <cellStyle name="Normal 4 4 11 2" xfId="21636" xr:uid="{7C0FCF99-4A27-43CE-807F-245AFB8B838B}"/>
    <cellStyle name="Normal 4 4 11 3" xfId="30082" xr:uid="{52257AA4-DD66-41CD-A8B0-8783A8646278}"/>
    <cellStyle name="Normal 4 4 11 4" xfId="13195" xr:uid="{5B81446E-A75A-43A8-AD67-5B3D2FCC370F}"/>
    <cellStyle name="Normal 4 4 12" xfId="17418" xr:uid="{03214B5E-2E33-4D61-A71A-98AAB9F216A8}"/>
    <cellStyle name="Normal 4 4 13" xfId="25862" xr:uid="{6B88A663-3A67-4333-AF05-8D5044B2EAFB}"/>
    <cellStyle name="Normal 4 4 14" xfId="34161" xr:uid="{DB2AF6B6-5C9B-427D-838D-5DE97DBC5A39}"/>
    <cellStyle name="Normal 4 4 15" xfId="8977" xr:uid="{4C85115D-0E8E-4C48-9EE0-DAA63E435785}"/>
    <cellStyle name="Normal 4 4 2" xfId="379" xr:uid="{00000000-0005-0000-0000-0000C4140000}"/>
    <cellStyle name="Normal 4 4 2 10" xfId="4754" xr:uid="{00000000-0005-0000-0000-0000C5140000}"/>
    <cellStyle name="Normal 4 4 2 10 2" xfId="21637" xr:uid="{EAFFB319-AE60-4250-AC5D-EA30DAA762AC}"/>
    <cellStyle name="Normal 4 4 2 10 3" xfId="30083" xr:uid="{1DA55568-7ADF-4CB9-95BC-A78F2076691D}"/>
    <cellStyle name="Normal 4 4 2 10 4" xfId="13196" xr:uid="{6883BC78-206F-42BD-A7E8-3003C0DB8992}"/>
    <cellStyle name="Normal 4 4 2 11" xfId="17419" xr:uid="{FEDA2DEF-83C0-4EEA-B924-C1E6AC7A1DFD}"/>
    <cellStyle name="Normal 4 4 2 12" xfId="25863" xr:uid="{490BD062-47EE-4A51-B801-07EDA21A93EA}"/>
    <cellStyle name="Normal 4 4 2 13" xfId="8978" xr:uid="{CDEB2C3D-69E4-4EC8-A6D1-43C494DFB28A}"/>
    <cellStyle name="Normal 4 4 2 2" xfId="380" xr:uid="{00000000-0005-0000-0000-0000C6140000}"/>
    <cellStyle name="Normal 4 4 2 2 10" xfId="17420" xr:uid="{CB7ABA44-36F9-46E9-B699-4BA8C184EDA4}"/>
    <cellStyle name="Normal 4 4 2 2 11" xfId="25864" xr:uid="{E21AB309-5EEB-4AEF-A351-2820840DE770}"/>
    <cellStyle name="Normal 4 4 2 2 12" xfId="8979" xr:uid="{17EC0CDB-3F0F-464E-B15F-11071C7F9CC9}"/>
    <cellStyle name="Normal 4 4 2 2 2" xfId="381" xr:uid="{00000000-0005-0000-0000-0000C7140000}"/>
    <cellStyle name="Normal 4 4 2 2 2 10" xfId="25865" xr:uid="{43F0CE4F-0599-40E5-8EC0-DAD55061A8E1}"/>
    <cellStyle name="Normal 4 4 2 2 2 11" xfId="8980" xr:uid="{7893D330-F8F8-4C7B-A8B8-93582B26DCB3}"/>
    <cellStyle name="Normal 4 4 2 2 2 2" xfId="382" xr:uid="{00000000-0005-0000-0000-0000C8140000}"/>
    <cellStyle name="Normal 4 4 2 2 2 2 10" xfId="8981" xr:uid="{730A2EC2-F18B-47A5-AF2A-86E233CFAE41}"/>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24198" xr:uid="{CCF6DF3F-4812-4E1D-993D-1D93D8002A7D}"/>
    <cellStyle name="Normal 4 4 2 2 2 2 2 2 2 3" xfId="32644" xr:uid="{29724254-8DBE-4E6F-B1AA-789D56F96D45}"/>
    <cellStyle name="Normal 4 4 2 2 2 2 2 2 2 4" xfId="15757" xr:uid="{DF6D7EAF-52A7-445B-9246-010B6A35D453}"/>
    <cellStyle name="Normal 4 4 2 2 2 2 2 2 3" xfId="19980" xr:uid="{C5E337CA-4630-4FF2-8C1B-1DA461F51312}"/>
    <cellStyle name="Normal 4 4 2 2 2 2 2 2 4" xfId="28427" xr:uid="{BC5003A1-0896-4D7E-9EE8-A64D45622FDA}"/>
    <cellStyle name="Normal 4 4 2 2 2 2 2 2 5" xfId="11539" xr:uid="{DB68B11E-F23E-48B4-9924-D227C79E3097}"/>
    <cellStyle name="Normal 4 4 2 2 2 2 2 3" xfId="5170" xr:uid="{00000000-0005-0000-0000-0000CC140000}"/>
    <cellStyle name="Normal 4 4 2 2 2 2 2 3 2" xfId="22053" xr:uid="{0EF971A8-BD43-405F-861B-2CE2B48149D7}"/>
    <cellStyle name="Normal 4 4 2 2 2 2 2 3 3" xfId="30499" xr:uid="{A4F51969-D0D1-4DFC-900B-7E78938751A8}"/>
    <cellStyle name="Normal 4 4 2 2 2 2 2 3 4" xfId="13612" xr:uid="{5EE02FB9-B01C-42FF-9B55-1F19244D1ABE}"/>
    <cellStyle name="Normal 4 4 2 2 2 2 2 4" xfId="17835" xr:uid="{B902C7FF-9AD9-4620-8CE4-5CA2195F75C7}"/>
    <cellStyle name="Normal 4 4 2 2 2 2 2 5" xfId="26280" xr:uid="{7EEE5686-9182-436C-937B-CD986EC31F82}"/>
    <cellStyle name="Normal 4 4 2 2 2 2 2 6" xfId="9394" xr:uid="{F5CC3B72-6201-4444-BF4B-E57685245D51}"/>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24611" xr:uid="{EA45DAF8-6742-4C43-A12D-425B919170F4}"/>
    <cellStyle name="Normal 4 4 2 2 2 2 3 2 2 3" xfId="33057" xr:uid="{26543321-ADE4-44BF-B5E3-985D16F7D02D}"/>
    <cellStyle name="Normal 4 4 2 2 2 2 3 2 2 4" xfId="16170" xr:uid="{92F0E1BC-24B0-4746-8EA8-A0B1B174E50E}"/>
    <cellStyle name="Normal 4 4 2 2 2 2 3 2 3" xfId="20393" xr:uid="{6C4BA602-53D3-4EE1-BE69-B492372AF6E1}"/>
    <cellStyle name="Normal 4 4 2 2 2 2 3 2 4" xfId="28840" xr:uid="{4B5A0516-3E3B-4186-9237-C3D091832CB4}"/>
    <cellStyle name="Normal 4 4 2 2 2 2 3 2 5" xfId="11952" xr:uid="{CB0271BA-0E58-41E4-B880-BFCE19EDB3AD}"/>
    <cellStyle name="Normal 4 4 2 2 2 2 3 3" xfId="5583" xr:uid="{00000000-0005-0000-0000-0000D0140000}"/>
    <cellStyle name="Normal 4 4 2 2 2 2 3 3 2" xfId="22466" xr:uid="{837837C3-939C-4411-A8ED-9EF499EED31F}"/>
    <cellStyle name="Normal 4 4 2 2 2 2 3 3 3" xfId="30912" xr:uid="{0EDD9FC7-F7A2-49E7-91FE-A5537BBA94E9}"/>
    <cellStyle name="Normal 4 4 2 2 2 2 3 3 4" xfId="14025" xr:uid="{3E82F85E-84FC-4921-9336-9B391FEA0E45}"/>
    <cellStyle name="Normal 4 4 2 2 2 2 3 4" xfId="18248" xr:uid="{0A70C89F-C860-4BB9-9C0A-020145ECDA1A}"/>
    <cellStyle name="Normal 4 4 2 2 2 2 3 5" xfId="26693" xr:uid="{8F8E1039-230F-4BFC-9A6E-2EB53654F124}"/>
    <cellStyle name="Normal 4 4 2 2 2 2 3 6" xfId="9807" xr:uid="{EBD60BD8-B03B-4B79-95A1-10B6ECD9BD69}"/>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25024" xr:uid="{642FA6E0-3AC8-43E4-9264-8A5B0F7311C6}"/>
    <cellStyle name="Normal 4 4 2 2 2 2 4 2 2 3" xfId="33470" xr:uid="{518CE72B-D60D-4C7D-88E4-20A9945C846C}"/>
    <cellStyle name="Normal 4 4 2 2 2 2 4 2 2 4" xfId="16583" xr:uid="{6B6028D7-F59E-452E-96AF-397CEFD1E0EE}"/>
    <cellStyle name="Normal 4 4 2 2 2 2 4 2 3" xfId="20806" xr:uid="{A902F4F2-EA84-4BE6-8471-C6C13DE66AB1}"/>
    <cellStyle name="Normal 4 4 2 2 2 2 4 2 4" xfId="29253" xr:uid="{ED90AD42-9136-4F56-927A-0313DABDB4A0}"/>
    <cellStyle name="Normal 4 4 2 2 2 2 4 2 5" xfId="12365" xr:uid="{F1ECE0A3-162E-4AB0-90ED-5E9CBA8585AD}"/>
    <cellStyle name="Normal 4 4 2 2 2 2 4 3" xfId="5996" xr:uid="{00000000-0005-0000-0000-0000D4140000}"/>
    <cellStyle name="Normal 4 4 2 2 2 2 4 3 2" xfId="22879" xr:uid="{B4EB2F53-1A78-41A0-9709-59EC440973DA}"/>
    <cellStyle name="Normal 4 4 2 2 2 2 4 3 3" xfId="31325" xr:uid="{ACB8C9CA-B019-4C53-852A-4337AF88CBEC}"/>
    <cellStyle name="Normal 4 4 2 2 2 2 4 3 4" xfId="14438" xr:uid="{B8F639E4-ECB7-4BCD-B6C5-6B33512DB1FD}"/>
    <cellStyle name="Normal 4 4 2 2 2 2 4 4" xfId="18661" xr:uid="{E69C55A7-2430-487A-9A40-53B0E2A9A938}"/>
    <cellStyle name="Normal 4 4 2 2 2 2 4 5" xfId="27106" xr:uid="{06028803-E551-4235-922C-0E29924B30A6}"/>
    <cellStyle name="Normal 4 4 2 2 2 2 4 6" xfId="10220" xr:uid="{BEAB70FB-3FA0-4068-89B0-7C445C4AEBAC}"/>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25437" xr:uid="{D609D5E2-209F-4848-9FEE-2E8BA69E9464}"/>
    <cellStyle name="Normal 4 4 2 2 2 2 5 2 2 3" xfId="33883" xr:uid="{00AF8CB3-E962-407B-A672-75B93F342C04}"/>
    <cellStyle name="Normal 4 4 2 2 2 2 5 2 2 4" xfId="16996" xr:uid="{2D82CB4F-C686-4D1C-AB28-3552C17A1755}"/>
    <cellStyle name="Normal 4 4 2 2 2 2 5 2 3" xfId="21219" xr:uid="{26ABFD22-10DC-44DF-8F25-9C41E20C1419}"/>
    <cellStyle name="Normal 4 4 2 2 2 2 5 2 4" xfId="29666" xr:uid="{5EF9930D-1C64-4B34-B801-FA3C2441D57C}"/>
    <cellStyle name="Normal 4 4 2 2 2 2 5 2 5" xfId="12778" xr:uid="{EFFEEA18-AAA7-40EA-84D2-147639873D1C}"/>
    <cellStyle name="Normal 4 4 2 2 2 2 5 3" xfId="6409" xr:uid="{00000000-0005-0000-0000-0000D8140000}"/>
    <cellStyle name="Normal 4 4 2 2 2 2 5 3 2" xfId="23292" xr:uid="{21C28E1E-8A4B-4A42-92BD-7AF70F33B7E6}"/>
    <cellStyle name="Normal 4 4 2 2 2 2 5 3 3" xfId="31738" xr:uid="{99F317B5-EB9C-49FD-816C-787C1E451E2B}"/>
    <cellStyle name="Normal 4 4 2 2 2 2 5 3 4" xfId="14851" xr:uid="{B63DCEFB-27B7-4612-BF42-CBAB4178C6D8}"/>
    <cellStyle name="Normal 4 4 2 2 2 2 5 4" xfId="19074" xr:uid="{61EFD465-91D0-45C9-A598-30897D492F2B}"/>
    <cellStyle name="Normal 4 4 2 2 2 2 5 5" xfId="27519" xr:uid="{88162A03-8BBD-45B8-8CE2-018145828C4E}"/>
    <cellStyle name="Normal 4 4 2 2 2 2 5 6" xfId="10633" xr:uid="{6972BE13-7B94-4044-AC59-64837438E8E4}"/>
    <cellStyle name="Normal 4 4 2 2 2 2 6" xfId="2538" xr:uid="{00000000-0005-0000-0000-0000D9140000}"/>
    <cellStyle name="Normal 4 4 2 2 2 2 6 2" xfId="6822" xr:uid="{00000000-0005-0000-0000-0000DA140000}"/>
    <cellStyle name="Normal 4 4 2 2 2 2 6 2 2" xfId="23705" xr:uid="{659CE466-61E6-4154-A664-9B6924C5627F}"/>
    <cellStyle name="Normal 4 4 2 2 2 2 6 2 3" xfId="32151" xr:uid="{ED14908A-8AD7-4CF6-AE9E-3CFCD94ABBFE}"/>
    <cellStyle name="Normal 4 4 2 2 2 2 6 2 4" xfId="15264" xr:uid="{F90AD544-B2E8-4E09-9DAE-BE01467F7835}"/>
    <cellStyle name="Normal 4 4 2 2 2 2 6 3" xfId="19487" xr:uid="{E399F75E-67F0-4CCC-8D39-F72B47A62392}"/>
    <cellStyle name="Normal 4 4 2 2 2 2 6 4" xfId="27932" xr:uid="{46482C31-E7E1-4EFF-A93C-FCB09AC6D9FC}"/>
    <cellStyle name="Normal 4 4 2 2 2 2 6 5" xfId="11046" xr:uid="{851AC0DF-614E-4019-9598-0188415FE4F0}"/>
    <cellStyle name="Normal 4 4 2 2 2 2 7" xfId="4757" xr:uid="{00000000-0005-0000-0000-0000DB140000}"/>
    <cellStyle name="Normal 4 4 2 2 2 2 7 2" xfId="21640" xr:uid="{4B2FB5E6-BEC8-4D54-83FA-206C3242B6C8}"/>
    <cellStyle name="Normal 4 4 2 2 2 2 7 3" xfId="30086" xr:uid="{26F3E548-86E7-4BE5-BD76-28B769AE0A62}"/>
    <cellStyle name="Normal 4 4 2 2 2 2 7 4" xfId="13199" xr:uid="{C946FEFB-AA1A-409D-B60C-1C07DDC4C8C4}"/>
    <cellStyle name="Normal 4 4 2 2 2 2 8" xfId="17422" xr:uid="{7F5A264E-F34B-45DD-90D9-A929ABC7CDB8}"/>
    <cellStyle name="Normal 4 4 2 2 2 2 9" xfId="25866" xr:uid="{695064FE-30CE-4F8D-A28C-5C7665ACC24D}"/>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24197" xr:uid="{6ADB0F96-A0ED-4BDD-B1A5-BB8031DF3C75}"/>
    <cellStyle name="Normal 4 4 2 2 2 3 2 2 3" xfId="32643" xr:uid="{369A25C9-2235-40BC-B047-3DDB3845C277}"/>
    <cellStyle name="Normal 4 4 2 2 2 3 2 2 4" xfId="15756" xr:uid="{6E65FA6B-D7AB-44F3-9681-30ABE48DF67C}"/>
    <cellStyle name="Normal 4 4 2 2 2 3 2 3" xfId="19979" xr:uid="{5EC394F8-E5BD-4549-AC72-48B7E281AB44}"/>
    <cellStyle name="Normal 4 4 2 2 2 3 2 4" xfId="28426" xr:uid="{5AD2D1F3-469C-4AC4-A5FE-EFA2DD358836}"/>
    <cellStyle name="Normal 4 4 2 2 2 3 2 5" xfId="11538" xr:uid="{4489D7FF-6BBC-47D5-B9B6-DD982E7D814B}"/>
    <cellStyle name="Normal 4 4 2 2 2 3 3" xfId="5169" xr:uid="{00000000-0005-0000-0000-0000DF140000}"/>
    <cellStyle name="Normal 4 4 2 2 2 3 3 2" xfId="22052" xr:uid="{9D79AF6D-A3F8-4196-BAA8-E1E75F32187D}"/>
    <cellStyle name="Normal 4 4 2 2 2 3 3 3" xfId="30498" xr:uid="{7D3E3502-094C-45EB-A1EE-47316E5D5DF3}"/>
    <cellStyle name="Normal 4 4 2 2 2 3 3 4" xfId="13611" xr:uid="{2D65A25E-0E8B-49B1-9E65-C429E5727BA7}"/>
    <cellStyle name="Normal 4 4 2 2 2 3 4" xfId="17834" xr:uid="{53DA0DCD-04C4-4EB6-BF93-B8566CDF62B3}"/>
    <cellStyle name="Normal 4 4 2 2 2 3 5" xfId="26279" xr:uid="{A246F3C9-4BC8-4EE3-B874-68717DD23C8C}"/>
    <cellStyle name="Normal 4 4 2 2 2 3 6" xfId="9393" xr:uid="{0FDC8B9B-B99B-421F-99AE-57870DECC8B9}"/>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24610" xr:uid="{2BDE896F-14E9-415D-A38E-1BBCC9FE6544}"/>
    <cellStyle name="Normal 4 4 2 2 2 4 2 2 3" xfId="33056" xr:uid="{433636F0-27C0-4BEB-98AD-2725841AE424}"/>
    <cellStyle name="Normal 4 4 2 2 2 4 2 2 4" xfId="16169" xr:uid="{1F028F90-B2A0-4A8C-B4C8-3124A2F3EAF2}"/>
    <cellStyle name="Normal 4 4 2 2 2 4 2 3" xfId="20392" xr:uid="{BB19CEC4-A475-4D3E-BA46-626ACBEBFFCE}"/>
    <cellStyle name="Normal 4 4 2 2 2 4 2 4" xfId="28839" xr:uid="{E7A7F15F-A250-4C63-BA06-B3585CEFA7FD}"/>
    <cellStyle name="Normal 4 4 2 2 2 4 2 5" xfId="11951" xr:uid="{8E0F03C4-36E7-4E8E-B32E-FCB1C996DA9B}"/>
    <cellStyle name="Normal 4 4 2 2 2 4 3" xfId="5582" xr:uid="{00000000-0005-0000-0000-0000E3140000}"/>
    <cellStyle name="Normal 4 4 2 2 2 4 3 2" xfId="22465" xr:uid="{89960453-0DD3-43D7-A4E1-19C5574B0C81}"/>
    <cellStyle name="Normal 4 4 2 2 2 4 3 3" xfId="30911" xr:uid="{E713B72E-13BB-4011-BA23-F9571F9E4826}"/>
    <cellStyle name="Normal 4 4 2 2 2 4 3 4" xfId="14024" xr:uid="{E6F5CD13-E3C7-40B3-A11E-ADF0EE2313F8}"/>
    <cellStyle name="Normal 4 4 2 2 2 4 4" xfId="18247" xr:uid="{768A4C3A-767F-4F79-8768-1A1A6EFCCCF0}"/>
    <cellStyle name="Normal 4 4 2 2 2 4 5" xfId="26692" xr:uid="{DF7CFB73-D564-4870-8CC7-678BDF904950}"/>
    <cellStyle name="Normal 4 4 2 2 2 4 6" xfId="9806" xr:uid="{3F171312-CCF5-4B73-8B5A-47CEEC1CA955}"/>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25023" xr:uid="{379D8551-3541-4E9E-86CE-FB628754ED61}"/>
    <cellStyle name="Normal 4 4 2 2 2 5 2 2 3" xfId="33469" xr:uid="{A6E54833-2F3B-4D44-80E3-69C4DCFB7619}"/>
    <cellStyle name="Normal 4 4 2 2 2 5 2 2 4" xfId="16582" xr:uid="{73F05A14-C8EE-450F-BE77-266585C5F5ED}"/>
    <cellStyle name="Normal 4 4 2 2 2 5 2 3" xfId="20805" xr:uid="{02DC529C-CB45-41D3-AFB9-50CD96E7A9DB}"/>
    <cellStyle name="Normal 4 4 2 2 2 5 2 4" xfId="29252" xr:uid="{427BF184-F694-4F0E-B101-BBD2F447C8B9}"/>
    <cellStyle name="Normal 4 4 2 2 2 5 2 5" xfId="12364" xr:uid="{B53E1D2D-4A26-4CFD-B1A1-7ED84B62816F}"/>
    <cellStyle name="Normal 4 4 2 2 2 5 3" xfId="5995" xr:uid="{00000000-0005-0000-0000-0000E7140000}"/>
    <cellStyle name="Normal 4 4 2 2 2 5 3 2" xfId="22878" xr:uid="{0922344F-5197-43A5-9BA9-1AD87E5A206D}"/>
    <cellStyle name="Normal 4 4 2 2 2 5 3 3" xfId="31324" xr:uid="{9E2A9CF9-07C7-4102-A621-5FBB508E683D}"/>
    <cellStyle name="Normal 4 4 2 2 2 5 3 4" xfId="14437" xr:uid="{8AC45E75-D792-4287-9C17-ED1D3284F136}"/>
    <cellStyle name="Normal 4 4 2 2 2 5 4" xfId="18660" xr:uid="{36ACE0BA-7405-492A-95FB-B728A5F74BB8}"/>
    <cellStyle name="Normal 4 4 2 2 2 5 5" xfId="27105" xr:uid="{C8E4AEAC-FA89-4A50-BD7D-44490646B64B}"/>
    <cellStyle name="Normal 4 4 2 2 2 5 6" xfId="10219" xr:uid="{17060649-00B6-4039-A058-6452FF65309A}"/>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25436" xr:uid="{71F1A02E-84BE-4612-8E0C-2A977761E262}"/>
    <cellStyle name="Normal 4 4 2 2 2 6 2 2 3" xfId="33882" xr:uid="{A62C79AC-DAD1-4AD6-A3A9-B3A3B0B46969}"/>
    <cellStyle name="Normal 4 4 2 2 2 6 2 2 4" xfId="16995" xr:uid="{ACEFE275-A0D4-4B13-B11B-E35F1C79C35B}"/>
    <cellStyle name="Normal 4 4 2 2 2 6 2 3" xfId="21218" xr:uid="{14D62BB5-C0E8-41DC-A1B3-1512C5F65014}"/>
    <cellStyle name="Normal 4 4 2 2 2 6 2 4" xfId="29665" xr:uid="{B9D0EDE7-5118-49E9-A3E1-2A316A91EEA2}"/>
    <cellStyle name="Normal 4 4 2 2 2 6 2 5" xfId="12777" xr:uid="{D6D2D31E-AA08-44B6-B333-EDE62AD0DBF3}"/>
    <cellStyle name="Normal 4 4 2 2 2 6 3" xfId="6408" xr:uid="{00000000-0005-0000-0000-0000EB140000}"/>
    <cellStyle name="Normal 4 4 2 2 2 6 3 2" xfId="23291" xr:uid="{B6A6D5BC-D1F7-4032-8F0D-206237C7DCE1}"/>
    <cellStyle name="Normal 4 4 2 2 2 6 3 3" xfId="31737" xr:uid="{79C3D8D7-9CEC-4EB5-8CF7-CF1F6896DAEA}"/>
    <cellStyle name="Normal 4 4 2 2 2 6 3 4" xfId="14850" xr:uid="{CBAFBCB0-11F0-4FA9-960F-65DF1B48A116}"/>
    <cellStyle name="Normal 4 4 2 2 2 6 4" xfId="19073" xr:uid="{3987F659-11B1-4B49-B37A-A454C60FB9D3}"/>
    <cellStyle name="Normal 4 4 2 2 2 6 5" xfId="27518" xr:uid="{1D83FF5D-CF5A-4D2E-A28F-FEC70B62FE7C}"/>
    <cellStyle name="Normal 4 4 2 2 2 6 6" xfId="10632" xr:uid="{43E06D6C-D3B0-4019-B4E1-EB2078809AA9}"/>
    <cellStyle name="Normal 4 4 2 2 2 7" xfId="2537" xr:uid="{00000000-0005-0000-0000-0000EC140000}"/>
    <cellStyle name="Normal 4 4 2 2 2 7 2" xfId="6821" xr:uid="{00000000-0005-0000-0000-0000ED140000}"/>
    <cellStyle name="Normal 4 4 2 2 2 7 2 2" xfId="23704" xr:uid="{F7E9F5A2-659D-47E0-97B7-0B6DB39F404F}"/>
    <cellStyle name="Normal 4 4 2 2 2 7 2 3" xfId="32150" xr:uid="{5C6D7711-0959-469E-8942-DC807D7B8131}"/>
    <cellStyle name="Normal 4 4 2 2 2 7 2 4" xfId="15263" xr:uid="{A721D862-CC14-4490-8DD4-6C21892420AD}"/>
    <cellStyle name="Normal 4 4 2 2 2 7 3" xfId="19486" xr:uid="{2734D764-A4D6-45B4-B995-E6C783453FCC}"/>
    <cellStyle name="Normal 4 4 2 2 2 7 4" xfId="27931" xr:uid="{4739A559-E80D-46BB-9169-87BA7FD28270}"/>
    <cellStyle name="Normal 4 4 2 2 2 7 5" xfId="11045" xr:uid="{F1EB0DC6-824B-4FA1-AC65-73852C2B8CF1}"/>
    <cellStyle name="Normal 4 4 2 2 2 8" xfId="4756" xr:uid="{00000000-0005-0000-0000-0000EE140000}"/>
    <cellStyle name="Normal 4 4 2 2 2 8 2" xfId="21639" xr:uid="{FBD158A1-7423-4D14-96C1-2700D8760EAD}"/>
    <cellStyle name="Normal 4 4 2 2 2 8 3" xfId="30085" xr:uid="{4B59F0C3-D2C6-4F98-83BF-61AC2D90255D}"/>
    <cellStyle name="Normal 4 4 2 2 2 8 4" xfId="13198" xr:uid="{BD44E302-45FF-4362-AF5F-96A9AB13E894}"/>
    <cellStyle name="Normal 4 4 2 2 2 9" xfId="17421" xr:uid="{9BEC30AE-4D07-4CA0-A00F-E264F8C35573}"/>
    <cellStyle name="Normal 4 4 2 2 3" xfId="383" xr:uid="{00000000-0005-0000-0000-0000EF140000}"/>
    <cellStyle name="Normal 4 4 2 2 3 10" xfId="8982" xr:uid="{3B42579C-15E3-4BE5-9F73-C06169BE0B3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24199" xr:uid="{1559A132-EB9E-4584-9FCD-21A0BDC18632}"/>
    <cellStyle name="Normal 4 4 2 2 3 2 2 2 3" xfId="32645" xr:uid="{C62BAE4A-F2DA-4217-8C49-D9CBBB0F4947}"/>
    <cellStyle name="Normal 4 4 2 2 3 2 2 2 4" xfId="15758" xr:uid="{199E077D-BA25-428D-AB4D-19BFDC7DD60D}"/>
    <cellStyle name="Normal 4 4 2 2 3 2 2 3" xfId="19981" xr:uid="{C2482BE3-7994-46BB-A5A8-6BF4A3661994}"/>
    <cellStyle name="Normal 4 4 2 2 3 2 2 4" xfId="28428" xr:uid="{388C53F6-2F13-4429-B2A2-EE4B342AE7BC}"/>
    <cellStyle name="Normal 4 4 2 2 3 2 2 5" xfId="11540" xr:uid="{CB834151-2854-4B9F-ABFC-0C51B3AA1C0A}"/>
    <cellStyle name="Normal 4 4 2 2 3 2 3" xfId="5171" xr:uid="{00000000-0005-0000-0000-0000F3140000}"/>
    <cellStyle name="Normal 4 4 2 2 3 2 3 2" xfId="22054" xr:uid="{77240DBD-9D0B-4A87-BEB2-70ED60838FD8}"/>
    <cellStyle name="Normal 4 4 2 2 3 2 3 3" xfId="30500" xr:uid="{11550982-87CE-4873-A8A1-52ECBFD7D9D7}"/>
    <cellStyle name="Normal 4 4 2 2 3 2 3 4" xfId="13613" xr:uid="{13422805-20C7-4BC5-A6A2-32D20887528D}"/>
    <cellStyle name="Normal 4 4 2 2 3 2 4" xfId="17836" xr:uid="{DD98A32C-7258-4386-96B6-16F2CD0CC4B9}"/>
    <cellStyle name="Normal 4 4 2 2 3 2 5" xfId="26281" xr:uid="{F1B01141-EC3C-4E97-A2F1-C598CF53A847}"/>
    <cellStyle name="Normal 4 4 2 2 3 2 6" xfId="9395" xr:uid="{916E0D9F-4065-451D-95F5-23FF1F08385D}"/>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24612" xr:uid="{4D9D2C2E-637E-4D2E-A4B4-9B05ED15E01E}"/>
    <cellStyle name="Normal 4 4 2 2 3 3 2 2 3" xfId="33058" xr:uid="{16A508CA-EBD0-4FE1-87F1-8817838B7ADD}"/>
    <cellStyle name="Normal 4 4 2 2 3 3 2 2 4" xfId="16171" xr:uid="{745CD47C-29CA-4441-826C-5C27B9E71107}"/>
    <cellStyle name="Normal 4 4 2 2 3 3 2 3" xfId="20394" xr:uid="{12AF628C-4AB6-4EBC-9E05-F1A58B4684B6}"/>
    <cellStyle name="Normal 4 4 2 2 3 3 2 4" xfId="28841" xr:uid="{696445AE-5FBF-45C6-A312-595BC6195C5B}"/>
    <cellStyle name="Normal 4 4 2 2 3 3 2 5" xfId="11953" xr:uid="{8DD245C5-5725-4D7B-927B-5749EACB2BD6}"/>
    <cellStyle name="Normal 4 4 2 2 3 3 3" xfId="5584" xr:uid="{00000000-0005-0000-0000-0000F7140000}"/>
    <cellStyle name="Normal 4 4 2 2 3 3 3 2" xfId="22467" xr:uid="{4A814446-DA85-4C88-90E1-FD6AD76C5488}"/>
    <cellStyle name="Normal 4 4 2 2 3 3 3 3" xfId="30913" xr:uid="{D14E5A51-2569-40B8-829B-3729D1733AF3}"/>
    <cellStyle name="Normal 4 4 2 2 3 3 3 4" xfId="14026" xr:uid="{1A203F66-1E09-4145-BC18-57185BF885FE}"/>
    <cellStyle name="Normal 4 4 2 2 3 3 4" xfId="18249" xr:uid="{FAB3A84A-878D-47C4-AF9B-7FAC7E85FE5F}"/>
    <cellStyle name="Normal 4 4 2 2 3 3 5" xfId="26694" xr:uid="{A8E0DB2B-0827-47A2-B6EA-D12CC885E65F}"/>
    <cellStyle name="Normal 4 4 2 2 3 3 6" xfId="9808" xr:uid="{51F2BBBE-398A-4F37-A759-FDE3E19330D1}"/>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25025" xr:uid="{A3E515D2-6E78-44E7-8785-7E58E0B50C4D}"/>
    <cellStyle name="Normal 4 4 2 2 3 4 2 2 3" xfId="33471" xr:uid="{A990F6F7-8706-4337-BAA8-DEED249505A4}"/>
    <cellStyle name="Normal 4 4 2 2 3 4 2 2 4" xfId="16584" xr:uid="{41A2864D-5738-4F41-A08A-D31B2D767BE6}"/>
    <cellStyle name="Normal 4 4 2 2 3 4 2 3" xfId="20807" xr:uid="{F8143434-0CBF-4E87-BB7B-1AFE57E3EBED}"/>
    <cellStyle name="Normal 4 4 2 2 3 4 2 4" xfId="29254" xr:uid="{A9E5A263-6EC0-457F-A0D3-09E517A2344D}"/>
    <cellStyle name="Normal 4 4 2 2 3 4 2 5" xfId="12366" xr:uid="{56202F89-D44B-4755-ACC9-88956F04E149}"/>
    <cellStyle name="Normal 4 4 2 2 3 4 3" xfId="5997" xr:uid="{00000000-0005-0000-0000-0000FB140000}"/>
    <cellStyle name="Normal 4 4 2 2 3 4 3 2" xfId="22880" xr:uid="{8A8A7CF2-983B-4614-9446-A1FD7E1EBD83}"/>
    <cellStyle name="Normal 4 4 2 2 3 4 3 3" xfId="31326" xr:uid="{46854C96-8C4F-4123-897C-BF3072B1A154}"/>
    <cellStyle name="Normal 4 4 2 2 3 4 3 4" xfId="14439" xr:uid="{AECC4E5F-94BA-490A-A9E2-7F34C948F1E9}"/>
    <cellStyle name="Normal 4 4 2 2 3 4 4" xfId="18662" xr:uid="{C936A9CD-693C-4987-A3E3-5ABE8BE1A370}"/>
    <cellStyle name="Normal 4 4 2 2 3 4 5" xfId="27107" xr:uid="{C1565817-AB3A-495A-A424-253E843EB751}"/>
    <cellStyle name="Normal 4 4 2 2 3 4 6" xfId="10221" xr:uid="{726AE3B2-246C-41C6-8F45-B60E52B34B7C}"/>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25438" xr:uid="{A3A06FAA-9B9C-4F44-818C-16112B41E09F}"/>
    <cellStyle name="Normal 4 4 2 2 3 5 2 2 3" xfId="33884" xr:uid="{0ACDF114-E525-4532-90BF-981C0A09A305}"/>
    <cellStyle name="Normal 4 4 2 2 3 5 2 2 4" xfId="16997" xr:uid="{AC01A61D-A4DC-4FBE-9A91-23D27E3C35BE}"/>
    <cellStyle name="Normal 4 4 2 2 3 5 2 3" xfId="21220" xr:uid="{421DF4A9-32ED-42A4-912F-8808E21E4CF1}"/>
    <cellStyle name="Normal 4 4 2 2 3 5 2 4" xfId="29667" xr:uid="{97D4D937-F419-45F9-B1BF-932BA577C1FB}"/>
    <cellStyle name="Normal 4 4 2 2 3 5 2 5" xfId="12779" xr:uid="{2E8D080D-122F-4682-9D26-C4A2F81CD120}"/>
    <cellStyle name="Normal 4 4 2 2 3 5 3" xfId="6410" xr:uid="{00000000-0005-0000-0000-0000FF140000}"/>
    <cellStyle name="Normal 4 4 2 2 3 5 3 2" xfId="23293" xr:uid="{EA6F2FE7-0A40-43A1-B981-2E861B6CDB5F}"/>
    <cellStyle name="Normal 4 4 2 2 3 5 3 3" xfId="31739" xr:uid="{17FBDB93-CF3B-415B-BD17-F9F09394822B}"/>
    <cellStyle name="Normal 4 4 2 2 3 5 3 4" xfId="14852" xr:uid="{007F1A51-9F81-4758-8FF9-D67CCA142390}"/>
    <cellStyle name="Normal 4 4 2 2 3 5 4" xfId="19075" xr:uid="{766169C8-6A4E-466F-B2D9-35D2CF76C216}"/>
    <cellStyle name="Normal 4 4 2 2 3 5 5" xfId="27520" xr:uid="{F329DC48-BAFA-4EF8-929D-FB2476BAD9AA}"/>
    <cellStyle name="Normal 4 4 2 2 3 5 6" xfId="10634" xr:uid="{D71B1167-FB16-48C6-9878-A86F28A7FA01}"/>
    <cellStyle name="Normal 4 4 2 2 3 6" xfId="2539" xr:uid="{00000000-0005-0000-0000-000000150000}"/>
    <cellStyle name="Normal 4 4 2 2 3 6 2" xfId="6823" xr:uid="{00000000-0005-0000-0000-000001150000}"/>
    <cellStyle name="Normal 4 4 2 2 3 6 2 2" xfId="23706" xr:uid="{40BA4A9C-8B7F-4FBC-A252-9C7F46CDB95F}"/>
    <cellStyle name="Normal 4 4 2 2 3 6 2 3" xfId="32152" xr:uid="{F1043729-0ACD-4386-9AAF-4745A5264C22}"/>
    <cellStyle name="Normal 4 4 2 2 3 6 2 4" xfId="15265" xr:uid="{2F0BF1B8-1002-4DED-80F3-5EA804093BD5}"/>
    <cellStyle name="Normal 4 4 2 2 3 6 3" xfId="19488" xr:uid="{92E3ADED-414F-4C9F-A6D6-48CF42E1FA3B}"/>
    <cellStyle name="Normal 4 4 2 2 3 6 4" xfId="27933" xr:uid="{7CF0BBCE-6752-41EC-BA05-31598C491B5E}"/>
    <cellStyle name="Normal 4 4 2 2 3 6 5" xfId="11047" xr:uid="{9BFC011B-6B4A-4088-AEAB-FD67EEB7EE25}"/>
    <cellStyle name="Normal 4 4 2 2 3 7" xfId="4758" xr:uid="{00000000-0005-0000-0000-000002150000}"/>
    <cellStyle name="Normal 4 4 2 2 3 7 2" xfId="21641" xr:uid="{D7990C5C-F022-4D2D-9E03-4298D52AAA87}"/>
    <cellStyle name="Normal 4 4 2 2 3 7 3" xfId="30087" xr:uid="{67728ACB-250E-425E-A5BF-3A06EB3C0DD6}"/>
    <cellStyle name="Normal 4 4 2 2 3 7 4" xfId="13200" xr:uid="{3435F1D0-E493-4849-A3CA-78B279B7E2EC}"/>
    <cellStyle name="Normal 4 4 2 2 3 8" xfId="17423" xr:uid="{8ACBF75B-D4AC-4CC1-A2F9-565B9605D01D}"/>
    <cellStyle name="Normal 4 4 2 2 3 9" xfId="25867" xr:uid="{6CD688AC-43B0-43A3-A1FF-C7E4D7BFE4BD}"/>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24196" xr:uid="{86A060AE-4EE8-416A-8723-52823EE433F8}"/>
    <cellStyle name="Normal 4 4 2 2 4 2 2 3" xfId="32642" xr:uid="{BFA73137-490F-4B84-A784-5794DB93254D}"/>
    <cellStyle name="Normal 4 4 2 2 4 2 2 4" xfId="15755" xr:uid="{A6DC2688-F8D6-4160-883D-EA585B2FF521}"/>
    <cellStyle name="Normal 4 4 2 2 4 2 3" xfId="19978" xr:uid="{30E40180-89B3-4081-979D-0BA8A0557F79}"/>
    <cellStyle name="Normal 4 4 2 2 4 2 4" xfId="28425" xr:uid="{2FCE968A-B05A-4DF6-BF9F-BC4CDBCD3D86}"/>
    <cellStyle name="Normal 4 4 2 2 4 2 5" xfId="11537" xr:uid="{D554D161-3C3A-4920-B00B-7C77FE683C24}"/>
    <cellStyle name="Normal 4 4 2 2 4 3" xfId="5168" xr:uid="{00000000-0005-0000-0000-000006150000}"/>
    <cellStyle name="Normal 4 4 2 2 4 3 2" xfId="22051" xr:uid="{B6275E0D-D557-43DC-870F-2C1A50EA9875}"/>
    <cellStyle name="Normal 4 4 2 2 4 3 3" xfId="30497" xr:uid="{FB449649-28B7-4DAE-B5A6-FD4F2C5B6D69}"/>
    <cellStyle name="Normal 4 4 2 2 4 3 4" xfId="13610" xr:uid="{E5545019-BC0D-49D1-BD0C-BAF1447058F8}"/>
    <cellStyle name="Normal 4 4 2 2 4 4" xfId="17833" xr:uid="{AE1D3BEC-A629-41A5-B478-8286A94D7B68}"/>
    <cellStyle name="Normal 4 4 2 2 4 5" xfId="26278" xr:uid="{B3B90A14-0DE1-4F31-A841-36C3D876F97F}"/>
    <cellStyle name="Normal 4 4 2 2 4 6" xfId="9392" xr:uid="{42B323AE-FBBA-4E09-A4E6-FD3D87164518}"/>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24609" xr:uid="{44E1BA4C-F9E3-43CE-8DBC-34D6397440D4}"/>
    <cellStyle name="Normal 4 4 2 2 5 2 2 3" xfId="33055" xr:uid="{C7C5F031-18AE-46BC-804C-32CB79DE1A6D}"/>
    <cellStyle name="Normal 4 4 2 2 5 2 2 4" xfId="16168" xr:uid="{31E14CD6-971D-4B5E-853C-9E51A64F12DE}"/>
    <cellStyle name="Normal 4 4 2 2 5 2 3" xfId="20391" xr:uid="{7DF1C597-03FC-47AD-B0AA-9488F764A2E8}"/>
    <cellStyle name="Normal 4 4 2 2 5 2 4" xfId="28838" xr:uid="{008EE030-FF98-4E5C-B007-953D62563CA4}"/>
    <cellStyle name="Normal 4 4 2 2 5 2 5" xfId="11950" xr:uid="{D0AB6F19-1234-480B-834F-69FEF7DF0E76}"/>
    <cellStyle name="Normal 4 4 2 2 5 3" xfId="5581" xr:uid="{00000000-0005-0000-0000-00000A150000}"/>
    <cellStyle name="Normal 4 4 2 2 5 3 2" xfId="22464" xr:uid="{E8DCAF4A-E944-464A-87F7-65B6443FDB27}"/>
    <cellStyle name="Normal 4 4 2 2 5 3 3" xfId="30910" xr:uid="{F346A395-406D-4760-B5EB-79466A09D06A}"/>
    <cellStyle name="Normal 4 4 2 2 5 3 4" xfId="14023" xr:uid="{EB420995-90B9-47A4-BFD8-8436724BF7BE}"/>
    <cellStyle name="Normal 4 4 2 2 5 4" xfId="18246" xr:uid="{3F800BF1-437D-46A2-9D06-14055309A662}"/>
    <cellStyle name="Normal 4 4 2 2 5 5" xfId="26691" xr:uid="{FCD4F262-65C7-44AC-8CE4-D216FE11667C}"/>
    <cellStyle name="Normal 4 4 2 2 5 6" xfId="9805" xr:uid="{0754DF52-F961-471F-8144-13EA279EF328}"/>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25022" xr:uid="{D488A73E-836E-4B5A-B1E8-A324E8180A80}"/>
    <cellStyle name="Normal 4 4 2 2 6 2 2 3" xfId="33468" xr:uid="{3D361B3F-0C8A-484B-A31F-5C75C5328B4D}"/>
    <cellStyle name="Normal 4 4 2 2 6 2 2 4" xfId="16581" xr:uid="{F6366E14-FD11-4E99-96FE-9276B0F59B13}"/>
    <cellStyle name="Normal 4 4 2 2 6 2 3" xfId="20804" xr:uid="{5770BD20-FE1C-46EE-9AE3-CDF242DFD37F}"/>
    <cellStyle name="Normal 4 4 2 2 6 2 4" xfId="29251" xr:uid="{7366F519-DF51-469E-B298-592DA097E71A}"/>
    <cellStyle name="Normal 4 4 2 2 6 2 5" xfId="12363" xr:uid="{FA323DFB-61B0-443F-9DC5-321444D1D1A6}"/>
    <cellStyle name="Normal 4 4 2 2 6 3" xfId="5994" xr:uid="{00000000-0005-0000-0000-00000E150000}"/>
    <cellStyle name="Normal 4 4 2 2 6 3 2" xfId="22877" xr:uid="{BF865302-2DA9-4C4A-93E3-A0C7E2D0383C}"/>
    <cellStyle name="Normal 4 4 2 2 6 3 3" xfId="31323" xr:uid="{34CAD74D-6C92-4B56-AF6D-2F334588ADA5}"/>
    <cellStyle name="Normal 4 4 2 2 6 3 4" xfId="14436" xr:uid="{E6D7E23E-EE41-40B1-9115-643FAEF2812A}"/>
    <cellStyle name="Normal 4 4 2 2 6 4" xfId="18659" xr:uid="{64BEEA55-DAB2-4EDC-841E-629A70457BD1}"/>
    <cellStyle name="Normal 4 4 2 2 6 5" xfId="27104" xr:uid="{F8EADFF4-3D91-42E7-B7EC-FAF5A35CD00D}"/>
    <cellStyle name="Normal 4 4 2 2 6 6" xfId="10218" xr:uid="{DFD238BD-B05C-4FAE-9213-2C740EFF5C91}"/>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25435" xr:uid="{47BBD1E3-3A3E-4773-ACB9-C8D67B5A1F9E}"/>
    <cellStyle name="Normal 4 4 2 2 7 2 2 3" xfId="33881" xr:uid="{37F200FF-E5EB-4F6A-A280-50C2FB3BB19D}"/>
    <cellStyle name="Normal 4 4 2 2 7 2 2 4" xfId="16994" xr:uid="{5E01F800-BB51-4897-B038-FEA51B4DD178}"/>
    <cellStyle name="Normal 4 4 2 2 7 2 3" xfId="21217" xr:uid="{53CB888A-9956-4621-B648-C2C43EB4F3E9}"/>
    <cellStyle name="Normal 4 4 2 2 7 2 4" xfId="29664" xr:uid="{D5D5CF72-0916-43AF-A4A0-79F8E1BC50B6}"/>
    <cellStyle name="Normal 4 4 2 2 7 2 5" xfId="12776" xr:uid="{D4961085-76BB-405D-B513-F13BE3B32F75}"/>
    <cellStyle name="Normal 4 4 2 2 7 3" xfId="6407" xr:uid="{00000000-0005-0000-0000-000012150000}"/>
    <cellStyle name="Normal 4 4 2 2 7 3 2" xfId="23290" xr:uid="{CB48D491-B3A4-4B9B-A0B1-113B76F72E09}"/>
    <cellStyle name="Normal 4 4 2 2 7 3 3" xfId="31736" xr:uid="{4C96143C-236E-45F9-BE30-AD6BFF5C44DA}"/>
    <cellStyle name="Normal 4 4 2 2 7 3 4" xfId="14849" xr:uid="{78934E2C-BA0D-4094-A394-DE8C0600C831}"/>
    <cellStyle name="Normal 4 4 2 2 7 4" xfId="19072" xr:uid="{9E9D5021-24C7-4D06-9C69-9EAD0D8E26AD}"/>
    <cellStyle name="Normal 4 4 2 2 7 5" xfId="27517" xr:uid="{8BF4429A-1700-4B9C-BC8F-4275EF80A8A6}"/>
    <cellStyle name="Normal 4 4 2 2 7 6" xfId="10631" xr:uid="{2F5489CA-17EF-4CA8-B41E-5066A058B408}"/>
    <cellStyle name="Normal 4 4 2 2 8" xfId="2536" xr:uid="{00000000-0005-0000-0000-000013150000}"/>
    <cellStyle name="Normal 4 4 2 2 8 2" xfId="6820" xr:uid="{00000000-0005-0000-0000-000014150000}"/>
    <cellStyle name="Normal 4 4 2 2 8 2 2" xfId="23703" xr:uid="{949653DF-77BA-40A2-BF3D-69AE62B19890}"/>
    <cellStyle name="Normal 4 4 2 2 8 2 3" xfId="32149" xr:uid="{FD88CCE9-C029-4688-BF55-ACC834DDE46A}"/>
    <cellStyle name="Normal 4 4 2 2 8 2 4" xfId="15262" xr:uid="{6F77C6D0-D7C4-4E61-86CE-A75EEA6A8ADF}"/>
    <cellStyle name="Normal 4 4 2 2 8 3" xfId="19485" xr:uid="{6F60E3F0-A109-450A-9C8D-1A1C829CDE81}"/>
    <cellStyle name="Normal 4 4 2 2 8 4" xfId="27930" xr:uid="{DF4B96EA-B180-4A5F-A43A-F42396A4F797}"/>
    <cellStyle name="Normal 4 4 2 2 8 5" xfId="11044" xr:uid="{31F1D1A4-9F40-4909-93FD-66D5FBC3CF51}"/>
    <cellStyle name="Normal 4 4 2 2 9" xfId="4755" xr:uid="{00000000-0005-0000-0000-000015150000}"/>
    <cellStyle name="Normal 4 4 2 2 9 2" xfId="21638" xr:uid="{884CB88E-A75F-4CDB-868B-73D027A34B01}"/>
    <cellStyle name="Normal 4 4 2 2 9 3" xfId="30084" xr:uid="{F8041AFB-9D59-499B-868B-BF2F780CA335}"/>
    <cellStyle name="Normal 4 4 2 2 9 4" xfId="13197" xr:uid="{3C7130D3-AB42-4D45-BA54-5EE5B1FC10EB}"/>
    <cellStyle name="Normal 4 4 2 3" xfId="384" xr:uid="{00000000-0005-0000-0000-000016150000}"/>
    <cellStyle name="Normal 4 4 2 3 10" xfId="25868" xr:uid="{9C57BDDA-7667-47E2-90CB-3A3C61F5EF6D}"/>
    <cellStyle name="Normal 4 4 2 3 11" xfId="8983" xr:uid="{EC92390F-9CCE-4F2E-88A4-D9922A3F156E}"/>
    <cellStyle name="Normal 4 4 2 3 2" xfId="385" xr:uid="{00000000-0005-0000-0000-000017150000}"/>
    <cellStyle name="Normal 4 4 2 3 2 10" xfId="8984" xr:uid="{35001F3B-35BE-4C7A-8795-EE0DA9FAC7BB}"/>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24201" xr:uid="{21969DA9-852F-4E5D-BE52-8342C9DB6661}"/>
    <cellStyle name="Normal 4 4 2 3 2 2 2 2 3" xfId="32647" xr:uid="{49434076-7B22-4624-A561-E02BF08EB8E9}"/>
    <cellStyle name="Normal 4 4 2 3 2 2 2 2 4" xfId="15760" xr:uid="{FF0D60B9-3F2C-41AD-B687-300463EB1713}"/>
    <cellStyle name="Normal 4 4 2 3 2 2 2 3" xfId="19983" xr:uid="{129B6F98-71C7-4583-AC79-4A2FABF4AEEC}"/>
    <cellStyle name="Normal 4 4 2 3 2 2 2 4" xfId="28430" xr:uid="{12B8D33D-B566-4813-AA8A-7385CB8007A4}"/>
    <cellStyle name="Normal 4 4 2 3 2 2 2 5" xfId="11542" xr:uid="{D587D95B-7F7D-4FD9-9131-7F483F06224C}"/>
    <cellStyle name="Normal 4 4 2 3 2 2 3" xfId="5173" xr:uid="{00000000-0005-0000-0000-00001B150000}"/>
    <cellStyle name="Normal 4 4 2 3 2 2 3 2" xfId="22056" xr:uid="{777DD125-AF99-4207-BD21-8A555B496C08}"/>
    <cellStyle name="Normal 4 4 2 3 2 2 3 3" xfId="30502" xr:uid="{1B3999F4-BAE9-4471-A3B5-77A6B00505D8}"/>
    <cellStyle name="Normal 4 4 2 3 2 2 3 4" xfId="13615" xr:uid="{B053AC71-6573-4B83-87FE-FE88E16E5E1B}"/>
    <cellStyle name="Normal 4 4 2 3 2 2 4" xfId="17838" xr:uid="{0D886241-1A67-46FE-9B4A-B1A21AF16DC2}"/>
    <cellStyle name="Normal 4 4 2 3 2 2 5" xfId="26283" xr:uid="{73AC2ABD-5629-42B5-A5AA-F7664A31188C}"/>
    <cellStyle name="Normal 4 4 2 3 2 2 6" xfId="9397" xr:uid="{2545D474-4C27-4E81-BBF7-4FABA2457E8D}"/>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24614" xr:uid="{85AC5CE6-4D3A-44A4-ABA8-121FBD82B804}"/>
    <cellStyle name="Normal 4 4 2 3 2 3 2 2 3" xfId="33060" xr:uid="{C3AA0723-AB7C-4716-AB18-2A6DCC19D0D3}"/>
    <cellStyle name="Normal 4 4 2 3 2 3 2 2 4" xfId="16173" xr:uid="{A25B6F44-725C-4D35-BCC1-1DD1642D7436}"/>
    <cellStyle name="Normal 4 4 2 3 2 3 2 3" xfId="20396" xr:uid="{4CD20F49-2CD5-4D13-99EE-9BB6BB85147D}"/>
    <cellStyle name="Normal 4 4 2 3 2 3 2 4" xfId="28843" xr:uid="{E651FAC1-D1D2-4817-BE05-B54DC64BB1EB}"/>
    <cellStyle name="Normal 4 4 2 3 2 3 2 5" xfId="11955" xr:uid="{93A9FE99-1431-4C16-83A4-FBA563CB7E22}"/>
    <cellStyle name="Normal 4 4 2 3 2 3 3" xfId="5586" xr:uid="{00000000-0005-0000-0000-00001F150000}"/>
    <cellStyle name="Normal 4 4 2 3 2 3 3 2" xfId="22469" xr:uid="{D2D7BEF3-9A2C-4ADF-8E00-18E53188D6B7}"/>
    <cellStyle name="Normal 4 4 2 3 2 3 3 3" xfId="30915" xr:uid="{D37D730A-347A-4824-BDB8-60897670F57E}"/>
    <cellStyle name="Normal 4 4 2 3 2 3 3 4" xfId="14028" xr:uid="{9A19E57D-133B-4DCE-A67F-3EB2E59D0DE0}"/>
    <cellStyle name="Normal 4 4 2 3 2 3 4" xfId="18251" xr:uid="{D35119A4-D88B-4BCE-A889-3E847C5ECC89}"/>
    <cellStyle name="Normal 4 4 2 3 2 3 5" xfId="26696" xr:uid="{8E4D3567-DAF2-488B-AEFF-1BBAD5D7A62A}"/>
    <cellStyle name="Normal 4 4 2 3 2 3 6" xfId="9810" xr:uid="{72370C21-715C-44D4-8FE1-61C6130FA0A6}"/>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25027" xr:uid="{696D0293-588B-492A-93D6-03B83CBF1C21}"/>
    <cellStyle name="Normal 4 4 2 3 2 4 2 2 3" xfId="33473" xr:uid="{900B67CD-5717-4A59-9B89-7D834C93FB73}"/>
    <cellStyle name="Normal 4 4 2 3 2 4 2 2 4" xfId="16586" xr:uid="{6E9D0FB8-E757-417B-93BF-067E921A8722}"/>
    <cellStyle name="Normal 4 4 2 3 2 4 2 3" xfId="20809" xr:uid="{65DB1B93-DA74-4D33-8140-92802A674B98}"/>
    <cellStyle name="Normal 4 4 2 3 2 4 2 4" xfId="29256" xr:uid="{0165023B-C30C-4E74-AC80-5B4F1E75D7A5}"/>
    <cellStyle name="Normal 4 4 2 3 2 4 2 5" xfId="12368" xr:uid="{60BAC379-3CB8-4E1C-9910-300E1E6B9168}"/>
    <cellStyle name="Normal 4 4 2 3 2 4 3" xfId="5999" xr:uid="{00000000-0005-0000-0000-000023150000}"/>
    <cellStyle name="Normal 4 4 2 3 2 4 3 2" xfId="22882" xr:uid="{F2A99537-651E-4D93-B036-680D60AAF28D}"/>
    <cellStyle name="Normal 4 4 2 3 2 4 3 3" xfId="31328" xr:uid="{823F9688-71F3-4C96-BDE7-DC3343794DD2}"/>
    <cellStyle name="Normal 4 4 2 3 2 4 3 4" xfId="14441" xr:uid="{D6BFA11B-6D14-460C-9C62-B6B419AF158E}"/>
    <cellStyle name="Normal 4 4 2 3 2 4 4" xfId="18664" xr:uid="{E1CF4A3B-4704-4CF4-B5EC-B7830B7DEF66}"/>
    <cellStyle name="Normal 4 4 2 3 2 4 5" xfId="27109" xr:uid="{61515C13-C964-476D-A6F9-FAD357A6173C}"/>
    <cellStyle name="Normal 4 4 2 3 2 4 6" xfId="10223" xr:uid="{77489427-7089-4C40-8A31-ECE9E983ED8D}"/>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25440" xr:uid="{4491674D-04F5-4087-8CCE-68C31CE03E9B}"/>
    <cellStyle name="Normal 4 4 2 3 2 5 2 2 3" xfId="33886" xr:uid="{813FBF6B-C008-4CB5-A367-3A12C90A8810}"/>
    <cellStyle name="Normal 4 4 2 3 2 5 2 2 4" xfId="16999" xr:uid="{1C53F9FC-F2CB-4F13-A199-0D83FF9FC6EB}"/>
    <cellStyle name="Normal 4 4 2 3 2 5 2 3" xfId="21222" xr:uid="{F647EF30-8780-4BF4-BADD-63BC5CF260C5}"/>
    <cellStyle name="Normal 4 4 2 3 2 5 2 4" xfId="29669" xr:uid="{4D2C2589-FA87-4A19-9248-842DA8D32095}"/>
    <cellStyle name="Normal 4 4 2 3 2 5 2 5" xfId="12781" xr:uid="{AC4C1DE3-8289-4217-AB8E-E35A422FA8C2}"/>
    <cellStyle name="Normal 4 4 2 3 2 5 3" xfId="6412" xr:uid="{00000000-0005-0000-0000-000027150000}"/>
    <cellStyle name="Normal 4 4 2 3 2 5 3 2" xfId="23295" xr:uid="{8DC4294E-7C1B-4FD1-B773-D461CEFD617E}"/>
    <cellStyle name="Normal 4 4 2 3 2 5 3 3" xfId="31741" xr:uid="{7ACEBCD3-2A42-480D-A71C-831B3A76627F}"/>
    <cellStyle name="Normal 4 4 2 3 2 5 3 4" xfId="14854" xr:uid="{F8B747DC-9216-4885-AD82-17E29A521765}"/>
    <cellStyle name="Normal 4 4 2 3 2 5 4" xfId="19077" xr:uid="{7434563C-CE09-45EE-8F6E-173B82872ACB}"/>
    <cellStyle name="Normal 4 4 2 3 2 5 5" xfId="27522" xr:uid="{9E250198-F6D1-4AB3-BB5D-89DA3091D982}"/>
    <cellStyle name="Normal 4 4 2 3 2 5 6" xfId="10636" xr:uid="{90A43A80-264E-426E-B49D-B45416093401}"/>
    <cellStyle name="Normal 4 4 2 3 2 6" xfId="2541" xr:uid="{00000000-0005-0000-0000-000028150000}"/>
    <cellStyle name="Normal 4 4 2 3 2 6 2" xfId="6825" xr:uid="{00000000-0005-0000-0000-000029150000}"/>
    <cellStyle name="Normal 4 4 2 3 2 6 2 2" xfId="23708" xr:uid="{C4494F7D-7ADE-4A77-9111-7419BCE20984}"/>
    <cellStyle name="Normal 4 4 2 3 2 6 2 3" xfId="32154" xr:uid="{00F0B869-D7E8-4A2A-8973-CAD91A42EAB3}"/>
    <cellStyle name="Normal 4 4 2 3 2 6 2 4" xfId="15267" xr:uid="{7E731171-F2FC-448B-9AE2-ED19CD53A2D4}"/>
    <cellStyle name="Normal 4 4 2 3 2 6 3" xfId="19490" xr:uid="{539BF79A-0D14-42AF-B666-E4A474D0AA12}"/>
    <cellStyle name="Normal 4 4 2 3 2 6 4" xfId="27935" xr:uid="{A125B6AF-B2DA-4144-A4F7-B773DD4E30C7}"/>
    <cellStyle name="Normal 4 4 2 3 2 6 5" xfId="11049" xr:uid="{77476B7A-A54D-4AD9-A909-AD65290115D4}"/>
    <cellStyle name="Normal 4 4 2 3 2 7" xfId="4760" xr:uid="{00000000-0005-0000-0000-00002A150000}"/>
    <cellStyle name="Normal 4 4 2 3 2 7 2" xfId="21643" xr:uid="{09EFEDD1-FB98-48EB-AC4B-B7F81C9E1C80}"/>
    <cellStyle name="Normal 4 4 2 3 2 7 3" xfId="30089" xr:uid="{3D7B165A-3838-4EF9-BBB5-C6E0A19D2C00}"/>
    <cellStyle name="Normal 4 4 2 3 2 7 4" xfId="13202" xr:uid="{0480E33A-4377-4027-A056-0F317ED082F1}"/>
    <cellStyle name="Normal 4 4 2 3 2 8" xfId="17425" xr:uid="{FFDA7A93-F00F-41BC-A992-4251E7C243C6}"/>
    <cellStyle name="Normal 4 4 2 3 2 9" xfId="25869" xr:uid="{625B4F92-6BD9-459F-BFD4-0BE612350EF5}"/>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24200" xr:uid="{897B2004-3484-44C8-B21B-81C1563C0096}"/>
    <cellStyle name="Normal 4 4 2 3 3 2 2 3" xfId="32646" xr:uid="{D6B9F180-6F04-43A5-8025-F6DCE28AF969}"/>
    <cellStyle name="Normal 4 4 2 3 3 2 2 4" xfId="15759" xr:uid="{0CC07531-582A-4C15-956D-AEBF13768808}"/>
    <cellStyle name="Normal 4 4 2 3 3 2 3" xfId="19982" xr:uid="{B3204DA1-46E9-4321-B42D-8CFB6256AE5B}"/>
    <cellStyle name="Normal 4 4 2 3 3 2 4" xfId="28429" xr:uid="{C855A9B7-CD92-4510-BB51-BFE5654F80F4}"/>
    <cellStyle name="Normal 4 4 2 3 3 2 5" xfId="11541" xr:uid="{F99FFCE9-0AEB-4A95-8F69-206C9572FCEA}"/>
    <cellStyle name="Normal 4 4 2 3 3 3" xfId="5172" xr:uid="{00000000-0005-0000-0000-00002E150000}"/>
    <cellStyle name="Normal 4 4 2 3 3 3 2" xfId="22055" xr:uid="{8A51A7FF-CF2B-4701-90D1-34DF1BBB2117}"/>
    <cellStyle name="Normal 4 4 2 3 3 3 3" xfId="30501" xr:uid="{4BC2891F-DC52-4F29-B74B-EA321734C482}"/>
    <cellStyle name="Normal 4 4 2 3 3 3 4" xfId="13614" xr:uid="{45327E53-85F0-444B-B992-07B3395479B6}"/>
    <cellStyle name="Normal 4 4 2 3 3 4" xfId="17837" xr:uid="{35B705DD-92A7-47C9-8440-C96BE7BB543E}"/>
    <cellStyle name="Normal 4 4 2 3 3 5" xfId="26282" xr:uid="{F55B2247-A093-4AAD-8D0B-4C952E8F2D65}"/>
    <cellStyle name="Normal 4 4 2 3 3 6" xfId="9396" xr:uid="{7BE77D36-97B5-4EA5-92CE-EC9CF9B957A4}"/>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24613" xr:uid="{31FB9402-411E-4B08-B60E-5092EEAD0326}"/>
    <cellStyle name="Normal 4 4 2 3 4 2 2 3" xfId="33059" xr:uid="{D1BD568C-6F0F-4479-88B3-3E5DA973913B}"/>
    <cellStyle name="Normal 4 4 2 3 4 2 2 4" xfId="16172" xr:uid="{1E6A4310-3972-4D94-8271-1F55561851D3}"/>
    <cellStyle name="Normal 4 4 2 3 4 2 3" xfId="20395" xr:uid="{251CB628-090C-4EBD-95A4-E56E54D67A89}"/>
    <cellStyle name="Normal 4 4 2 3 4 2 4" xfId="28842" xr:uid="{F71AB923-9AE4-4B41-8FB6-7235638BAB56}"/>
    <cellStyle name="Normal 4 4 2 3 4 2 5" xfId="11954" xr:uid="{81E7155C-037D-419B-BCBE-83098F898730}"/>
    <cellStyle name="Normal 4 4 2 3 4 3" xfId="5585" xr:uid="{00000000-0005-0000-0000-000032150000}"/>
    <cellStyle name="Normal 4 4 2 3 4 3 2" xfId="22468" xr:uid="{03B64DD8-DCD8-4698-ABCA-B6E1A5A7AAFA}"/>
    <cellStyle name="Normal 4 4 2 3 4 3 3" xfId="30914" xr:uid="{F6E2D2B5-A9CF-4DE5-AB5D-3DE0EA2D9D19}"/>
    <cellStyle name="Normal 4 4 2 3 4 3 4" xfId="14027" xr:uid="{F2DAD127-4768-455C-BF1D-699D9E2CD6C8}"/>
    <cellStyle name="Normal 4 4 2 3 4 4" xfId="18250" xr:uid="{62390010-A1EB-460A-A7CA-1A19B9D12042}"/>
    <cellStyle name="Normal 4 4 2 3 4 5" xfId="26695" xr:uid="{6ECCAEF0-AB2B-457B-BCB8-2DA99E49D787}"/>
    <cellStyle name="Normal 4 4 2 3 4 6" xfId="9809" xr:uid="{A20C6ED5-5A8A-47B7-884B-222957C61CF8}"/>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25026" xr:uid="{3D4C2D0F-4964-44E3-922B-4D544615800A}"/>
    <cellStyle name="Normal 4 4 2 3 5 2 2 3" xfId="33472" xr:uid="{938E8307-8E21-4C04-B42A-83552F6F60CC}"/>
    <cellStyle name="Normal 4 4 2 3 5 2 2 4" xfId="16585" xr:uid="{00C9DF3E-648F-40EC-9C46-CED96408F62D}"/>
    <cellStyle name="Normal 4 4 2 3 5 2 3" xfId="20808" xr:uid="{527EE478-7CC1-49CF-805A-F4DEFCA18A3D}"/>
    <cellStyle name="Normal 4 4 2 3 5 2 4" xfId="29255" xr:uid="{2E6B8982-BB98-4232-BAD5-2804B1854BD4}"/>
    <cellStyle name="Normal 4 4 2 3 5 2 5" xfId="12367" xr:uid="{B2AA69F0-8A56-4A98-83CB-9AAB24606BC9}"/>
    <cellStyle name="Normal 4 4 2 3 5 3" xfId="5998" xr:uid="{00000000-0005-0000-0000-000036150000}"/>
    <cellStyle name="Normal 4 4 2 3 5 3 2" xfId="22881" xr:uid="{543A73E2-18E1-4374-A6D3-EEF2BECB345B}"/>
    <cellStyle name="Normal 4 4 2 3 5 3 3" xfId="31327" xr:uid="{A69AC6BD-FD05-4DA2-9A27-1DAE1177647B}"/>
    <cellStyle name="Normal 4 4 2 3 5 3 4" xfId="14440" xr:uid="{245C59C0-B437-4E32-A750-A7A91182B3AC}"/>
    <cellStyle name="Normal 4 4 2 3 5 4" xfId="18663" xr:uid="{3E2742CD-AA2C-4242-B547-FCEADEC87E68}"/>
    <cellStyle name="Normal 4 4 2 3 5 5" xfId="27108" xr:uid="{8DD276BF-1E01-4155-B301-EC0258D06928}"/>
    <cellStyle name="Normal 4 4 2 3 5 6" xfId="10222" xr:uid="{B111E470-87DA-40BB-A214-AE5FB707C902}"/>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25439" xr:uid="{48164E9F-A153-467C-919E-A7A5AE6A13A4}"/>
    <cellStyle name="Normal 4 4 2 3 6 2 2 3" xfId="33885" xr:uid="{D4E972E7-C9D3-40FD-B75F-5968F851E3F4}"/>
    <cellStyle name="Normal 4 4 2 3 6 2 2 4" xfId="16998" xr:uid="{9F9B3D36-C172-47F0-9181-0F4AEC925E83}"/>
    <cellStyle name="Normal 4 4 2 3 6 2 3" xfId="21221" xr:uid="{2880D24D-133E-4530-A72B-8F1BC84A81E5}"/>
    <cellStyle name="Normal 4 4 2 3 6 2 4" xfId="29668" xr:uid="{624A2608-0D22-4109-86A3-4DD31890BA87}"/>
    <cellStyle name="Normal 4 4 2 3 6 2 5" xfId="12780" xr:uid="{22031FBD-8D0D-4A14-B6D6-78A199289D35}"/>
    <cellStyle name="Normal 4 4 2 3 6 3" xfId="6411" xr:uid="{00000000-0005-0000-0000-00003A150000}"/>
    <cellStyle name="Normal 4 4 2 3 6 3 2" xfId="23294" xr:uid="{052210CC-D52D-4323-AC45-E1CBA9B41C2E}"/>
    <cellStyle name="Normal 4 4 2 3 6 3 3" xfId="31740" xr:uid="{FE66105E-195F-46DB-B6F5-4F8BDEA7F895}"/>
    <cellStyle name="Normal 4 4 2 3 6 3 4" xfId="14853" xr:uid="{9663C96E-698A-493F-A498-C55D63A39824}"/>
    <cellStyle name="Normal 4 4 2 3 6 4" xfId="19076" xr:uid="{627DD36F-87C2-4205-A89D-C4B888B2BA68}"/>
    <cellStyle name="Normal 4 4 2 3 6 5" xfId="27521" xr:uid="{95ED4054-C884-4B1B-B48B-D8EE40771F0B}"/>
    <cellStyle name="Normal 4 4 2 3 6 6" xfId="10635" xr:uid="{5353A248-B875-4465-9496-653A21D4BCEF}"/>
    <cellStyle name="Normal 4 4 2 3 7" xfId="2540" xr:uid="{00000000-0005-0000-0000-00003B150000}"/>
    <cellStyle name="Normal 4 4 2 3 7 2" xfId="6824" xr:uid="{00000000-0005-0000-0000-00003C150000}"/>
    <cellStyle name="Normal 4 4 2 3 7 2 2" xfId="23707" xr:uid="{5F6AAE25-4E5B-40DA-94B1-E6A82947F760}"/>
    <cellStyle name="Normal 4 4 2 3 7 2 3" xfId="32153" xr:uid="{1C5E04E4-685E-4559-B282-F3EA6D5216FB}"/>
    <cellStyle name="Normal 4 4 2 3 7 2 4" xfId="15266" xr:uid="{A74D957C-E116-4B39-8D78-90BCC7D39AC6}"/>
    <cellStyle name="Normal 4 4 2 3 7 3" xfId="19489" xr:uid="{DFD8ED05-714C-4B38-B2C1-3E553F8528F4}"/>
    <cellStyle name="Normal 4 4 2 3 7 4" xfId="27934" xr:uid="{94ED67C5-6074-41BE-8D0B-CADAB800FD27}"/>
    <cellStyle name="Normal 4 4 2 3 7 5" xfId="11048" xr:uid="{8F31178E-5B72-4B62-920C-AC4F370439C3}"/>
    <cellStyle name="Normal 4 4 2 3 8" xfId="4759" xr:uid="{00000000-0005-0000-0000-00003D150000}"/>
    <cellStyle name="Normal 4 4 2 3 8 2" xfId="21642" xr:uid="{0D847C4E-4763-439A-A082-E18CE5C78521}"/>
    <cellStyle name="Normal 4 4 2 3 8 3" xfId="30088" xr:uid="{FBC07D2E-44E3-47AE-B7D4-54B4474F4133}"/>
    <cellStyle name="Normal 4 4 2 3 8 4" xfId="13201" xr:uid="{F256926B-5E85-464D-BF00-1CE7571717C8}"/>
    <cellStyle name="Normal 4 4 2 3 9" xfId="17424" xr:uid="{E16B9E2A-C57B-4B1D-AB02-66E11DCD5D46}"/>
    <cellStyle name="Normal 4 4 2 4" xfId="386" xr:uid="{00000000-0005-0000-0000-00003E150000}"/>
    <cellStyle name="Normal 4 4 2 4 10" xfId="8985" xr:uid="{9D31986A-8A70-4193-A2C7-FBFDAF0B6642}"/>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24202" xr:uid="{AB674155-4A67-4AD8-80CD-B8323E5413C0}"/>
    <cellStyle name="Normal 4 4 2 4 2 2 2 3" xfId="32648" xr:uid="{AEE2BF62-48E3-4340-AE3C-D20177CAEB6F}"/>
    <cellStyle name="Normal 4 4 2 4 2 2 2 4" xfId="15761" xr:uid="{7531F126-DFF8-4B05-A960-C2263154EC0A}"/>
    <cellStyle name="Normal 4 4 2 4 2 2 3" xfId="19984" xr:uid="{300CC73B-F9BF-4246-BE56-E7DF10613A1E}"/>
    <cellStyle name="Normal 4 4 2 4 2 2 4" xfId="28431" xr:uid="{842A37CD-73DA-4860-88CD-0F8469AD192E}"/>
    <cellStyle name="Normal 4 4 2 4 2 2 5" xfId="11543" xr:uid="{32CC227F-AD89-46CC-BEFF-914571EFF84E}"/>
    <cellStyle name="Normal 4 4 2 4 2 3" xfId="5174" xr:uid="{00000000-0005-0000-0000-000042150000}"/>
    <cellStyle name="Normal 4 4 2 4 2 3 2" xfId="22057" xr:uid="{A5CB0D53-B2C2-4217-A780-B0F134110E40}"/>
    <cellStyle name="Normal 4 4 2 4 2 3 3" xfId="30503" xr:uid="{494D4DF1-E56A-4920-A307-E83FB9167272}"/>
    <cellStyle name="Normal 4 4 2 4 2 3 4" xfId="13616" xr:uid="{60BD7BD0-B6AF-4C25-82D7-72A801FCAC0B}"/>
    <cellStyle name="Normal 4 4 2 4 2 4" xfId="17839" xr:uid="{CAF642A8-58D8-469A-9A01-4B50E6B71F9D}"/>
    <cellStyle name="Normal 4 4 2 4 2 5" xfId="26284" xr:uid="{D77B5306-4133-4EE3-83E2-F5857A1879E5}"/>
    <cellStyle name="Normal 4 4 2 4 2 6" xfId="9398" xr:uid="{A74BBB26-19D1-4841-B90C-F9618C8BF829}"/>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24615" xr:uid="{F5E8AB64-29FF-4BF9-B308-5A9958479524}"/>
    <cellStyle name="Normal 4 4 2 4 3 2 2 3" xfId="33061" xr:uid="{ED950E7C-7304-400F-905D-6B711BAA4007}"/>
    <cellStyle name="Normal 4 4 2 4 3 2 2 4" xfId="16174" xr:uid="{862ED029-3298-4C06-972A-44B71938B13B}"/>
    <cellStyle name="Normal 4 4 2 4 3 2 3" xfId="20397" xr:uid="{8D45D28B-7AE3-4134-9886-866165C5FD75}"/>
    <cellStyle name="Normal 4 4 2 4 3 2 4" xfId="28844" xr:uid="{E8D565C1-924F-49E8-BD23-46B9CFE91CF1}"/>
    <cellStyle name="Normal 4 4 2 4 3 2 5" xfId="11956" xr:uid="{2426C4B2-088E-4426-8750-67DC994B34BE}"/>
    <cellStyle name="Normal 4 4 2 4 3 3" xfId="5587" xr:uid="{00000000-0005-0000-0000-000046150000}"/>
    <cellStyle name="Normal 4 4 2 4 3 3 2" xfId="22470" xr:uid="{DD98B9A3-B18C-4AAB-8822-2755A08247F1}"/>
    <cellStyle name="Normal 4 4 2 4 3 3 3" xfId="30916" xr:uid="{A3127525-8A2E-44C3-9C77-74DA66941DEA}"/>
    <cellStyle name="Normal 4 4 2 4 3 3 4" xfId="14029" xr:uid="{F01E3FDB-E2A0-4D99-9F2E-9B6D9CE15B76}"/>
    <cellStyle name="Normal 4 4 2 4 3 4" xfId="18252" xr:uid="{5B6885BF-02F4-447D-AE8C-30F4B2F2E1D4}"/>
    <cellStyle name="Normal 4 4 2 4 3 5" xfId="26697" xr:uid="{4A828AC8-6A04-44A6-ADC5-63F076BED12E}"/>
    <cellStyle name="Normal 4 4 2 4 3 6" xfId="9811" xr:uid="{3EB8C141-86D5-481C-A7DA-87221517ABEA}"/>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25028" xr:uid="{C8EB1007-F048-4AB9-9CFC-DC3C2D849ECC}"/>
    <cellStyle name="Normal 4 4 2 4 4 2 2 3" xfId="33474" xr:uid="{68B697BF-5DAE-4DB7-8AEB-B7C53697E488}"/>
    <cellStyle name="Normal 4 4 2 4 4 2 2 4" xfId="16587" xr:uid="{D62307AB-967C-4345-BA9C-360F850A2A4C}"/>
    <cellStyle name="Normal 4 4 2 4 4 2 3" xfId="20810" xr:uid="{7D85BBD3-4303-42F7-BEDA-DFBF2AA7BC4C}"/>
    <cellStyle name="Normal 4 4 2 4 4 2 4" xfId="29257" xr:uid="{D1016144-6198-4106-9459-5BB0490B7DF6}"/>
    <cellStyle name="Normal 4 4 2 4 4 2 5" xfId="12369" xr:uid="{8F2A1C07-55A7-419C-B8EC-4F30A52EA18C}"/>
    <cellStyle name="Normal 4 4 2 4 4 3" xfId="6000" xr:uid="{00000000-0005-0000-0000-00004A150000}"/>
    <cellStyle name="Normal 4 4 2 4 4 3 2" xfId="22883" xr:uid="{6B93DB0C-AA78-49A2-8C44-FE4559796462}"/>
    <cellStyle name="Normal 4 4 2 4 4 3 3" xfId="31329" xr:uid="{24B00BE7-9336-4E66-8A95-7C2E96467B82}"/>
    <cellStyle name="Normal 4 4 2 4 4 3 4" xfId="14442" xr:uid="{95F21C98-DB35-468D-A414-86632A7CD2AD}"/>
    <cellStyle name="Normal 4 4 2 4 4 4" xfId="18665" xr:uid="{5E7A2145-5AAB-48ED-BCF2-B18CA38055C4}"/>
    <cellStyle name="Normal 4 4 2 4 4 5" xfId="27110" xr:uid="{5B3C138B-E3A5-4C58-BF62-471CF0CE5147}"/>
    <cellStyle name="Normal 4 4 2 4 4 6" xfId="10224" xr:uid="{0E7680A8-35DC-4B7D-8BB0-0E5908C04158}"/>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25441" xr:uid="{AA5E6188-2C7A-4FFA-8CC7-E7015A0DB91B}"/>
    <cellStyle name="Normal 4 4 2 4 5 2 2 3" xfId="33887" xr:uid="{7C71BDD9-DB57-4210-8D2D-86C2D056A21C}"/>
    <cellStyle name="Normal 4 4 2 4 5 2 2 4" xfId="17000" xr:uid="{BA171669-0AD1-4435-908A-98B7241E5888}"/>
    <cellStyle name="Normal 4 4 2 4 5 2 3" xfId="21223" xr:uid="{EEC17B73-FB97-4965-A126-884B8BF75674}"/>
    <cellStyle name="Normal 4 4 2 4 5 2 4" xfId="29670" xr:uid="{9C9BC15F-5176-48E7-89E8-4D3E10D117EA}"/>
    <cellStyle name="Normal 4 4 2 4 5 2 5" xfId="12782" xr:uid="{B70F7B62-3E59-400A-BD60-88AE2DE588EC}"/>
    <cellStyle name="Normal 4 4 2 4 5 3" xfId="6413" xr:uid="{00000000-0005-0000-0000-00004E150000}"/>
    <cellStyle name="Normal 4 4 2 4 5 3 2" xfId="23296" xr:uid="{26D73511-FCBC-48B9-A5CF-3AB794E501C2}"/>
    <cellStyle name="Normal 4 4 2 4 5 3 3" xfId="31742" xr:uid="{598F34F8-0205-4360-80F7-562A9AE45FC4}"/>
    <cellStyle name="Normal 4 4 2 4 5 3 4" xfId="14855" xr:uid="{1506D4CD-41A3-4D26-946C-1EF007019780}"/>
    <cellStyle name="Normal 4 4 2 4 5 4" xfId="19078" xr:uid="{393607A7-9240-4DDB-B2B2-5AAE3C4E9C69}"/>
    <cellStyle name="Normal 4 4 2 4 5 5" xfId="27523" xr:uid="{0B67BBC5-C726-47F3-A807-D70A0AB3B3A2}"/>
    <cellStyle name="Normal 4 4 2 4 5 6" xfId="10637" xr:uid="{B83140A1-6346-46AE-9838-97CC23ED2BAA}"/>
    <cellStyle name="Normal 4 4 2 4 6" xfId="2542" xr:uid="{00000000-0005-0000-0000-00004F150000}"/>
    <cellStyle name="Normal 4 4 2 4 6 2" xfId="6826" xr:uid="{00000000-0005-0000-0000-000050150000}"/>
    <cellStyle name="Normal 4 4 2 4 6 2 2" xfId="23709" xr:uid="{18273665-71EB-457E-A0EF-85EC9D96667C}"/>
    <cellStyle name="Normal 4 4 2 4 6 2 3" xfId="32155" xr:uid="{CC7D10A1-6D57-4E92-A949-0E7701D070A7}"/>
    <cellStyle name="Normal 4 4 2 4 6 2 4" xfId="15268" xr:uid="{B8A53B45-5AF6-4846-B808-3A77A9D8F323}"/>
    <cellStyle name="Normal 4 4 2 4 6 3" xfId="19491" xr:uid="{FF559E07-EA8F-447C-9040-FE2AA066A179}"/>
    <cellStyle name="Normal 4 4 2 4 6 4" xfId="27936" xr:uid="{01B1403F-40C6-4E3B-B07F-7A83928E5813}"/>
    <cellStyle name="Normal 4 4 2 4 6 5" xfId="11050" xr:uid="{C38F0F26-805E-48FB-966A-B398C2329071}"/>
    <cellStyle name="Normal 4 4 2 4 7" xfId="4761" xr:uid="{00000000-0005-0000-0000-000051150000}"/>
    <cellStyle name="Normal 4 4 2 4 7 2" xfId="21644" xr:uid="{E50B1D82-1B45-42D8-A059-7A3A9359E19E}"/>
    <cellStyle name="Normal 4 4 2 4 7 3" xfId="30090" xr:uid="{1B12859E-A74C-403D-A2AF-181D6D3B055E}"/>
    <cellStyle name="Normal 4 4 2 4 7 4" xfId="13203" xr:uid="{DFDF6653-6820-4E85-9150-938D8A51CD57}"/>
    <cellStyle name="Normal 4 4 2 4 8" xfId="17426" xr:uid="{CEE71ADB-84BE-4723-A727-78F2A9AA4B56}"/>
    <cellStyle name="Normal 4 4 2 4 9" xfId="25870" xr:uid="{4E6EE7DA-E60B-469B-9BF2-4AA6F28FC527}"/>
    <cellStyle name="Normal 4 4 2 5" xfId="854" xr:uid="{00000000-0005-0000-0000-000052150000}"/>
    <cellStyle name="Normal 4 4 2 5 2" xfId="3089" xr:uid="{00000000-0005-0000-0000-000053150000}"/>
    <cellStyle name="Normal 4 4 2 5 2 2" xfId="7312" xr:uid="{00000000-0005-0000-0000-000054150000}"/>
    <cellStyle name="Normal 4 4 2 5 2 2 2" xfId="24195" xr:uid="{7DC5755B-F456-417F-8ED3-581C8443B2C8}"/>
    <cellStyle name="Normal 4 4 2 5 2 2 3" xfId="32641" xr:uid="{E2271075-AC52-48F9-8A05-CF17B34F8FDC}"/>
    <cellStyle name="Normal 4 4 2 5 2 2 4" xfId="15754" xr:uid="{F08A2099-163C-43C8-9659-56B78735F90E}"/>
    <cellStyle name="Normal 4 4 2 5 2 3" xfId="19977" xr:uid="{76F66ABB-3946-4BA3-8946-9E48D96AD58B}"/>
    <cellStyle name="Normal 4 4 2 5 2 4" xfId="28424" xr:uid="{A4B8E029-5D9E-470D-BAAA-8ECEBC72EC66}"/>
    <cellStyle name="Normal 4 4 2 5 2 5" xfId="11536" xr:uid="{709E7A57-BE5D-4749-A8B0-6B3A90F855F4}"/>
    <cellStyle name="Normal 4 4 2 5 3" xfId="5167" xr:uid="{00000000-0005-0000-0000-000055150000}"/>
    <cellStyle name="Normal 4 4 2 5 3 2" xfId="22050" xr:uid="{07D6D261-B212-473A-A816-2BEC7446280E}"/>
    <cellStyle name="Normal 4 4 2 5 3 3" xfId="30496" xr:uid="{777D70AA-1059-41FF-9785-DDE1AB2C80F0}"/>
    <cellStyle name="Normal 4 4 2 5 3 4" xfId="13609" xr:uid="{95DDEE76-22CC-4482-875F-815E46977996}"/>
    <cellStyle name="Normal 4 4 2 5 4" xfId="17832" xr:uid="{111CE79A-8B3F-4B9E-8AC8-8C4AF3F3721C}"/>
    <cellStyle name="Normal 4 4 2 5 5" xfId="26277" xr:uid="{48E38645-1244-452B-9809-5E381AC0F6C5}"/>
    <cellStyle name="Normal 4 4 2 5 6" xfId="9391" xr:uid="{5074BF4D-6926-4E38-A35C-1C4403A3C0DD}"/>
    <cellStyle name="Normal 4 4 2 6" xfId="1272" xr:uid="{00000000-0005-0000-0000-000056150000}"/>
    <cellStyle name="Normal 4 4 2 6 2" xfId="3502" xr:uid="{00000000-0005-0000-0000-000057150000}"/>
    <cellStyle name="Normal 4 4 2 6 2 2" xfId="7725" xr:uid="{00000000-0005-0000-0000-000058150000}"/>
    <cellStyle name="Normal 4 4 2 6 2 2 2" xfId="24608" xr:uid="{2D4461C7-389A-4E40-B4D3-56FFE52E64AB}"/>
    <cellStyle name="Normal 4 4 2 6 2 2 3" xfId="33054" xr:uid="{520F3EC6-F710-44FA-8AAF-809D5AC5CBFC}"/>
    <cellStyle name="Normal 4 4 2 6 2 2 4" xfId="16167" xr:uid="{C4E21FA2-BE2E-4B61-AAD3-249524A6490C}"/>
    <cellStyle name="Normal 4 4 2 6 2 3" xfId="20390" xr:uid="{01ED05BC-72D0-4C00-BDC8-5492D2E38742}"/>
    <cellStyle name="Normal 4 4 2 6 2 4" xfId="28837" xr:uid="{7C126FC2-A796-4010-B35A-0BF6243BB635}"/>
    <cellStyle name="Normal 4 4 2 6 2 5" xfId="11949" xr:uid="{210737C7-8A82-4E2C-B1BD-73D6453EF491}"/>
    <cellStyle name="Normal 4 4 2 6 3" xfId="5580" xr:uid="{00000000-0005-0000-0000-000059150000}"/>
    <cellStyle name="Normal 4 4 2 6 3 2" xfId="22463" xr:uid="{6B3BC6A9-2BC3-4023-8548-3D9FF78A12BC}"/>
    <cellStyle name="Normal 4 4 2 6 3 3" xfId="30909" xr:uid="{E7B4BDAD-CB84-41D3-BD43-6C20135D74B7}"/>
    <cellStyle name="Normal 4 4 2 6 3 4" xfId="14022" xr:uid="{3AFABFD4-453D-4E39-894B-01BCF5CA8179}"/>
    <cellStyle name="Normal 4 4 2 6 4" xfId="18245" xr:uid="{83787D3A-69FA-499D-9B7A-5D0949FA8DB9}"/>
    <cellStyle name="Normal 4 4 2 6 5" xfId="26690" xr:uid="{A4871E79-C841-48C3-8019-A9C27F215D86}"/>
    <cellStyle name="Normal 4 4 2 6 6" xfId="9804" xr:uid="{C75FCB9B-D462-43AE-A022-07386991F1B2}"/>
    <cellStyle name="Normal 4 4 2 7" xfId="1685" xr:uid="{00000000-0005-0000-0000-00005A150000}"/>
    <cellStyle name="Normal 4 4 2 7 2" xfId="3915" xr:uid="{00000000-0005-0000-0000-00005B150000}"/>
    <cellStyle name="Normal 4 4 2 7 2 2" xfId="8138" xr:uid="{00000000-0005-0000-0000-00005C150000}"/>
    <cellStyle name="Normal 4 4 2 7 2 2 2" xfId="25021" xr:uid="{7E77236A-7AF1-4767-9A67-F5AECBF7117F}"/>
    <cellStyle name="Normal 4 4 2 7 2 2 3" xfId="33467" xr:uid="{A41AAE09-0F57-4A6B-9B51-3DC5776EADAD}"/>
    <cellStyle name="Normal 4 4 2 7 2 2 4" xfId="16580" xr:uid="{53E30B73-EAC0-4A13-9C45-3EE02172C020}"/>
    <cellStyle name="Normal 4 4 2 7 2 3" xfId="20803" xr:uid="{AF5A37F8-064E-460D-9443-34B57A663316}"/>
    <cellStyle name="Normal 4 4 2 7 2 4" xfId="29250" xr:uid="{F936B53F-8FE4-435E-9106-5B8FDCB96A0C}"/>
    <cellStyle name="Normal 4 4 2 7 2 5" xfId="12362" xr:uid="{F7741CBD-54E3-4BEF-9638-D2AAEBA73FFA}"/>
    <cellStyle name="Normal 4 4 2 7 3" xfId="5993" xr:uid="{00000000-0005-0000-0000-00005D150000}"/>
    <cellStyle name="Normal 4 4 2 7 3 2" xfId="22876" xr:uid="{F8F4ADC8-75ED-4291-A49B-161A139AC607}"/>
    <cellStyle name="Normal 4 4 2 7 3 3" xfId="31322" xr:uid="{F66F91BE-A6B3-491F-A32F-CCFD252F5650}"/>
    <cellStyle name="Normal 4 4 2 7 3 4" xfId="14435" xr:uid="{CC3EC2CF-0A7A-4ED4-8186-5BB3826A0C4A}"/>
    <cellStyle name="Normal 4 4 2 7 4" xfId="18658" xr:uid="{BCD3A77A-ED87-4FC2-A6C6-0030C1ECFFD9}"/>
    <cellStyle name="Normal 4 4 2 7 5" xfId="27103" xr:uid="{18FAD200-9989-4DDB-AFCF-592E38FF4D80}"/>
    <cellStyle name="Normal 4 4 2 7 6" xfId="10217" xr:uid="{81C7425E-1063-40FB-A8EF-6F734B0CE8DA}"/>
    <cellStyle name="Normal 4 4 2 8" xfId="2099" xr:uid="{00000000-0005-0000-0000-00005E150000}"/>
    <cellStyle name="Normal 4 4 2 8 2" xfId="4328" xr:uid="{00000000-0005-0000-0000-00005F150000}"/>
    <cellStyle name="Normal 4 4 2 8 2 2" xfId="8551" xr:uid="{00000000-0005-0000-0000-000060150000}"/>
    <cellStyle name="Normal 4 4 2 8 2 2 2" xfId="25434" xr:uid="{A0CC5C3E-1E1E-410E-BDB5-9C5B7F0667BA}"/>
    <cellStyle name="Normal 4 4 2 8 2 2 3" xfId="33880" xr:uid="{92A206DF-0B70-4D3A-B9E6-C60BACE250EB}"/>
    <cellStyle name="Normal 4 4 2 8 2 2 4" xfId="16993" xr:uid="{BF0CEF95-6B94-40F5-9E64-58B22E88B14E}"/>
    <cellStyle name="Normal 4 4 2 8 2 3" xfId="21216" xr:uid="{83C17341-0FCC-4698-8BB9-6F928CC38C47}"/>
    <cellStyle name="Normal 4 4 2 8 2 4" xfId="29663" xr:uid="{A0A0E9DD-4425-4A84-AB22-C81AEF42B81F}"/>
    <cellStyle name="Normal 4 4 2 8 2 5" xfId="12775" xr:uid="{46D4888C-AE0C-4EE0-A523-C96F9C2198C0}"/>
    <cellStyle name="Normal 4 4 2 8 3" xfId="6406" xr:uid="{00000000-0005-0000-0000-000061150000}"/>
    <cellStyle name="Normal 4 4 2 8 3 2" xfId="23289" xr:uid="{E86354C0-424E-4F0F-BD00-FE65C0C8CCBF}"/>
    <cellStyle name="Normal 4 4 2 8 3 3" xfId="31735" xr:uid="{96E21D75-87FC-42AD-B2BB-651F9B080FBD}"/>
    <cellStyle name="Normal 4 4 2 8 3 4" xfId="14848" xr:uid="{A4025715-B3CB-4FD3-805C-1E85C2230BC1}"/>
    <cellStyle name="Normal 4 4 2 8 4" xfId="19071" xr:uid="{A30FF9D8-69BF-448C-B3ED-477F8BA1B391}"/>
    <cellStyle name="Normal 4 4 2 8 5" xfId="27516" xr:uid="{188542D8-F364-43AA-B76D-7342AA0B7B7E}"/>
    <cellStyle name="Normal 4 4 2 8 6" xfId="10630" xr:uid="{0A606DBE-5C99-45BC-AF34-60BAF38C6A32}"/>
    <cellStyle name="Normal 4 4 2 9" xfId="2535" xr:uid="{00000000-0005-0000-0000-000062150000}"/>
    <cellStyle name="Normal 4 4 2 9 2" xfId="6819" xr:uid="{00000000-0005-0000-0000-000063150000}"/>
    <cellStyle name="Normal 4 4 2 9 2 2" xfId="23702" xr:uid="{749216A0-C344-462F-8832-3AD8F317044E}"/>
    <cellStyle name="Normal 4 4 2 9 2 3" xfId="32148" xr:uid="{63F04998-FE44-496F-AB9D-3D4749D99C3A}"/>
    <cellStyle name="Normal 4 4 2 9 2 4" xfId="15261" xr:uid="{A3758090-7FA0-4CFE-89BB-7826A0FBEB8C}"/>
    <cellStyle name="Normal 4 4 2 9 3" xfId="19484" xr:uid="{FD6D68C0-1450-4648-9F74-0C0AC64834F0}"/>
    <cellStyle name="Normal 4 4 2 9 4" xfId="27929" xr:uid="{F2B9541F-8D8B-4285-842B-14B6D014AD17}"/>
    <cellStyle name="Normal 4 4 2 9 5" xfId="11043" xr:uid="{842CDF96-D6A9-48E3-936E-A419FA335460}"/>
    <cellStyle name="Normal 4 4 3" xfId="387" xr:uid="{00000000-0005-0000-0000-000064150000}"/>
    <cellStyle name="Normal 4 4 3 10" xfId="17427" xr:uid="{7BF9BF6B-E944-4F5A-87F9-C3315128734E}"/>
    <cellStyle name="Normal 4 4 3 11" xfId="25871" xr:uid="{636822ED-1969-45DA-8AA6-D3C3F7E38CD1}"/>
    <cellStyle name="Normal 4 4 3 12" xfId="8986" xr:uid="{EBE998CA-894B-448D-8B0E-A4DD55364B0C}"/>
    <cellStyle name="Normal 4 4 3 2" xfId="388" xr:uid="{00000000-0005-0000-0000-000065150000}"/>
    <cellStyle name="Normal 4 4 3 2 10" xfId="25872" xr:uid="{FD71584B-B586-41AE-893E-EFE59A4B90B1}"/>
    <cellStyle name="Normal 4 4 3 2 11" xfId="8987" xr:uid="{F9887000-A81C-472D-9618-38ACC33284B0}"/>
    <cellStyle name="Normal 4 4 3 2 2" xfId="389" xr:uid="{00000000-0005-0000-0000-000066150000}"/>
    <cellStyle name="Normal 4 4 3 2 2 10" xfId="8988" xr:uid="{0C2E60A5-2729-4495-92F9-EFCFC449F353}"/>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24205" xr:uid="{67AB3DDC-54D2-416E-BC12-120FA2335773}"/>
    <cellStyle name="Normal 4 4 3 2 2 2 2 2 3" xfId="32651" xr:uid="{DB92CEF2-876A-45DA-91C1-255BFDE7BE16}"/>
    <cellStyle name="Normal 4 4 3 2 2 2 2 2 4" xfId="15764" xr:uid="{CEA72095-0A25-45E3-BECC-D32676BF3804}"/>
    <cellStyle name="Normal 4 4 3 2 2 2 2 3" xfId="19987" xr:uid="{15B0AC31-81B7-4F83-9666-EE5B970B7DAB}"/>
    <cellStyle name="Normal 4 4 3 2 2 2 2 4" xfId="28434" xr:uid="{CD9BA517-7747-4056-B144-EE21D77C1EA6}"/>
    <cellStyle name="Normal 4 4 3 2 2 2 2 5" xfId="11546" xr:uid="{54D52B0B-DA5F-45F7-9D32-BBABCD6F1320}"/>
    <cellStyle name="Normal 4 4 3 2 2 2 3" xfId="5177" xr:uid="{00000000-0005-0000-0000-00006A150000}"/>
    <cellStyle name="Normal 4 4 3 2 2 2 3 2" xfId="22060" xr:uid="{A1C8DF15-9990-483C-B3C3-B2E999BBA4F2}"/>
    <cellStyle name="Normal 4 4 3 2 2 2 3 3" xfId="30506" xr:uid="{C857BDA9-953B-49C5-9376-BA5615B4EFBA}"/>
    <cellStyle name="Normal 4 4 3 2 2 2 3 4" xfId="13619" xr:uid="{3E7E0C43-D26F-4DA5-9EFE-2EC3AEB5C70F}"/>
    <cellStyle name="Normal 4 4 3 2 2 2 4" xfId="17842" xr:uid="{4F3C2A46-32B5-4688-B34A-284F5FCC8D27}"/>
    <cellStyle name="Normal 4 4 3 2 2 2 5" xfId="26287" xr:uid="{0C514881-A5D9-4705-89FA-16B4B81091DE}"/>
    <cellStyle name="Normal 4 4 3 2 2 2 6" xfId="9401" xr:uid="{B61C6F25-1404-4872-9971-DD9B7A13AA5F}"/>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24618" xr:uid="{4C6C5624-A701-4583-9503-77D147C521F5}"/>
    <cellStyle name="Normal 4 4 3 2 2 3 2 2 3" xfId="33064" xr:uid="{7F0674E5-0D3F-49FB-B3B5-DF279603270B}"/>
    <cellStyle name="Normal 4 4 3 2 2 3 2 2 4" xfId="16177" xr:uid="{C25A6CB4-54B9-44E5-9E5A-76EFE86D2615}"/>
    <cellStyle name="Normal 4 4 3 2 2 3 2 3" xfId="20400" xr:uid="{D4F29B97-BC2E-47C2-B4B9-4645278F7EFF}"/>
    <cellStyle name="Normal 4 4 3 2 2 3 2 4" xfId="28847" xr:uid="{EA6B9210-5886-4C94-B5CC-FDC181482593}"/>
    <cellStyle name="Normal 4 4 3 2 2 3 2 5" xfId="11959" xr:uid="{F711ACB5-D95D-4904-AC78-2F5C2C85C39C}"/>
    <cellStyle name="Normal 4 4 3 2 2 3 3" xfId="5590" xr:uid="{00000000-0005-0000-0000-00006E150000}"/>
    <cellStyle name="Normal 4 4 3 2 2 3 3 2" xfId="22473" xr:uid="{95402CF7-8173-440F-B1B6-CC026A2F5C49}"/>
    <cellStyle name="Normal 4 4 3 2 2 3 3 3" xfId="30919" xr:uid="{197D7500-9FD1-4846-9866-33BF67DFE7B4}"/>
    <cellStyle name="Normal 4 4 3 2 2 3 3 4" xfId="14032" xr:uid="{56D39343-EF35-45F8-8756-F48CA43A64FF}"/>
    <cellStyle name="Normal 4 4 3 2 2 3 4" xfId="18255" xr:uid="{12E2600E-5F0E-4731-A55A-5D098BCAA519}"/>
    <cellStyle name="Normal 4 4 3 2 2 3 5" xfId="26700" xr:uid="{F958AEC9-95BE-49EE-8465-A094121D89FE}"/>
    <cellStyle name="Normal 4 4 3 2 2 3 6" xfId="9814" xr:uid="{4D7D989F-A6FB-4597-9700-C3158C26A0CF}"/>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25031" xr:uid="{001A8D96-4584-4370-B1D1-D50DADC7C224}"/>
    <cellStyle name="Normal 4 4 3 2 2 4 2 2 3" xfId="33477" xr:uid="{34B44166-60D1-4738-8436-76123FE99346}"/>
    <cellStyle name="Normal 4 4 3 2 2 4 2 2 4" xfId="16590" xr:uid="{EB6A9BBC-C129-4031-AC96-75000698AA60}"/>
    <cellStyle name="Normal 4 4 3 2 2 4 2 3" xfId="20813" xr:uid="{9DF55CA4-AD9B-42C5-BFD9-783BBDBEDA8C}"/>
    <cellStyle name="Normal 4 4 3 2 2 4 2 4" xfId="29260" xr:uid="{5A874DA1-84A7-4FB3-A791-18944E8BC657}"/>
    <cellStyle name="Normal 4 4 3 2 2 4 2 5" xfId="12372" xr:uid="{28B28524-E022-4A3A-A614-AD961FA28203}"/>
    <cellStyle name="Normal 4 4 3 2 2 4 3" xfId="6003" xr:uid="{00000000-0005-0000-0000-000072150000}"/>
    <cellStyle name="Normal 4 4 3 2 2 4 3 2" xfId="22886" xr:uid="{49B9D6B2-D2E9-4DEE-89C4-7766DEAE19D4}"/>
    <cellStyle name="Normal 4 4 3 2 2 4 3 3" xfId="31332" xr:uid="{8C5546EC-B0B7-4349-9AE6-A116844A3154}"/>
    <cellStyle name="Normal 4 4 3 2 2 4 3 4" xfId="14445" xr:uid="{3052D690-7237-469F-BEA0-ED921136C4F1}"/>
    <cellStyle name="Normal 4 4 3 2 2 4 4" xfId="18668" xr:uid="{42E4FEDA-F602-4A8D-B3FB-B5F93284D693}"/>
    <cellStyle name="Normal 4 4 3 2 2 4 5" xfId="27113" xr:uid="{80A95CB1-DAE9-4073-BF0E-4C44232228E2}"/>
    <cellStyle name="Normal 4 4 3 2 2 4 6" xfId="10227" xr:uid="{58A252B3-BBE8-444F-B8D0-F010AEA81ABF}"/>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25444" xr:uid="{F249C3EC-275A-4F02-A85B-7B3930616120}"/>
    <cellStyle name="Normal 4 4 3 2 2 5 2 2 3" xfId="33890" xr:uid="{1F12CE23-D948-4560-82B3-7095FEB8C9DE}"/>
    <cellStyle name="Normal 4 4 3 2 2 5 2 2 4" xfId="17003" xr:uid="{4FE2ED9C-459B-42DB-8FA1-13DEE403E524}"/>
    <cellStyle name="Normal 4 4 3 2 2 5 2 3" xfId="21226" xr:uid="{98E2CD70-3174-40C8-B582-04C873D8FA78}"/>
    <cellStyle name="Normal 4 4 3 2 2 5 2 4" xfId="29673" xr:uid="{CD943502-9D0F-41BB-8EF1-3C6ABD6A859A}"/>
    <cellStyle name="Normal 4 4 3 2 2 5 2 5" xfId="12785" xr:uid="{F441985E-0A67-4C84-8BBC-95A85032E5B4}"/>
    <cellStyle name="Normal 4 4 3 2 2 5 3" xfId="6416" xr:uid="{00000000-0005-0000-0000-000076150000}"/>
    <cellStyle name="Normal 4 4 3 2 2 5 3 2" xfId="23299" xr:uid="{C2C3EAF5-A021-49CD-9052-C0CF4296FA2C}"/>
    <cellStyle name="Normal 4 4 3 2 2 5 3 3" xfId="31745" xr:uid="{CC3B7533-3878-4850-ACA4-77F782275314}"/>
    <cellStyle name="Normal 4 4 3 2 2 5 3 4" xfId="14858" xr:uid="{8CD238C1-CC04-4B97-B714-82BCB6CE2F1D}"/>
    <cellStyle name="Normal 4 4 3 2 2 5 4" xfId="19081" xr:uid="{E81F6FC9-3DB7-4546-8C8F-006BF0F0A83A}"/>
    <cellStyle name="Normal 4 4 3 2 2 5 5" xfId="27526" xr:uid="{01EB6CBF-3FB8-4EFC-8CD1-4F36042BC26B}"/>
    <cellStyle name="Normal 4 4 3 2 2 5 6" xfId="10640" xr:uid="{FB8F7001-FFA4-433F-BF6C-B87C87955B9A}"/>
    <cellStyle name="Normal 4 4 3 2 2 6" xfId="2545" xr:uid="{00000000-0005-0000-0000-000077150000}"/>
    <cellStyle name="Normal 4 4 3 2 2 6 2" xfId="6829" xr:uid="{00000000-0005-0000-0000-000078150000}"/>
    <cellStyle name="Normal 4 4 3 2 2 6 2 2" xfId="23712" xr:uid="{17C96534-CA0E-4F29-B746-5723E823544F}"/>
    <cellStyle name="Normal 4 4 3 2 2 6 2 3" xfId="32158" xr:uid="{904CC74F-F34D-4285-ABC7-74175A52C44F}"/>
    <cellStyle name="Normal 4 4 3 2 2 6 2 4" xfId="15271" xr:uid="{7CE7BE05-A8D3-49B0-ACF0-42F2F4EADB06}"/>
    <cellStyle name="Normal 4 4 3 2 2 6 3" xfId="19494" xr:uid="{81C7023C-428D-4C11-9ADF-2BCB7197E95B}"/>
    <cellStyle name="Normal 4 4 3 2 2 6 4" xfId="27939" xr:uid="{C5558419-737C-4189-BE6A-8A435B08EBB0}"/>
    <cellStyle name="Normal 4 4 3 2 2 6 5" xfId="11053" xr:uid="{9200108B-2017-4812-A6F6-AC52C5066DCB}"/>
    <cellStyle name="Normal 4 4 3 2 2 7" xfId="4764" xr:uid="{00000000-0005-0000-0000-000079150000}"/>
    <cellStyle name="Normal 4 4 3 2 2 7 2" xfId="21647" xr:uid="{BE0ABBD0-78AC-4F75-8EF9-6B97771AE8CD}"/>
    <cellStyle name="Normal 4 4 3 2 2 7 3" xfId="30093" xr:uid="{9A0F72DD-5F68-41EA-A8D6-074810130424}"/>
    <cellStyle name="Normal 4 4 3 2 2 7 4" xfId="13206" xr:uid="{7EA32804-A17F-45E2-BDB5-B35C7728F7C3}"/>
    <cellStyle name="Normal 4 4 3 2 2 8" xfId="17429" xr:uid="{7952CD52-3F11-4799-8C26-F8699DA2D5F6}"/>
    <cellStyle name="Normal 4 4 3 2 2 9" xfId="25873" xr:uid="{BC64DF6B-4C9F-48CF-A75C-E3B40FC16600}"/>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24204" xr:uid="{0E8F9649-6317-46C3-9CF0-247D45978C42}"/>
    <cellStyle name="Normal 4 4 3 2 3 2 2 3" xfId="32650" xr:uid="{82623940-60CD-4293-8BB9-0433FAB1123A}"/>
    <cellStyle name="Normal 4 4 3 2 3 2 2 4" xfId="15763" xr:uid="{8A40B10E-3847-47A0-A69E-BE08A74FD0FC}"/>
    <cellStyle name="Normal 4 4 3 2 3 2 3" xfId="19986" xr:uid="{A2D9CF71-4DAE-43D8-A952-1951F8E5AA0C}"/>
    <cellStyle name="Normal 4 4 3 2 3 2 4" xfId="28433" xr:uid="{5F078CEC-CC61-40A7-B3A8-447AB80C5C3B}"/>
    <cellStyle name="Normal 4 4 3 2 3 2 5" xfId="11545" xr:uid="{92331BB7-5CD6-4E5D-BEC6-54A7CE682448}"/>
    <cellStyle name="Normal 4 4 3 2 3 3" xfId="5176" xr:uid="{00000000-0005-0000-0000-00007D150000}"/>
    <cellStyle name="Normal 4 4 3 2 3 3 2" xfId="22059" xr:uid="{78AF9E83-D2F7-45ED-A1E4-118A2DD8EEB0}"/>
    <cellStyle name="Normal 4 4 3 2 3 3 3" xfId="30505" xr:uid="{B86415D2-D392-4CE8-BF78-F2DB00BDE569}"/>
    <cellStyle name="Normal 4 4 3 2 3 3 4" xfId="13618" xr:uid="{0CD1C663-468D-46CE-9B7B-5C2BEA62E4C3}"/>
    <cellStyle name="Normal 4 4 3 2 3 4" xfId="17841" xr:uid="{3F70586C-5A81-4EDC-BBCF-33BECFB27B44}"/>
    <cellStyle name="Normal 4 4 3 2 3 5" xfId="26286" xr:uid="{47E83F1F-D0F4-4B55-821C-F747F2A204D1}"/>
    <cellStyle name="Normal 4 4 3 2 3 6" xfId="9400" xr:uid="{33213DDD-FE59-4B0B-AEF4-19AFDFED1222}"/>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24617" xr:uid="{8CB82FAF-2EF4-4746-97AE-07408CEB3D23}"/>
    <cellStyle name="Normal 4 4 3 2 4 2 2 3" xfId="33063" xr:uid="{50E986A8-4BC3-4DF3-87AA-E8B45ECBF6B1}"/>
    <cellStyle name="Normal 4 4 3 2 4 2 2 4" xfId="16176" xr:uid="{BAFCB2E5-9AC2-45E9-A557-D197E11B9955}"/>
    <cellStyle name="Normal 4 4 3 2 4 2 3" xfId="20399" xr:uid="{6B29AD90-69DA-496F-84EC-EE9548E6F0BE}"/>
    <cellStyle name="Normal 4 4 3 2 4 2 4" xfId="28846" xr:uid="{2B694181-0364-4708-897D-41903ADC15E2}"/>
    <cellStyle name="Normal 4 4 3 2 4 2 5" xfId="11958" xr:uid="{19918C95-2EE2-4984-9C37-F87FBB2B0F2B}"/>
    <cellStyle name="Normal 4 4 3 2 4 3" xfId="5589" xr:uid="{00000000-0005-0000-0000-000081150000}"/>
    <cellStyle name="Normal 4 4 3 2 4 3 2" xfId="22472" xr:uid="{993A5122-0AD9-4EEF-89CC-E9AE0662296F}"/>
    <cellStyle name="Normal 4 4 3 2 4 3 3" xfId="30918" xr:uid="{8A80398F-A05F-4CFE-A620-09D342983BA9}"/>
    <cellStyle name="Normal 4 4 3 2 4 3 4" xfId="14031" xr:uid="{ACEDAD1D-AD95-441D-9207-7CD2C3501ECE}"/>
    <cellStyle name="Normal 4 4 3 2 4 4" xfId="18254" xr:uid="{978E1F98-D079-4653-AD1C-2679B967E529}"/>
    <cellStyle name="Normal 4 4 3 2 4 5" xfId="26699" xr:uid="{DE1165D5-E1DE-43F0-9F8A-619FB100389F}"/>
    <cellStyle name="Normal 4 4 3 2 4 6" xfId="9813" xr:uid="{8500D8D1-0976-4CAB-B2D9-42540774CC6B}"/>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25030" xr:uid="{859DE72D-0834-458C-B293-EF8443F6B8A4}"/>
    <cellStyle name="Normal 4 4 3 2 5 2 2 3" xfId="33476" xr:uid="{3C6CD45D-F6F1-48C3-9347-333D3726AD71}"/>
    <cellStyle name="Normal 4 4 3 2 5 2 2 4" xfId="16589" xr:uid="{F7B8C6F6-835B-49EC-BF0C-1CB884AA5D09}"/>
    <cellStyle name="Normal 4 4 3 2 5 2 3" xfId="20812" xr:uid="{E2403827-4BB8-4527-B5D2-C1B97E477D06}"/>
    <cellStyle name="Normal 4 4 3 2 5 2 4" xfId="29259" xr:uid="{595F4B0B-F06F-4AC8-A1D8-3A04532AE32A}"/>
    <cellStyle name="Normal 4 4 3 2 5 2 5" xfId="12371" xr:uid="{11E83171-445E-40C4-BEA3-542581995C8F}"/>
    <cellStyle name="Normal 4 4 3 2 5 3" xfId="6002" xr:uid="{00000000-0005-0000-0000-000085150000}"/>
    <cellStyle name="Normal 4 4 3 2 5 3 2" xfId="22885" xr:uid="{1559691E-94B6-490B-9B09-892A001695C8}"/>
    <cellStyle name="Normal 4 4 3 2 5 3 3" xfId="31331" xr:uid="{AA026842-51E0-4FC6-A433-72CEB3A96559}"/>
    <cellStyle name="Normal 4 4 3 2 5 3 4" xfId="14444" xr:uid="{1D7D5769-3325-450D-8A1D-CCA632389FF2}"/>
    <cellStyle name="Normal 4 4 3 2 5 4" xfId="18667" xr:uid="{A8541D54-4175-4B42-900E-CE40B314968F}"/>
    <cellStyle name="Normal 4 4 3 2 5 5" xfId="27112" xr:uid="{191F0CCE-9ABB-4A6E-974F-CF767B6BE7A7}"/>
    <cellStyle name="Normal 4 4 3 2 5 6" xfId="10226" xr:uid="{CD6DAB46-1C4F-436C-A1DF-9455AB6B8E0B}"/>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25443" xr:uid="{E645EDE2-0A94-47FE-A2C6-A7D878307955}"/>
    <cellStyle name="Normal 4 4 3 2 6 2 2 3" xfId="33889" xr:uid="{9B5D9A4A-781D-4C1A-80A3-81966F1D3533}"/>
    <cellStyle name="Normal 4 4 3 2 6 2 2 4" xfId="17002" xr:uid="{226701A6-BD82-4E67-AC44-13CAD7D55C34}"/>
    <cellStyle name="Normal 4 4 3 2 6 2 3" xfId="21225" xr:uid="{68CF35B6-E363-4189-BC1E-868B8261916D}"/>
    <cellStyle name="Normal 4 4 3 2 6 2 4" xfId="29672" xr:uid="{9FEF5D53-D033-4A82-8D9F-C020B04C3111}"/>
    <cellStyle name="Normal 4 4 3 2 6 2 5" xfId="12784" xr:uid="{AFDB362D-D7E4-42BB-9AD8-CAD4B49A2B84}"/>
    <cellStyle name="Normal 4 4 3 2 6 3" xfId="6415" xr:uid="{00000000-0005-0000-0000-000089150000}"/>
    <cellStyle name="Normal 4 4 3 2 6 3 2" xfId="23298" xr:uid="{B59E868E-25A9-4EF1-A5BC-5E46C3706445}"/>
    <cellStyle name="Normal 4 4 3 2 6 3 3" xfId="31744" xr:uid="{35AA187E-C53D-4601-8D2B-57EA3B1BBA19}"/>
    <cellStyle name="Normal 4 4 3 2 6 3 4" xfId="14857" xr:uid="{9A2463A7-1C64-4B83-B77F-2761FED3F952}"/>
    <cellStyle name="Normal 4 4 3 2 6 4" xfId="19080" xr:uid="{D0B217B2-0C41-41F4-85B4-AEEB20D7CA26}"/>
    <cellStyle name="Normal 4 4 3 2 6 5" xfId="27525" xr:uid="{4A8BAC19-16F2-46E5-A6AE-4AE353C15453}"/>
    <cellStyle name="Normal 4 4 3 2 6 6" xfId="10639" xr:uid="{E86708EE-811E-4B2B-B21F-F3A062D87996}"/>
    <cellStyle name="Normal 4 4 3 2 7" xfId="2544" xr:uid="{00000000-0005-0000-0000-00008A150000}"/>
    <cellStyle name="Normal 4 4 3 2 7 2" xfId="6828" xr:uid="{00000000-0005-0000-0000-00008B150000}"/>
    <cellStyle name="Normal 4 4 3 2 7 2 2" xfId="23711" xr:uid="{71BEBBD6-3BE1-4B96-A73A-BF5D4AAB3958}"/>
    <cellStyle name="Normal 4 4 3 2 7 2 3" xfId="32157" xr:uid="{A350AC66-0BAE-45EE-867D-EEBF70C38DF9}"/>
    <cellStyle name="Normal 4 4 3 2 7 2 4" xfId="15270" xr:uid="{3CF7F702-3BFB-476A-810B-0C780172CE1E}"/>
    <cellStyle name="Normal 4 4 3 2 7 3" xfId="19493" xr:uid="{11774C5E-08B2-49FF-9633-846255E90807}"/>
    <cellStyle name="Normal 4 4 3 2 7 4" xfId="27938" xr:uid="{7C881327-EB6F-42FA-93AE-72B4200F4461}"/>
    <cellStyle name="Normal 4 4 3 2 7 5" xfId="11052" xr:uid="{E8EFF6A0-ABC6-4BE9-84AA-EA715FC16746}"/>
    <cellStyle name="Normal 4 4 3 2 8" xfId="4763" xr:uid="{00000000-0005-0000-0000-00008C150000}"/>
    <cellStyle name="Normal 4 4 3 2 8 2" xfId="21646" xr:uid="{8C7EA68C-A471-4EF3-963A-80D3E2289A13}"/>
    <cellStyle name="Normal 4 4 3 2 8 3" xfId="30092" xr:uid="{B65F31A4-B49D-4F5D-B1C9-262786912C2E}"/>
    <cellStyle name="Normal 4 4 3 2 8 4" xfId="13205" xr:uid="{9565A888-DDCB-446D-A8B1-6BD4CD0ED0B3}"/>
    <cellStyle name="Normal 4 4 3 2 9" xfId="17428" xr:uid="{8416BAA8-8AAF-4FAC-AD06-8F12EF9DAA92}"/>
    <cellStyle name="Normal 4 4 3 3" xfId="390" xr:uid="{00000000-0005-0000-0000-00008D150000}"/>
    <cellStyle name="Normal 4 4 3 3 10" xfId="8989" xr:uid="{9BA31620-0C1A-4CB5-B6DA-10C6F1F7B057}"/>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24206" xr:uid="{071FC295-569F-4791-AAC7-73E12D4B1E81}"/>
    <cellStyle name="Normal 4 4 3 3 2 2 2 3" xfId="32652" xr:uid="{9DC4A446-795E-48E1-BC77-8E53447B7C0C}"/>
    <cellStyle name="Normal 4 4 3 3 2 2 2 4" xfId="15765" xr:uid="{0732BB03-2586-47CD-AFEA-47ADB1D9B7E9}"/>
    <cellStyle name="Normal 4 4 3 3 2 2 3" xfId="19988" xr:uid="{083C01D1-67D3-4F05-B6B3-5217EFCA8D0D}"/>
    <cellStyle name="Normal 4 4 3 3 2 2 4" xfId="28435" xr:uid="{118FBAA8-E58A-4E2D-ABD2-1038E877CE5F}"/>
    <cellStyle name="Normal 4 4 3 3 2 2 5" xfId="11547" xr:uid="{009CECBF-278B-4458-A46D-76DC6CA556ED}"/>
    <cellStyle name="Normal 4 4 3 3 2 3" xfId="5178" xr:uid="{00000000-0005-0000-0000-000091150000}"/>
    <cellStyle name="Normal 4 4 3 3 2 3 2" xfId="22061" xr:uid="{61E175A8-D914-4D91-A6F4-B7261936ED22}"/>
    <cellStyle name="Normal 4 4 3 3 2 3 3" xfId="30507" xr:uid="{193652BC-57D2-4BEE-9BD9-3C09867DCA5A}"/>
    <cellStyle name="Normal 4 4 3 3 2 3 4" xfId="13620" xr:uid="{E7A9E30E-F66D-4419-B899-A62DA35EB966}"/>
    <cellStyle name="Normal 4 4 3 3 2 4" xfId="17843" xr:uid="{C9A77F0B-E8CA-4E8A-A515-FE41598AFCE5}"/>
    <cellStyle name="Normal 4 4 3 3 2 5" xfId="26288" xr:uid="{7806861D-F965-448B-8389-84ACCD9420AB}"/>
    <cellStyle name="Normal 4 4 3 3 2 6" xfId="9402" xr:uid="{4518ED7F-ABB7-456A-ABA2-9D734D4A2A26}"/>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24619" xr:uid="{6C15BFB3-54E3-45BF-91DA-AB5270522D32}"/>
    <cellStyle name="Normal 4 4 3 3 3 2 2 3" xfId="33065" xr:uid="{9A81947F-9B28-4FE2-BE07-1F13BF949D25}"/>
    <cellStyle name="Normal 4 4 3 3 3 2 2 4" xfId="16178" xr:uid="{EE1383D3-8C58-4C31-A5DF-AABE302D36B9}"/>
    <cellStyle name="Normal 4 4 3 3 3 2 3" xfId="20401" xr:uid="{5879204A-C6D1-4397-A48E-53E5E9F45EA3}"/>
    <cellStyle name="Normal 4 4 3 3 3 2 4" xfId="28848" xr:uid="{F55AEAC1-88DD-4E9C-BAAF-EC126657D7D5}"/>
    <cellStyle name="Normal 4 4 3 3 3 2 5" xfId="11960" xr:uid="{D44F6C06-1D74-4368-921C-381305966936}"/>
    <cellStyle name="Normal 4 4 3 3 3 3" xfId="5591" xr:uid="{00000000-0005-0000-0000-000095150000}"/>
    <cellStyle name="Normal 4 4 3 3 3 3 2" xfId="22474" xr:uid="{FCBE8BCC-E0B3-4836-B092-2AB74E579EFC}"/>
    <cellStyle name="Normal 4 4 3 3 3 3 3" xfId="30920" xr:uid="{5E77271A-F3CB-4F3E-BCD2-C1856EBEBC10}"/>
    <cellStyle name="Normal 4 4 3 3 3 3 4" xfId="14033" xr:uid="{35D7A72E-5B4A-4BDB-BF79-1CD651F050AA}"/>
    <cellStyle name="Normal 4 4 3 3 3 4" xfId="18256" xr:uid="{448C6245-E87C-4E76-8DD1-DE7189C70BA2}"/>
    <cellStyle name="Normal 4 4 3 3 3 5" xfId="26701" xr:uid="{7770FFDF-E3CD-48D1-80EB-4F001BC2E84F}"/>
    <cellStyle name="Normal 4 4 3 3 3 6" xfId="9815" xr:uid="{08E65F19-4B84-421D-A50E-1879262D9538}"/>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25032" xr:uid="{A72E0C07-E5EB-4459-8BBD-FFA9823744A8}"/>
    <cellStyle name="Normal 4 4 3 3 4 2 2 3" xfId="33478" xr:uid="{35D212B0-3DA2-4227-A4FA-548FDE08A9DE}"/>
    <cellStyle name="Normal 4 4 3 3 4 2 2 4" xfId="16591" xr:uid="{FCAA2993-FD86-45C9-8031-101E9824B201}"/>
    <cellStyle name="Normal 4 4 3 3 4 2 3" xfId="20814" xr:uid="{593DEDB8-9656-4486-B7CE-E99D6016AC12}"/>
    <cellStyle name="Normal 4 4 3 3 4 2 4" xfId="29261" xr:uid="{0E152385-4802-48C8-90FC-51CBB2E3D90B}"/>
    <cellStyle name="Normal 4 4 3 3 4 2 5" xfId="12373" xr:uid="{CB85E20C-534D-42E6-BFB3-967B95495557}"/>
    <cellStyle name="Normal 4 4 3 3 4 3" xfId="6004" xr:uid="{00000000-0005-0000-0000-000099150000}"/>
    <cellStyle name="Normal 4 4 3 3 4 3 2" xfId="22887" xr:uid="{8C349D46-8C8D-48A9-A8A5-3723969203FA}"/>
    <cellStyle name="Normal 4 4 3 3 4 3 3" xfId="31333" xr:uid="{8011CC3C-444B-481D-B8A2-DAF858443977}"/>
    <cellStyle name="Normal 4 4 3 3 4 3 4" xfId="14446" xr:uid="{FF44A543-EF3E-4A60-B874-F3065F3C39CB}"/>
    <cellStyle name="Normal 4 4 3 3 4 4" xfId="18669" xr:uid="{EF40B240-A7A8-4CAC-B8E7-15E77668191A}"/>
    <cellStyle name="Normal 4 4 3 3 4 5" xfId="27114" xr:uid="{694C772C-142F-473E-B3DB-45B59AD19AE6}"/>
    <cellStyle name="Normal 4 4 3 3 4 6" xfId="10228" xr:uid="{0E232A7D-E3A7-4DE4-BA56-46431100926C}"/>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25445" xr:uid="{669E36F1-92ED-4568-8375-B5B3151E1E72}"/>
    <cellStyle name="Normal 4 4 3 3 5 2 2 3" xfId="33891" xr:uid="{0FC9D9FD-D95B-440F-A3B2-A9C82261CA81}"/>
    <cellStyle name="Normal 4 4 3 3 5 2 2 4" xfId="17004" xr:uid="{1E6B0953-E6F9-4BD5-80B0-BB82902E51A2}"/>
    <cellStyle name="Normal 4 4 3 3 5 2 3" xfId="21227" xr:uid="{7ECF881A-1AD0-4F27-859A-E19A420E15AA}"/>
    <cellStyle name="Normal 4 4 3 3 5 2 4" xfId="29674" xr:uid="{320BF7F5-2E87-471F-81D6-92BAA3DA285C}"/>
    <cellStyle name="Normal 4 4 3 3 5 2 5" xfId="12786" xr:uid="{17693CE0-CB7B-4BD3-8D91-CD58C91FDD25}"/>
    <cellStyle name="Normal 4 4 3 3 5 3" xfId="6417" xr:uid="{00000000-0005-0000-0000-00009D150000}"/>
    <cellStyle name="Normal 4 4 3 3 5 3 2" xfId="23300" xr:uid="{6FEC9C08-87A0-4E56-BEFF-127B2B48ABEB}"/>
    <cellStyle name="Normal 4 4 3 3 5 3 3" xfId="31746" xr:uid="{6BB91F07-2DBF-4423-8758-EFCC5A6577FC}"/>
    <cellStyle name="Normal 4 4 3 3 5 3 4" xfId="14859" xr:uid="{9D2606A2-6BCC-41E0-99AE-8883E72FDA2F}"/>
    <cellStyle name="Normal 4 4 3 3 5 4" xfId="19082" xr:uid="{C37E428B-5B99-40A9-9F3A-7B5FE6AA8B21}"/>
    <cellStyle name="Normal 4 4 3 3 5 5" xfId="27527" xr:uid="{8BD646B4-E43A-496B-8CDB-46D49164B596}"/>
    <cellStyle name="Normal 4 4 3 3 5 6" xfId="10641" xr:uid="{6540DFB4-269E-4022-B228-80560D2C989B}"/>
    <cellStyle name="Normal 4 4 3 3 6" xfId="2546" xr:uid="{00000000-0005-0000-0000-00009E150000}"/>
    <cellStyle name="Normal 4 4 3 3 6 2" xfId="6830" xr:uid="{00000000-0005-0000-0000-00009F150000}"/>
    <cellStyle name="Normal 4 4 3 3 6 2 2" xfId="23713" xr:uid="{FA7E59DA-4B77-4318-828C-142FB78F74C4}"/>
    <cellStyle name="Normal 4 4 3 3 6 2 3" xfId="32159" xr:uid="{0C3DC7A5-3210-4B26-9EC6-EFCD86D57779}"/>
    <cellStyle name="Normal 4 4 3 3 6 2 4" xfId="15272" xr:uid="{DA1A8A39-ED0A-432C-9943-5B75BA348901}"/>
    <cellStyle name="Normal 4 4 3 3 6 3" xfId="19495" xr:uid="{52FB55CF-7F24-4B12-840E-596F329C0AAD}"/>
    <cellStyle name="Normal 4 4 3 3 6 4" xfId="27940" xr:uid="{087FF097-2435-44D8-B732-476050C86E30}"/>
    <cellStyle name="Normal 4 4 3 3 6 5" xfId="11054" xr:uid="{19D0FD25-4941-44AC-85EF-40D94DCA58DC}"/>
    <cellStyle name="Normal 4 4 3 3 7" xfId="4765" xr:uid="{00000000-0005-0000-0000-0000A0150000}"/>
    <cellStyle name="Normal 4 4 3 3 7 2" xfId="21648" xr:uid="{0765B22C-AB94-4E12-BB55-9ED608FC2E59}"/>
    <cellStyle name="Normal 4 4 3 3 7 3" xfId="30094" xr:uid="{FEBC9500-CBD7-4FC4-A34D-79C1B64FA997}"/>
    <cellStyle name="Normal 4 4 3 3 7 4" xfId="13207" xr:uid="{684FD9CE-78B7-47FF-8FCA-B2493F29B635}"/>
    <cellStyle name="Normal 4 4 3 3 8" xfId="17430" xr:uid="{C0F9C82C-CCD7-4AE1-AF1E-079383BA363A}"/>
    <cellStyle name="Normal 4 4 3 3 9" xfId="25874" xr:uid="{78797442-DADA-4E0D-82DA-002E3B4490B0}"/>
    <cellStyle name="Normal 4 4 3 4" xfId="862" xr:uid="{00000000-0005-0000-0000-0000A1150000}"/>
    <cellStyle name="Normal 4 4 3 4 2" xfId="3097" xr:uid="{00000000-0005-0000-0000-0000A2150000}"/>
    <cellStyle name="Normal 4 4 3 4 2 2" xfId="7320" xr:uid="{00000000-0005-0000-0000-0000A3150000}"/>
    <cellStyle name="Normal 4 4 3 4 2 2 2" xfId="24203" xr:uid="{905B855E-B6F2-4D85-9915-C6682AB8C2D3}"/>
    <cellStyle name="Normal 4 4 3 4 2 2 3" xfId="32649" xr:uid="{242DE648-DF2F-4116-A121-242A4FA769FB}"/>
    <cellStyle name="Normal 4 4 3 4 2 2 4" xfId="15762" xr:uid="{C798F779-938A-4130-A1EC-7B9F6B6CF4E8}"/>
    <cellStyle name="Normal 4 4 3 4 2 3" xfId="19985" xr:uid="{9E2138EF-C759-4251-B047-9DF2EAD061B7}"/>
    <cellStyle name="Normal 4 4 3 4 2 4" xfId="28432" xr:uid="{A9A57C9F-95B6-41DB-B1D2-A3EF8E38BBCE}"/>
    <cellStyle name="Normal 4 4 3 4 2 5" xfId="11544" xr:uid="{103D2D93-4E8F-4F56-8033-D4D2D743F4C0}"/>
    <cellStyle name="Normal 4 4 3 4 3" xfId="5175" xr:uid="{00000000-0005-0000-0000-0000A4150000}"/>
    <cellStyle name="Normal 4 4 3 4 3 2" xfId="22058" xr:uid="{C095BAF5-A85D-4FD0-BD1D-041652D4BA9E}"/>
    <cellStyle name="Normal 4 4 3 4 3 3" xfId="30504" xr:uid="{F451CE10-3EC7-408B-A79E-43DC1D321BF1}"/>
    <cellStyle name="Normal 4 4 3 4 3 4" xfId="13617" xr:uid="{C2788277-4BCA-4F7E-8397-2F44D4A0E614}"/>
    <cellStyle name="Normal 4 4 3 4 4" xfId="17840" xr:uid="{BE912EBF-1A4D-4AD9-92C5-C6834A55149C}"/>
    <cellStyle name="Normal 4 4 3 4 5" xfId="26285" xr:uid="{1F9E65E9-3412-4A6C-A183-158C93EA80FB}"/>
    <cellStyle name="Normal 4 4 3 4 6" xfId="9399" xr:uid="{A0965C29-060F-41A3-A508-3382A2AA81C0}"/>
    <cellStyle name="Normal 4 4 3 5" xfId="1280" xr:uid="{00000000-0005-0000-0000-0000A5150000}"/>
    <cellStyle name="Normal 4 4 3 5 2" xfId="3510" xr:uid="{00000000-0005-0000-0000-0000A6150000}"/>
    <cellStyle name="Normal 4 4 3 5 2 2" xfId="7733" xr:uid="{00000000-0005-0000-0000-0000A7150000}"/>
    <cellStyle name="Normal 4 4 3 5 2 2 2" xfId="24616" xr:uid="{A86614ED-1C9A-462A-BE17-89E8CEFB7F36}"/>
    <cellStyle name="Normal 4 4 3 5 2 2 3" xfId="33062" xr:uid="{69DC211C-574A-4B4C-8872-D10C1E107C95}"/>
    <cellStyle name="Normal 4 4 3 5 2 2 4" xfId="16175" xr:uid="{2AEE1DE2-925B-42DC-85DE-FBCE26A42800}"/>
    <cellStyle name="Normal 4 4 3 5 2 3" xfId="20398" xr:uid="{1CF49B45-AE55-4810-A06D-6500F3DECE4B}"/>
    <cellStyle name="Normal 4 4 3 5 2 4" xfId="28845" xr:uid="{94CDD6AD-AF71-4FD8-BE46-A2F6C78B807E}"/>
    <cellStyle name="Normal 4 4 3 5 2 5" xfId="11957" xr:uid="{4E3142D9-50F7-47BE-8F72-5FA2D98335BE}"/>
    <cellStyle name="Normal 4 4 3 5 3" xfId="5588" xr:uid="{00000000-0005-0000-0000-0000A8150000}"/>
    <cellStyle name="Normal 4 4 3 5 3 2" xfId="22471" xr:uid="{25B391A9-E303-41C5-A3D2-BC9011CE6FD1}"/>
    <cellStyle name="Normal 4 4 3 5 3 3" xfId="30917" xr:uid="{F0F5EA3D-65E3-4F89-A172-F54CABF2677D}"/>
    <cellStyle name="Normal 4 4 3 5 3 4" xfId="14030" xr:uid="{74BB5A4A-4E1B-4B1C-B440-0E0B36F56F65}"/>
    <cellStyle name="Normal 4 4 3 5 4" xfId="18253" xr:uid="{923CC23E-2AC9-4E2D-A22A-CAA223CF420D}"/>
    <cellStyle name="Normal 4 4 3 5 5" xfId="26698" xr:uid="{41345D2E-AB60-41C5-AFD4-7DD2961BF9F0}"/>
    <cellStyle name="Normal 4 4 3 5 6" xfId="9812" xr:uid="{20A44640-D4E1-4F51-97CC-5079424FB610}"/>
    <cellStyle name="Normal 4 4 3 6" xfId="1693" xr:uid="{00000000-0005-0000-0000-0000A9150000}"/>
    <cellStyle name="Normal 4 4 3 6 2" xfId="3923" xr:uid="{00000000-0005-0000-0000-0000AA150000}"/>
    <cellStyle name="Normal 4 4 3 6 2 2" xfId="8146" xr:uid="{00000000-0005-0000-0000-0000AB150000}"/>
    <cellStyle name="Normal 4 4 3 6 2 2 2" xfId="25029" xr:uid="{D171F070-16A0-4FC4-B320-EE65EBE9C271}"/>
    <cellStyle name="Normal 4 4 3 6 2 2 3" xfId="33475" xr:uid="{2AF0FB4B-4BCF-4C96-8CD1-96C4BEF4ED5B}"/>
    <cellStyle name="Normal 4 4 3 6 2 2 4" xfId="16588" xr:uid="{94876210-BC46-4E2A-8AC9-A8460CBBBC43}"/>
    <cellStyle name="Normal 4 4 3 6 2 3" xfId="20811" xr:uid="{FADD34BF-2CB0-4BC1-9590-86A020CA317B}"/>
    <cellStyle name="Normal 4 4 3 6 2 4" xfId="29258" xr:uid="{08515AED-39DF-47FF-9068-8780F8D917F8}"/>
    <cellStyle name="Normal 4 4 3 6 2 5" xfId="12370" xr:uid="{6783C2E5-533C-46FC-844E-C335EBE42FBF}"/>
    <cellStyle name="Normal 4 4 3 6 3" xfId="6001" xr:uid="{00000000-0005-0000-0000-0000AC150000}"/>
    <cellStyle name="Normal 4 4 3 6 3 2" xfId="22884" xr:uid="{04760159-7BD7-4AD5-B475-52B0550993F3}"/>
    <cellStyle name="Normal 4 4 3 6 3 3" xfId="31330" xr:uid="{05B57795-2800-400E-A4FB-6D9DE4A27D07}"/>
    <cellStyle name="Normal 4 4 3 6 3 4" xfId="14443" xr:uid="{3834AD50-1FD9-4C25-AA44-C9B462DE2D26}"/>
    <cellStyle name="Normal 4 4 3 6 4" xfId="18666" xr:uid="{4C3BCC9C-2A6D-46D0-BCB2-F1DE5DB065B1}"/>
    <cellStyle name="Normal 4 4 3 6 5" xfId="27111" xr:uid="{D92480EA-7187-45F9-BA98-3DCFBB2D7349}"/>
    <cellStyle name="Normal 4 4 3 6 6" xfId="10225" xr:uid="{EA0DC910-8702-477E-A0F0-BBF89A633DFE}"/>
    <cellStyle name="Normal 4 4 3 7" xfId="2107" xr:uid="{00000000-0005-0000-0000-0000AD150000}"/>
    <cellStyle name="Normal 4 4 3 7 2" xfId="4336" xr:uid="{00000000-0005-0000-0000-0000AE150000}"/>
    <cellStyle name="Normal 4 4 3 7 2 2" xfId="8559" xr:uid="{00000000-0005-0000-0000-0000AF150000}"/>
    <cellStyle name="Normal 4 4 3 7 2 2 2" xfId="25442" xr:uid="{28E5F10B-C2E6-4496-BAD5-BB7688410D00}"/>
    <cellStyle name="Normal 4 4 3 7 2 2 3" xfId="33888" xr:uid="{580EBF11-0CB0-4405-AED9-5A2D5293C359}"/>
    <cellStyle name="Normal 4 4 3 7 2 2 4" xfId="17001" xr:uid="{003FE75D-5264-4730-B730-B32E0AB29857}"/>
    <cellStyle name="Normal 4 4 3 7 2 3" xfId="21224" xr:uid="{2BCEE58D-0A54-4A3D-9B47-E2DD0C0127C6}"/>
    <cellStyle name="Normal 4 4 3 7 2 4" xfId="29671" xr:uid="{ADDE2DDB-2FAD-4608-8F0A-EB8E1D41230C}"/>
    <cellStyle name="Normal 4 4 3 7 2 5" xfId="12783" xr:uid="{74B489A1-5485-4E25-A981-1EFF5C918EB3}"/>
    <cellStyle name="Normal 4 4 3 7 3" xfId="6414" xr:uid="{00000000-0005-0000-0000-0000B0150000}"/>
    <cellStyle name="Normal 4 4 3 7 3 2" xfId="23297" xr:uid="{71E6E88D-0817-4256-A261-AB575777DC9E}"/>
    <cellStyle name="Normal 4 4 3 7 3 3" xfId="31743" xr:uid="{B3D625D7-5281-4C0F-9F1E-CF80FB6B8842}"/>
    <cellStyle name="Normal 4 4 3 7 3 4" xfId="14856" xr:uid="{D166A639-041E-41CC-98C2-C3115C53CAA4}"/>
    <cellStyle name="Normal 4 4 3 7 4" xfId="19079" xr:uid="{08C7BA73-07F9-492B-96CA-E31D67059C27}"/>
    <cellStyle name="Normal 4 4 3 7 5" xfId="27524" xr:uid="{535627B6-C378-48F5-A9FD-C97842CD0B59}"/>
    <cellStyle name="Normal 4 4 3 7 6" xfId="10638" xr:uid="{BD2FD7B7-EEEF-4CA5-B0F7-C31D9C8E5E9E}"/>
    <cellStyle name="Normal 4 4 3 8" xfId="2543" xr:uid="{00000000-0005-0000-0000-0000B1150000}"/>
    <cellStyle name="Normal 4 4 3 8 2" xfId="6827" xr:uid="{00000000-0005-0000-0000-0000B2150000}"/>
    <cellStyle name="Normal 4 4 3 8 2 2" xfId="23710" xr:uid="{E11BE2B2-C186-42D5-9E91-0DBFA4A9CD3B}"/>
    <cellStyle name="Normal 4 4 3 8 2 3" xfId="32156" xr:uid="{43916317-D40D-4F7A-B62B-9A73B7ACAD92}"/>
    <cellStyle name="Normal 4 4 3 8 2 4" xfId="15269" xr:uid="{725F6C16-C267-487C-9B29-44E14B86C5F1}"/>
    <cellStyle name="Normal 4 4 3 8 3" xfId="19492" xr:uid="{5AE6D59A-3B28-4342-89F4-C7E120853A22}"/>
    <cellStyle name="Normal 4 4 3 8 4" xfId="27937" xr:uid="{39726D1F-2E42-41D1-8AA5-1FFC60534CB7}"/>
    <cellStyle name="Normal 4 4 3 8 5" xfId="11051" xr:uid="{980C0544-8A49-4D0A-AEDF-DE6EF704700E}"/>
    <cellStyle name="Normal 4 4 3 9" xfId="4762" xr:uid="{00000000-0005-0000-0000-0000B3150000}"/>
    <cellStyle name="Normal 4 4 3 9 2" xfId="21645" xr:uid="{EA85844C-54D9-4E13-9EB0-A833ECB62BAD}"/>
    <cellStyle name="Normal 4 4 3 9 3" xfId="30091" xr:uid="{0C144F90-18AA-4B2A-9C0C-D928BCC1AB78}"/>
    <cellStyle name="Normal 4 4 3 9 4" xfId="13204" xr:uid="{E7CA3257-4F52-4B32-A8DE-5093543B7015}"/>
    <cellStyle name="Normal 4 4 4" xfId="391" xr:uid="{00000000-0005-0000-0000-0000B4150000}"/>
    <cellStyle name="Normal 4 4 4 10" xfId="25875" xr:uid="{654ABF49-523E-4339-895F-AE48B38EC0B9}"/>
    <cellStyle name="Normal 4 4 4 11" xfId="8990" xr:uid="{93BC155C-9967-41F6-A4C7-AC6121D0F3DE}"/>
    <cellStyle name="Normal 4 4 4 2" xfId="392" xr:uid="{00000000-0005-0000-0000-0000B5150000}"/>
    <cellStyle name="Normal 4 4 4 2 10" xfId="8991" xr:uid="{834E9763-B3FE-43BD-A079-AAF38EC050B8}"/>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24208" xr:uid="{4028A2B9-C462-45E1-9DAF-168CD7A42410}"/>
    <cellStyle name="Normal 4 4 4 2 2 2 2 3" xfId="32654" xr:uid="{48C73290-24B1-457B-984F-F57F737D4043}"/>
    <cellStyle name="Normal 4 4 4 2 2 2 2 4" xfId="15767" xr:uid="{AC6CC751-6474-4A5C-9CBB-22C2DC7BEBF2}"/>
    <cellStyle name="Normal 4 4 4 2 2 2 3" xfId="19990" xr:uid="{15EC6888-F39E-4D42-B220-A571D641270C}"/>
    <cellStyle name="Normal 4 4 4 2 2 2 4" xfId="28437" xr:uid="{165E9EEE-BF1C-4A8A-AEE8-49173A8EB0CC}"/>
    <cellStyle name="Normal 4 4 4 2 2 2 5" xfId="11549" xr:uid="{874C11D4-4E9E-4F7F-9D14-C71260545CF2}"/>
    <cellStyle name="Normal 4 4 4 2 2 3" xfId="5180" xr:uid="{00000000-0005-0000-0000-0000B9150000}"/>
    <cellStyle name="Normal 4 4 4 2 2 3 2" xfId="22063" xr:uid="{482D78AF-03CB-4672-B928-360C0D98DE33}"/>
    <cellStyle name="Normal 4 4 4 2 2 3 3" xfId="30509" xr:uid="{6476A9EE-2BBE-4BC8-AE37-15C831EF7FBE}"/>
    <cellStyle name="Normal 4 4 4 2 2 3 4" xfId="13622" xr:uid="{EA713E69-8D9F-477C-BE79-88B48C3F51C9}"/>
    <cellStyle name="Normal 4 4 4 2 2 4" xfId="17845" xr:uid="{4B3D837E-D062-4B01-98C8-149CDA936147}"/>
    <cellStyle name="Normal 4 4 4 2 2 5" xfId="26290" xr:uid="{9DF5F96A-67A2-4006-9790-9C033BD6E98D}"/>
    <cellStyle name="Normal 4 4 4 2 2 6" xfId="9404" xr:uid="{A89BA178-BB07-4C9E-9F90-AC432EA14601}"/>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24621" xr:uid="{BB83AF52-D647-43AF-B82C-4A71506967B9}"/>
    <cellStyle name="Normal 4 4 4 2 3 2 2 3" xfId="33067" xr:uid="{72BC2A88-B632-42E7-9984-005BCF2E83D5}"/>
    <cellStyle name="Normal 4 4 4 2 3 2 2 4" xfId="16180" xr:uid="{33016B42-8A04-403C-A0DA-D28B9D9F66EF}"/>
    <cellStyle name="Normal 4 4 4 2 3 2 3" xfId="20403" xr:uid="{BF85C7DE-DF76-46CF-B078-85440E2C6C55}"/>
    <cellStyle name="Normal 4 4 4 2 3 2 4" xfId="28850" xr:uid="{3669BCD6-DCF1-4F30-B199-5EFF5151E98A}"/>
    <cellStyle name="Normal 4 4 4 2 3 2 5" xfId="11962" xr:uid="{BFFA257A-5950-4515-9B56-C8E0F573CC41}"/>
    <cellStyle name="Normal 4 4 4 2 3 3" xfId="5593" xr:uid="{00000000-0005-0000-0000-0000BD150000}"/>
    <cellStyle name="Normal 4 4 4 2 3 3 2" xfId="22476" xr:uid="{B7B1519B-C50F-4DEC-934D-9AFD39C98DFC}"/>
    <cellStyle name="Normal 4 4 4 2 3 3 3" xfId="30922" xr:uid="{FF78D7CC-E567-403E-9BA6-8402CB84E024}"/>
    <cellStyle name="Normal 4 4 4 2 3 3 4" xfId="14035" xr:uid="{A06D59EA-C318-435C-B010-94AE1D523160}"/>
    <cellStyle name="Normal 4 4 4 2 3 4" xfId="18258" xr:uid="{80EDD3D5-5487-44D7-8E2F-2A74161CAB67}"/>
    <cellStyle name="Normal 4 4 4 2 3 5" xfId="26703" xr:uid="{136E8718-188C-45D0-9E92-6870A83B37F4}"/>
    <cellStyle name="Normal 4 4 4 2 3 6" xfId="9817" xr:uid="{144B3B9D-A8FE-43F1-B7C4-CBF5A40EEA9B}"/>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25034" xr:uid="{F3F3A5A6-4FB0-4FFE-BA0F-A611C324FDEE}"/>
    <cellStyle name="Normal 4 4 4 2 4 2 2 3" xfId="33480" xr:uid="{F47678D9-6E4A-432B-983B-755105318CE2}"/>
    <cellStyle name="Normal 4 4 4 2 4 2 2 4" xfId="16593" xr:uid="{78F15409-FAB9-4505-A55A-4E38975875D9}"/>
    <cellStyle name="Normal 4 4 4 2 4 2 3" xfId="20816" xr:uid="{FDAE008C-8431-4608-9B5B-5840D877FEC4}"/>
    <cellStyle name="Normal 4 4 4 2 4 2 4" xfId="29263" xr:uid="{13FFB489-7224-49B0-A0EA-65AE7303727B}"/>
    <cellStyle name="Normal 4 4 4 2 4 2 5" xfId="12375" xr:uid="{2D6D42F2-F13D-482F-9664-EFA4D45CCFA8}"/>
    <cellStyle name="Normal 4 4 4 2 4 3" xfId="6006" xr:uid="{00000000-0005-0000-0000-0000C1150000}"/>
    <cellStyle name="Normal 4 4 4 2 4 3 2" xfId="22889" xr:uid="{9FDBBD20-E4D5-4C7D-921D-3F392B52E67D}"/>
    <cellStyle name="Normal 4 4 4 2 4 3 3" xfId="31335" xr:uid="{C3E71CFC-B0AA-4DD7-8983-AFA777050A2A}"/>
    <cellStyle name="Normal 4 4 4 2 4 3 4" xfId="14448" xr:uid="{902C997A-A96C-4F1C-9D2F-82FB46D046F9}"/>
    <cellStyle name="Normal 4 4 4 2 4 4" xfId="18671" xr:uid="{3EB11918-FDDF-4096-977A-7B7BE409D27E}"/>
    <cellStyle name="Normal 4 4 4 2 4 5" xfId="27116" xr:uid="{9D0A3A05-A650-4B6E-8422-475D904A8F65}"/>
    <cellStyle name="Normal 4 4 4 2 4 6" xfId="10230" xr:uid="{A041D9B9-C603-4F3E-9656-595A26466033}"/>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25447" xr:uid="{30D4EEC3-741D-43F7-9DD4-5327037775C0}"/>
    <cellStyle name="Normal 4 4 4 2 5 2 2 3" xfId="33893" xr:uid="{AFA8AC5A-26C2-4FAD-9D2A-112372054940}"/>
    <cellStyle name="Normal 4 4 4 2 5 2 2 4" xfId="17006" xr:uid="{F0FB201B-B483-4DE1-8B71-EB5F60F12AA5}"/>
    <cellStyle name="Normal 4 4 4 2 5 2 3" xfId="21229" xr:uid="{17129AE2-CBA4-4BA4-A42D-FAB718DF3818}"/>
    <cellStyle name="Normal 4 4 4 2 5 2 4" xfId="29676" xr:uid="{DB023B3C-DBF4-4B19-BF6F-3BEC90226597}"/>
    <cellStyle name="Normal 4 4 4 2 5 2 5" xfId="12788" xr:uid="{643E8573-4E11-4DDE-9B80-1BD791BB96ED}"/>
    <cellStyle name="Normal 4 4 4 2 5 3" xfId="6419" xr:uid="{00000000-0005-0000-0000-0000C5150000}"/>
    <cellStyle name="Normal 4 4 4 2 5 3 2" xfId="23302" xr:uid="{8FB8DAC7-A284-4AC6-BFF0-89FCCD962B09}"/>
    <cellStyle name="Normal 4 4 4 2 5 3 3" xfId="31748" xr:uid="{354774C3-66FF-4D9A-A670-73870D8B6250}"/>
    <cellStyle name="Normal 4 4 4 2 5 3 4" xfId="14861" xr:uid="{BF1865EC-91A7-407B-83D1-6F44B029E46C}"/>
    <cellStyle name="Normal 4 4 4 2 5 4" xfId="19084" xr:uid="{5F85E0B1-E179-4B02-AE78-404F8C3C04F0}"/>
    <cellStyle name="Normal 4 4 4 2 5 5" xfId="27529" xr:uid="{5587DAE0-C4C8-4AD6-BAE3-54171FBA0F57}"/>
    <cellStyle name="Normal 4 4 4 2 5 6" xfId="10643" xr:uid="{D602C4F5-8207-4EDF-9783-A20EE8F84F52}"/>
    <cellStyle name="Normal 4 4 4 2 6" xfId="2548" xr:uid="{00000000-0005-0000-0000-0000C6150000}"/>
    <cellStyle name="Normal 4 4 4 2 6 2" xfId="6832" xr:uid="{00000000-0005-0000-0000-0000C7150000}"/>
    <cellStyle name="Normal 4 4 4 2 6 2 2" xfId="23715" xr:uid="{4C4C9157-8098-4F76-A325-5EBC27444287}"/>
    <cellStyle name="Normal 4 4 4 2 6 2 3" xfId="32161" xr:uid="{39FFD4B7-B937-4F65-B6EB-16AEC32693F9}"/>
    <cellStyle name="Normal 4 4 4 2 6 2 4" xfId="15274" xr:uid="{40B3FEDF-CB8E-4881-B656-612202E664EF}"/>
    <cellStyle name="Normal 4 4 4 2 6 3" xfId="19497" xr:uid="{782EAC2C-D3E1-4672-B607-ABE9ACD0859A}"/>
    <cellStyle name="Normal 4 4 4 2 6 4" xfId="27942" xr:uid="{5E384857-AE14-4310-86C9-0114B735F94B}"/>
    <cellStyle name="Normal 4 4 4 2 6 5" xfId="11056" xr:uid="{2F0331C6-4411-482B-90DC-792BA4B5DCFC}"/>
    <cellStyle name="Normal 4 4 4 2 7" xfId="4767" xr:uid="{00000000-0005-0000-0000-0000C8150000}"/>
    <cellStyle name="Normal 4 4 4 2 7 2" xfId="21650" xr:uid="{AF7CEB4B-AB08-45F5-8AA9-A69DBCFD03CE}"/>
    <cellStyle name="Normal 4 4 4 2 7 3" xfId="30096" xr:uid="{9B3A1814-E441-42A4-8941-D9981383EC5C}"/>
    <cellStyle name="Normal 4 4 4 2 7 4" xfId="13209" xr:uid="{A7042B52-E514-4542-BC64-B6C0A7ABA949}"/>
    <cellStyle name="Normal 4 4 4 2 8" xfId="17432" xr:uid="{D549BFD3-72DA-4D2A-BB7E-ACD076121B58}"/>
    <cellStyle name="Normal 4 4 4 2 9" xfId="25876" xr:uid="{BC18E5CC-D05D-4C52-BF96-8234A55669D8}"/>
    <cellStyle name="Normal 4 4 4 3" xfId="866" xr:uid="{00000000-0005-0000-0000-0000C9150000}"/>
    <cellStyle name="Normal 4 4 4 3 2" xfId="3101" xr:uid="{00000000-0005-0000-0000-0000CA150000}"/>
    <cellStyle name="Normal 4 4 4 3 2 2" xfId="7324" xr:uid="{00000000-0005-0000-0000-0000CB150000}"/>
    <cellStyle name="Normal 4 4 4 3 2 2 2" xfId="24207" xr:uid="{44B39FA9-F3F7-4192-878C-1B89FFC82646}"/>
    <cellStyle name="Normal 4 4 4 3 2 2 3" xfId="32653" xr:uid="{917F24D5-A592-4AB0-B347-9BE2085D7261}"/>
    <cellStyle name="Normal 4 4 4 3 2 2 4" xfId="15766" xr:uid="{BF3B45D8-415E-4523-8045-499D1980BB0E}"/>
    <cellStyle name="Normal 4 4 4 3 2 3" xfId="19989" xr:uid="{6F6D5911-D686-4EA9-857F-4B559C23069A}"/>
    <cellStyle name="Normal 4 4 4 3 2 4" xfId="28436" xr:uid="{56FA9B63-6C16-4034-8424-3FCE27139853}"/>
    <cellStyle name="Normal 4 4 4 3 2 5" xfId="11548" xr:uid="{78766541-C81D-4597-8A72-187910E541A1}"/>
    <cellStyle name="Normal 4 4 4 3 3" xfId="5179" xr:uid="{00000000-0005-0000-0000-0000CC150000}"/>
    <cellStyle name="Normal 4 4 4 3 3 2" xfId="22062" xr:uid="{C84531FB-47D3-4739-81B3-1251C47FC4F6}"/>
    <cellStyle name="Normal 4 4 4 3 3 3" xfId="30508" xr:uid="{2ED95A23-ED2D-482F-B5B9-A5D708E9D3C9}"/>
    <cellStyle name="Normal 4 4 4 3 3 4" xfId="13621" xr:uid="{CEC2DE7B-4861-4066-9AFC-FD0FECAD85D7}"/>
    <cellStyle name="Normal 4 4 4 3 4" xfId="17844" xr:uid="{ED61D4A6-2A56-49EC-BDDB-1BFC84207FC8}"/>
    <cellStyle name="Normal 4 4 4 3 5" xfId="26289" xr:uid="{E48F5C7B-8034-4AB0-87F0-3B88D0A4DF57}"/>
    <cellStyle name="Normal 4 4 4 3 6" xfId="9403" xr:uid="{9485C317-9695-433F-9C0D-2C0EC787F123}"/>
    <cellStyle name="Normal 4 4 4 4" xfId="1284" xr:uid="{00000000-0005-0000-0000-0000CD150000}"/>
    <cellStyle name="Normal 4 4 4 4 2" xfId="3514" xr:uid="{00000000-0005-0000-0000-0000CE150000}"/>
    <cellStyle name="Normal 4 4 4 4 2 2" xfId="7737" xr:uid="{00000000-0005-0000-0000-0000CF150000}"/>
    <cellStyle name="Normal 4 4 4 4 2 2 2" xfId="24620" xr:uid="{C755513B-D0E8-4C7F-AE80-BC38B30A41D0}"/>
    <cellStyle name="Normal 4 4 4 4 2 2 3" xfId="33066" xr:uid="{01859BC7-C6BB-47F1-8B67-30DC81BFC689}"/>
    <cellStyle name="Normal 4 4 4 4 2 2 4" xfId="16179" xr:uid="{D6959ADF-ED54-4BEB-90E8-E142DCF9DC6D}"/>
    <cellStyle name="Normal 4 4 4 4 2 3" xfId="20402" xr:uid="{BA735142-95DD-43CB-B0C9-0457FB074E7D}"/>
    <cellStyle name="Normal 4 4 4 4 2 4" xfId="28849" xr:uid="{8DFB1404-616D-4E68-B124-7D5786668F3C}"/>
    <cellStyle name="Normal 4 4 4 4 2 5" xfId="11961" xr:uid="{331ED6F3-A8C1-472A-B7E5-DAF34716F783}"/>
    <cellStyle name="Normal 4 4 4 4 3" xfId="5592" xr:uid="{00000000-0005-0000-0000-0000D0150000}"/>
    <cellStyle name="Normal 4 4 4 4 3 2" xfId="22475" xr:uid="{9884D745-2896-44C5-AD3A-E2C81A9FC513}"/>
    <cellStyle name="Normal 4 4 4 4 3 3" xfId="30921" xr:uid="{98614530-7FF3-47E9-9A4B-5623B59235F4}"/>
    <cellStyle name="Normal 4 4 4 4 3 4" xfId="14034" xr:uid="{DD2E4981-D3F0-4A59-A6DF-DB7C974CF00B}"/>
    <cellStyle name="Normal 4 4 4 4 4" xfId="18257" xr:uid="{EFA7FD62-BECC-4F1C-A5B6-0ADADB71AA13}"/>
    <cellStyle name="Normal 4 4 4 4 5" xfId="26702" xr:uid="{A263C9E9-45CA-4BA5-8202-1949E0E1CF26}"/>
    <cellStyle name="Normal 4 4 4 4 6" xfId="9816" xr:uid="{3B497C6F-606B-4B87-9124-8270585A4374}"/>
    <cellStyle name="Normal 4 4 4 5" xfId="1697" xr:uid="{00000000-0005-0000-0000-0000D1150000}"/>
    <cellStyle name="Normal 4 4 4 5 2" xfId="3927" xr:uid="{00000000-0005-0000-0000-0000D2150000}"/>
    <cellStyle name="Normal 4 4 4 5 2 2" xfId="8150" xr:uid="{00000000-0005-0000-0000-0000D3150000}"/>
    <cellStyle name="Normal 4 4 4 5 2 2 2" xfId="25033" xr:uid="{F54F65D1-E10B-4FA2-8AEE-EB9E0563FC5F}"/>
    <cellStyle name="Normal 4 4 4 5 2 2 3" xfId="33479" xr:uid="{10AB7F99-7E3E-4CB8-837C-3C45C1B06ED3}"/>
    <cellStyle name="Normal 4 4 4 5 2 2 4" xfId="16592" xr:uid="{AF152B10-D199-46FF-AF4D-DEE3BB77DD59}"/>
    <cellStyle name="Normal 4 4 4 5 2 3" xfId="20815" xr:uid="{7F488E30-78BB-49E7-9AE4-69A71D836571}"/>
    <cellStyle name="Normal 4 4 4 5 2 4" xfId="29262" xr:uid="{870910EA-7E22-4280-9EA9-B526011B03D5}"/>
    <cellStyle name="Normal 4 4 4 5 2 5" xfId="12374" xr:uid="{E76602D8-9D2B-4D1A-A144-1B487C9360D9}"/>
    <cellStyle name="Normal 4 4 4 5 3" xfId="6005" xr:uid="{00000000-0005-0000-0000-0000D4150000}"/>
    <cellStyle name="Normal 4 4 4 5 3 2" xfId="22888" xr:uid="{CA62E652-B1B0-4B42-B51C-9C74BF599A1C}"/>
    <cellStyle name="Normal 4 4 4 5 3 3" xfId="31334" xr:uid="{5BCA78D0-733C-4B7D-A8D8-28BE327990E2}"/>
    <cellStyle name="Normal 4 4 4 5 3 4" xfId="14447" xr:uid="{7AEFA48B-1919-4A79-9199-0C03A7DEAC04}"/>
    <cellStyle name="Normal 4 4 4 5 4" xfId="18670" xr:uid="{B765A033-3CB5-4A52-9BB2-3F41440666FD}"/>
    <cellStyle name="Normal 4 4 4 5 5" xfId="27115" xr:uid="{91902970-CBE0-44C5-B180-76491B58AF23}"/>
    <cellStyle name="Normal 4 4 4 5 6" xfId="10229" xr:uid="{AD3CAC0B-CB3A-4ADD-822B-8123F674F65E}"/>
    <cellStyle name="Normal 4 4 4 6" xfId="2111" xr:uid="{00000000-0005-0000-0000-0000D5150000}"/>
    <cellStyle name="Normal 4 4 4 6 2" xfId="4340" xr:uid="{00000000-0005-0000-0000-0000D6150000}"/>
    <cellStyle name="Normal 4 4 4 6 2 2" xfId="8563" xr:uid="{00000000-0005-0000-0000-0000D7150000}"/>
    <cellStyle name="Normal 4 4 4 6 2 2 2" xfId="25446" xr:uid="{EB4C3443-B395-4B01-9EBA-BF015A1B63E5}"/>
    <cellStyle name="Normal 4 4 4 6 2 2 3" xfId="33892" xr:uid="{F58DAF55-7DCF-4360-A7A5-8DBFAD9A06F9}"/>
    <cellStyle name="Normal 4 4 4 6 2 2 4" xfId="17005" xr:uid="{1EB4CC45-FE0E-4A1D-8CCD-F9E54DEB6472}"/>
    <cellStyle name="Normal 4 4 4 6 2 3" xfId="21228" xr:uid="{57728730-028D-4221-A50D-8891F03BCDE7}"/>
    <cellStyle name="Normal 4 4 4 6 2 4" xfId="29675" xr:uid="{E5BC9EB2-D3F9-44CB-8240-65DA4129D0B1}"/>
    <cellStyle name="Normal 4 4 4 6 2 5" xfId="12787" xr:uid="{BFEE1330-A4AE-44A7-ADDD-30987068237E}"/>
    <cellStyle name="Normal 4 4 4 6 3" xfId="6418" xr:uid="{00000000-0005-0000-0000-0000D8150000}"/>
    <cellStyle name="Normal 4 4 4 6 3 2" xfId="23301" xr:uid="{9B4A65DC-7D5D-4398-ABBA-51AA0E05F525}"/>
    <cellStyle name="Normal 4 4 4 6 3 3" xfId="31747" xr:uid="{12CF744D-20E9-4A78-B0D8-D081815E7D06}"/>
    <cellStyle name="Normal 4 4 4 6 3 4" xfId="14860" xr:uid="{29E88F7B-2933-4E96-8636-1545AFF447F4}"/>
    <cellStyle name="Normal 4 4 4 6 4" xfId="19083" xr:uid="{3C59B49F-D88F-4734-A0BF-4FAC89DA0855}"/>
    <cellStyle name="Normal 4 4 4 6 5" xfId="27528" xr:uid="{990AB69A-0A76-4E78-B06C-7EA456C80D69}"/>
    <cellStyle name="Normal 4 4 4 6 6" xfId="10642" xr:uid="{36D891EF-A626-4D7C-BADB-D1CB2F892C74}"/>
    <cellStyle name="Normal 4 4 4 7" xfId="2547" xr:uid="{00000000-0005-0000-0000-0000D9150000}"/>
    <cellStyle name="Normal 4 4 4 7 2" xfId="6831" xr:uid="{00000000-0005-0000-0000-0000DA150000}"/>
    <cellStyle name="Normal 4 4 4 7 2 2" xfId="23714" xr:uid="{172077BE-CD6A-4A80-81B2-034F2F174E68}"/>
    <cellStyle name="Normal 4 4 4 7 2 3" xfId="32160" xr:uid="{B8CFF8D9-51A1-45AF-9D25-754F8B4512D4}"/>
    <cellStyle name="Normal 4 4 4 7 2 4" xfId="15273" xr:uid="{EE66085A-4B5B-43A7-BC5E-B2AADE33D3DD}"/>
    <cellStyle name="Normal 4 4 4 7 3" xfId="19496" xr:uid="{71CDCE12-387D-4075-905C-7F7437D1D081}"/>
    <cellStyle name="Normal 4 4 4 7 4" xfId="27941" xr:uid="{A6C760B1-C73E-4776-B22E-1077FD00179B}"/>
    <cellStyle name="Normal 4 4 4 7 5" xfId="11055" xr:uid="{055767D2-E499-445A-9E1B-7CC0EC7FA6A9}"/>
    <cellStyle name="Normal 4 4 4 8" xfId="4766" xr:uid="{00000000-0005-0000-0000-0000DB150000}"/>
    <cellStyle name="Normal 4 4 4 8 2" xfId="21649" xr:uid="{7945A5DA-87BA-449E-91A1-E19DBEF63512}"/>
    <cellStyle name="Normal 4 4 4 8 3" xfId="30095" xr:uid="{5E07300E-3345-40BB-8839-F1FEEF13DDFD}"/>
    <cellStyle name="Normal 4 4 4 8 4" xfId="13208" xr:uid="{5F5C09A7-F702-458A-8D8F-B77B4CCC857A}"/>
    <cellStyle name="Normal 4 4 4 9" xfId="17431" xr:uid="{2D53D1D2-3DE0-4B2D-9DB9-0F6A8BAA0BAA}"/>
    <cellStyle name="Normal 4 4 5" xfId="393" xr:uid="{00000000-0005-0000-0000-0000DC150000}"/>
    <cellStyle name="Normal 4 4 5 10" xfId="8992" xr:uid="{591F760A-9C87-4F4D-9C4F-02C750E63754}"/>
    <cellStyle name="Normal 4 4 5 2" xfId="868" xr:uid="{00000000-0005-0000-0000-0000DD150000}"/>
    <cellStyle name="Normal 4 4 5 2 2" xfId="3103" xr:uid="{00000000-0005-0000-0000-0000DE150000}"/>
    <cellStyle name="Normal 4 4 5 2 2 2" xfId="7326" xr:uid="{00000000-0005-0000-0000-0000DF150000}"/>
    <cellStyle name="Normal 4 4 5 2 2 2 2" xfId="24209" xr:uid="{588F24DD-7958-4136-9274-7A1A8E09344A}"/>
    <cellStyle name="Normal 4 4 5 2 2 2 3" xfId="32655" xr:uid="{F3D15071-55B9-486A-8D3F-DE29754A857B}"/>
    <cellStyle name="Normal 4 4 5 2 2 2 4" xfId="15768" xr:uid="{8AE5C733-B94D-453C-8D66-65E2D73D88CD}"/>
    <cellStyle name="Normal 4 4 5 2 2 3" xfId="19991" xr:uid="{7C8528A8-781C-42D2-9680-470032A16876}"/>
    <cellStyle name="Normal 4 4 5 2 2 4" xfId="28438" xr:uid="{971F0F5A-FF12-4B15-91C7-BCE0852205EB}"/>
    <cellStyle name="Normal 4 4 5 2 2 5" xfId="11550" xr:uid="{54FFDD30-7650-401A-B931-D7460779ED36}"/>
    <cellStyle name="Normal 4 4 5 2 3" xfId="5181" xr:uid="{00000000-0005-0000-0000-0000E0150000}"/>
    <cellStyle name="Normal 4 4 5 2 3 2" xfId="22064" xr:uid="{F254B964-028F-44B5-94A3-6AFB4CC14A56}"/>
    <cellStyle name="Normal 4 4 5 2 3 3" xfId="30510" xr:uid="{04252B2B-509D-4BAE-8865-722B8A4980D1}"/>
    <cellStyle name="Normal 4 4 5 2 3 4" xfId="13623" xr:uid="{032A2CB6-B434-4C22-863D-EB066D357C19}"/>
    <cellStyle name="Normal 4 4 5 2 4" xfId="17846" xr:uid="{6246BE73-D61E-4234-A28E-7AC40DC1D466}"/>
    <cellStyle name="Normal 4 4 5 2 5" xfId="26291" xr:uid="{B9BE0481-18C1-46DA-8A6B-9C0C31629853}"/>
    <cellStyle name="Normal 4 4 5 2 6" xfId="9405" xr:uid="{5478CC51-2AF1-409C-8C7B-5FCF410562FD}"/>
    <cellStyle name="Normal 4 4 5 3" xfId="1286" xr:uid="{00000000-0005-0000-0000-0000E1150000}"/>
    <cellStyle name="Normal 4 4 5 3 2" xfId="3516" xr:uid="{00000000-0005-0000-0000-0000E2150000}"/>
    <cellStyle name="Normal 4 4 5 3 2 2" xfId="7739" xr:uid="{00000000-0005-0000-0000-0000E3150000}"/>
    <cellStyle name="Normal 4 4 5 3 2 2 2" xfId="24622" xr:uid="{7EEA302B-4012-42FE-946F-9A899D6623AA}"/>
    <cellStyle name="Normal 4 4 5 3 2 2 3" xfId="33068" xr:uid="{4CC7FD6B-9F30-4864-9BD4-D03789723823}"/>
    <cellStyle name="Normal 4 4 5 3 2 2 4" xfId="16181" xr:uid="{CB2C2517-15E4-4F63-8609-610BF7BAEF28}"/>
    <cellStyle name="Normal 4 4 5 3 2 3" xfId="20404" xr:uid="{1707C6B3-281E-40C8-92F8-6F4BC753478D}"/>
    <cellStyle name="Normal 4 4 5 3 2 4" xfId="28851" xr:uid="{B9B9BC43-B6B5-4B03-BA11-CEFDBF6328E4}"/>
    <cellStyle name="Normal 4 4 5 3 2 5" xfId="11963" xr:uid="{F3F8B4E8-07D8-43F4-820B-670559C1B279}"/>
    <cellStyle name="Normal 4 4 5 3 3" xfId="5594" xr:uid="{00000000-0005-0000-0000-0000E4150000}"/>
    <cellStyle name="Normal 4 4 5 3 3 2" xfId="22477" xr:uid="{744F6D9C-1392-4B95-A46F-B220DADA7692}"/>
    <cellStyle name="Normal 4 4 5 3 3 3" xfId="30923" xr:uid="{66CF2B76-0032-43B2-B87F-90598BB22F1F}"/>
    <cellStyle name="Normal 4 4 5 3 3 4" xfId="14036" xr:uid="{B318D1B3-CD0E-4C60-8EBB-9D3D684271D1}"/>
    <cellStyle name="Normal 4 4 5 3 4" xfId="18259" xr:uid="{BB56D8BC-018C-4360-8BD3-9AE822504C32}"/>
    <cellStyle name="Normal 4 4 5 3 5" xfId="26704" xr:uid="{499F0FB2-B67D-4CA6-8F98-F7F09637FE15}"/>
    <cellStyle name="Normal 4 4 5 3 6" xfId="9818" xr:uid="{7A482785-9DDB-4274-8799-E9B0AF090B4E}"/>
    <cellStyle name="Normal 4 4 5 4" xfId="1699" xr:uid="{00000000-0005-0000-0000-0000E5150000}"/>
    <cellStyle name="Normal 4 4 5 4 2" xfId="3929" xr:uid="{00000000-0005-0000-0000-0000E6150000}"/>
    <cellStyle name="Normal 4 4 5 4 2 2" xfId="8152" xr:uid="{00000000-0005-0000-0000-0000E7150000}"/>
    <cellStyle name="Normal 4 4 5 4 2 2 2" xfId="25035" xr:uid="{0E82D324-7FC3-486D-AE07-E60D03023599}"/>
    <cellStyle name="Normal 4 4 5 4 2 2 3" xfId="33481" xr:uid="{76501A76-828F-4DA8-AD8B-7C28442C357A}"/>
    <cellStyle name="Normal 4 4 5 4 2 2 4" xfId="16594" xr:uid="{AB9F01DC-70B4-44C5-BCF2-6DFE21400694}"/>
    <cellStyle name="Normal 4 4 5 4 2 3" xfId="20817" xr:uid="{9C44D504-F6C3-48F1-A65D-E96E4015A905}"/>
    <cellStyle name="Normal 4 4 5 4 2 4" xfId="29264" xr:uid="{A5688D08-CF97-402B-A32E-F65B4E2DC8AB}"/>
    <cellStyle name="Normal 4 4 5 4 2 5" xfId="12376" xr:uid="{677C9C3E-0882-4F0E-843F-9F2B798D9F26}"/>
    <cellStyle name="Normal 4 4 5 4 3" xfId="6007" xr:uid="{00000000-0005-0000-0000-0000E8150000}"/>
    <cellStyle name="Normal 4 4 5 4 3 2" xfId="22890" xr:uid="{2C2967E4-38C6-49D2-B20B-EA7FA3A5F4A5}"/>
    <cellStyle name="Normal 4 4 5 4 3 3" xfId="31336" xr:uid="{8E56E731-BDBA-480A-8D95-8CDC6653EFD7}"/>
    <cellStyle name="Normal 4 4 5 4 3 4" xfId="14449" xr:uid="{3D1F0D8F-78F3-437F-9E8E-AE2A4B28BE8E}"/>
    <cellStyle name="Normal 4 4 5 4 4" xfId="18672" xr:uid="{6096720F-4F1D-426A-91FA-83905AB50F53}"/>
    <cellStyle name="Normal 4 4 5 4 5" xfId="27117" xr:uid="{5B346FB0-8057-4AE2-B95E-AD9F027675B3}"/>
    <cellStyle name="Normal 4 4 5 4 6" xfId="10231" xr:uid="{69D7F586-94B8-47B5-920E-83B3EC917949}"/>
    <cellStyle name="Normal 4 4 5 5" xfId="2113" xr:uid="{00000000-0005-0000-0000-0000E9150000}"/>
    <cellStyle name="Normal 4 4 5 5 2" xfId="4342" xr:uid="{00000000-0005-0000-0000-0000EA150000}"/>
    <cellStyle name="Normal 4 4 5 5 2 2" xfId="8565" xr:uid="{00000000-0005-0000-0000-0000EB150000}"/>
    <cellStyle name="Normal 4 4 5 5 2 2 2" xfId="25448" xr:uid="{DABD9C8A-6DF9-44F3-A9F0-E253544A76A0}"/>
    <cellStyle name="Normal 4 4 5 5 2 2 3" xfId="33894" xr:uid="{E3C13434-BA5D-475E-A544-1F240F933776}"/>
    <cellStyle name="Normal 4 4 5 5 2 2 4" xfId="17007" xr:uid="{3C3AC770-B64A-4993-93E8-454816FB329D}"/>
    <cellStyle name="Normal 4 4 5 5 2 3" xfId="21230" xr:uid="{DD24E0D4-6865-46BF-9CEB-0955D5C27B97}"/>
    <cellStyle name="Normal 4 4 5 5 2 4" xfId="29677" xr:uid="{F9DEAB59-5EF9-467B-8BE8-E8EC2ECB1290}"/>
    <cellStyle name="Normal 4 4 5 5 2 5" xfId="12789" xr:uid="{7C75CE29-7487-4801-96A5-9F6D037E1A99}"/>
    <cellStyle name="Normal 4 4 5 5 3" xfId="6420" xr:uid="{00000000-0005-0000-0000-0000EC150000}"/>
    <cellStyle name="Normal 4 4 5 5 3 2" xfId="23303" xr:uid="{AF741BCA-CA09-4668-A564-38E643FF8E30}"/>
    <cellStyle name="Normal 4 4 5 5 3 3" xfId="31749" xr:uid="{E550549D-0E78-41FD-8FC0-07434FA89664}"/>
    <cellStyle name="Normal 4 4 5 5 3 4" xfId="14862" xr:uid="{E2FFB36B-BA67-4770-A61C-2391CBA6ADCF}"/>
    <cellStyle name="Normal 4 4 5 5 4" xfId="19085" xr:uid="{4DAB4816-BF0E-4E4C-917B-032897EE99BA}"/>
    <cellStyle name="Normal 4 4 5 5 5" xfId="27530" xr:uid="{7193F85C-C82A-4118-89D9-69A26DB7AAF8}"/>
    <cellStyle name="Normal 4 4 5 5 6" xfId="10644" xr:uid="{BF4A7FCB-C2B4-46FC-A424-07074541A121}"/>
    <cellStyle name="Normal 4 4 5 6" xfId="2549" xr:uid="{00000000-0005-0000-0000-0000ED150000}"/>
    <cellStyle name="Normal 4 4 5 6 2" xfId="6833" xr:uid="{00000000-0005-0000-0000-0000EE150000}"/>
    <cellStyle name="Normal 4 4 5 6 2 2" xfId="23716" xr:uid="{41BA8D19-894E-4949-AC27-D9EBFC38C7F3}"/>
    <cellStyle name="Normal 4 4 5 6 2 3" xfId="32162" xr:uid="{B2946F9D-A589-4754-BD29-15BAB108E953}"/>
    <cellStyle name="Normal 4 4 5 6 2 4" xfId="15275" xr:uid="{3B5A0585-2AC3-460A-860C-65F4E216D9E3}"/>
    <cellStyle name="Normal 4 4 5 6 3" xfId="19498" xr:uid="{BCEE938C-9903-4DAF-8892-C31F3D55A776}"/>
    <cellStyle name="Normal 4 4 5 6 4" xfId="27943" xr:uid="{4EC68415-511C-406C-B9B7-614C9E449D31}"/>
    <cellStyle name="Normal 4 4 5 6 5" xfId="11057" xr:uid="{61E95626-25C8-4D9C-962D-A4ACE136A522}"/>
    <cellStyle name="Normal 4 4 5 7" xfId="4768" xr:uid="{00000000-0005-0000-0000-0000EF150000}"/>
    <cellStyle name="Normal 4 4 5 7 2" xfId="21651" xr:uid="{07358E9F-3603-4C25-9611-E47AEA73A66B}"/>
    <cellStyle name="Normal 4 4 5 7 3" xfId="30097" xr:uid="{83EA710A-A15E-4552-99A1-197C76E1358A}"/>
    <cellStyle name="Normal 4 4 5 7 4" xfId="13210" xr:uid="{D41EA242-95D6-4C03-B2EC-1B00C2E61C4B}"/>
    <cellStyle name="Normal 4 4 5 8" xfId="17433" xr:uid="{5C8BF260-2359-4971-984B-8C01B1944DE8}"/>
    <cellStyle name="Normal 4 4 5 9" xfId="25877" xr:uid="{DDFCDC7F-1727-4FCD-9A37-E843723A353C}"/>
    <cellStyle name="Normal 4 4 6" xfId="853" xr:uid="{00000000-0005-0000-0000-0000F0150000}"/>
    <cellStyle name="Normal 4 4 6 2" xfId="3088" xr:uid="{00000000-0005-0000-0000-0000F1150000}"/>
    <cellStyle name="Normal 4 4 6 2 2" xfId="7311" xr:uid="{00000000-0005-0000-0000-0000F2150000}"/>
    <cellStyle name="Normal 4 4 6 2 2 2" xfId="24194" xr:uid="{593478F5-B341-4CDB-921A-526DC14CE204}"/>
    <cellStyle name="Normal 4 4 6 2 2 3" xfId="32640" xr:uid="{DB3F851F-6183-4823-AD8B-760DE4C317B2}"/>
    <cellStyle name="Normal 4 4 6 2 2 4" xfId="15753" xr:uid="{80416901-5DA6-4349-BC51-30519DB2FF06}"/>
    <cellStyle name="Normal 4 4 6 2 3" xfId="19976" xr:uid="{71D8801D-FA57-47E8-B09C-960C99883807}"/>
    <cellStyle name="Normal 4 4 6 2 4" xfId="28423" xr:uid="{F5E3CC6E-20D1-4FE9-B0F8-50D00344BFB6}"/>
    <cellStyle name="Normal 4 4 6 2 5" xfId="11535" xr:uid="{D1269761-D741-4537-B6AB-5C7F22504862}"/>
    <cellStyle name="Normal 4 4 6 3" xfId="5166" xr:uid="{00000000-0005-0000-0000-0000F3150000}"/>
    <cellStyle name="Normal 4 4 6 3 2" xfId="22049" xr:uid="{A451E526-6DC5-44B0-BB08-7A29E00E6F24}"/>
    <cellStyle name="Normal 4 4 6 3 3" xfId="30495" xr:uid="{717DCED1-5FA8-4DF3-A0B1-DB359A8F1F07}"/>
    <cellStyle name="Normal 4 4 6 3 4" xfId="13608" xr:uid="{55C8F656-F2D3-43E0-8053-493BDB5440DB}"/>
    <cellStyle name="Normal 4 4 6 4" xfId="17831" xr:uid="{E555A459-2CDF-4F9E-86B5-0D13ED7A177B}"/>
    <cellStyle name="Normal 4 4 6 5" xfId="26276" xr:uid="{EECDE5CF-274B-417B-899F-0A1FCAAE08B3}"/>
    <cellStyle name="Normal 4 4 6 6" xfId="9390" xr:uid="{B843432A-3452-4993-A905-26939A34C3EA}"/>
    <cellStyle name="Normal 4 4 7" xfId="1271" xr:uid="{00000000-0005-0000-0000-0000F4150000}"/>
    <cellStyle name="Normal 4 4 7 2" xfId="3501" xr:uid="{00000000-0005-0000-0000-0000F5150000}"/>
    <cellStyle name="Normal 4 4 7 2 2" xfId="7724" xr:uid="{00000000-0005-0000-0000-0000F6150000}"/>
    <cellStyle name="Normal 4 4 7 2 2 2" xfId="24607" xr:uid="{C4BFCC5D-839F-4036-9571-423E208AA84A}"/>
    <cellStyle name="Normal 4 4 7 2 2 3" xfId="33053" xr:uid="{F12D5335-C861-4419-8D79-8C95E3B1537F}"/>
    <cellStyle name="Normal 4 4 7 2 2 4" xfId="16166" xr:uid="{AB560C24-3B48-421C-B79E-CA166D48A60A}"/>
    <cellStyle name="Normal 4 4 7 2 3" xfId="20389" xr:uid="{4E4AB088-D134-4961-A520-05BAB5EB3EAE}"/>
    <cellStyle name="Normal 4 4 7 2 4" xfId="28836" xr:uid="{CA58752A-EFE1-4B0F-B7CB-B25E81318D2A}"/>
    <cellStyle name="Normal 4 4 7 2 5" xfId="11948" xr:uid="{5954F739-3962-407D-82DA-776D612B61C6}"/>
    <cellStyle name="Normal 4 4 7 3" xfId="5579" xr:uid="{00000000-0005-0000-0000-0000F7150000}"/>
    <cellStyle name="Normal 4 4 7 3 2" xfId="22462" xr:uid="{EB1063F1-4C6A-4866-961C-0E38EA94DF79}"/>
    <cellStyle name="Normal 4 4 7 3 3" xfId="30908" xr:uid="{A026AE13-49E8-437F-85FE-0B62F4C09602}"/>
    <cellStyle name="Normal 4 4 7 3 4" xfId="14021" xr:uid="{9CA1D21E-DAE5-4790-A60D-97D05C50B9C4}"/>
    <cellStyle name="Normal 4 4 7 4" xfId="18244" xr:uid="{15E67F89-DE2A-4DE9-BD6F-69B177415DE8}"/>
    <cellStyle name="Normal 4 4 7 5" xfId="26689" xr:uid="{34DB8E86-D5FF-4CF2-A551-BBF43B252B1B}"/>
    <cellStyle name="Normal 4 4 7 6" xfId="9803" xr:uid="{4B160D3B-63E7-4515-A931-A00D24E8C00D}"/>
    <cellStyle name="Normal 4 4 8" xfId="1684" xr:uid="{00000000-0005-0000-0000-0000F8150000}"/>
    <cellStyle name="Normal 4 4 8 2" xfId="3914" xr:uid="{00000000-0005-0000-0000-0000F9150000}"/>
    <cellStyle name="Normal 4 4 8 2 2" xfId="8137" xr:uid="{00000000-0005-0000-0000-0000FA150000}"/>
    <cellStyle name="Normal 4 4 8 2 2 2" xfId="25020" xr:uid="{E5F08344-DB87-4017-A1B9-58F0F83E91CC}"/>
    <cellStyle name="Normal 4 4 8 2 2 3" xfId="33466" xr:uid="{EDBDBD7D-F643-400E-9EDE-25CB19FB00BA}"/>
    <cellStyle name="Normal 4 4 8 2 2 4" xfId="16579" xr:uid="{0C4AB016-7A60-4A10-92D2-4DEB13077565}"/>
    <cellStyle name="Normal 4 4 8 2 3" xfId="20802" xr:uid="{177671F1-8B4B-4FCD-87FC-543AC3E70AC6}"/>
    <cellStyle name="Normal 4 4 8 2 4" xfId="29249" xr:uid="{A620573B-812A-4769-BC5D-9B30F355685A}"/>
    <cellStyle name="Normal 4 4 8 2 5" xfId="12361" xr:uid="{B5AEE228-BADF-436D-8464-A3AA023ECB54}"/>
    <cellStyle name="Normal 4 4 8 3" xfId="5992" xr:uid="{00000000-0005-0000-0000-0000FB150000}"/>
    <cellStyle name="Normal 4 4 8 3 2" xfId="22875" xr:uid="{2FF77D70-FA18-44C2-B707-5B004E7E22BC}"/>
    <cellStyle name="Normal 4 4 8 3 3" xfId="31321" xr:uid="{8C7EAC58-F517-46E7-B104-3C1398189E60}"/>
    <cellStyle name="Normal 4 4 8 3 4" xfId="14434" xr:uid="{F804834B-E506-47D7-AF4D-B250B49A06B7}"/>
    <cellStyle name="Normal 4 4 8 4" xfId="18657" xr:uid="{B8F7A99E-F5B1-4877-8403-58631B0AF85D}"/>
    <cellStyle name="Normal 4 4 8 5" xfId="27102" xr:uid="{1F157191-A217-41E8-B381-1D0725779AEC}"/>
    <cellStyle name="Normal 4 4 8 6" xfId="10216" xr:uid="{0F1741DD-3949-4074-BDF8-3A97C44E6C68}"/>
    <cellStyle name="Normal 4 4 9" xfId="2098" xr:uid="{00000000-0005-0000-0000-0000FC150000}"/>
    <cellStyle name="Normal 4 4 9 2" xfId="4327" xr:uid="{00000000-0005-0000-0000-0000FD150000}"/>
    <cellStyle name="Normal 4 4 9 2 2" xfId="8550" xr:uid="{00000000-0005-0000-0000-0000FE150000}"/>
    <cellStyle name="Normal 4 4 9 2 2 2" xfId="25433" xr:uid="{17502E1C-8C78-41EE-9BC6-86AEFE094D99}"/>
    <cellStyle name="Normal 4 4 9 2 2 3" xfId="33879" xr:uid="{F146DFA7-1588-456A-99A3-EC86D1BC876B}"/>
    <cellStyle name="Normal 4 4 9 2 2 4" xfId="16992" xr:uid="{08173F50-7F9B-4161-B339-559A0E486971}"/>
    <cellStyle name="Normal 4 4 9 2 3" xfId="21215" xr:uid="{A9111779-1619-4B7B-A6BC-A2DCD8C5BA9D}"/>
    <cellStyle name="Normal 4 4 9 2 4" xfId="29662" xr:uid="{EDC402D5-384F-4D1C-AFFB-4CA54FE25E04}"/>
    <cellStyle name="Normal 4 4 9 2 5" xfId="12774" xr:uid="{B0A31E54-7A21-4BF0-BEA6-96D0B627B57C}"/>
    <cellStyle name="Normal 4 4 9 3" xfId="6405" xr:uid="{00000000-0005-0000-0000-0000FF150000}"/>
    <cellStyle name="Normal 4 4 9 3 2" xfId="23288" xr:uid="{7F3846D0-CF13-4D09-AF2F-3760D976A802}"/>
    <cellStyle name="Normal 4 4 9 3 3" xfId="31734" xr:uid="{3D971631-50FC-41AA-A869-BCB6D94D421A}"/>
    <cellStyle name="Normal 4 4 9 3 4" xfId="14847" xr:uid="{3C9724BC-5A42-4E5A-959F-FFCCEE6F19DC}"/>
    <cellStyle name="Normal 4 4 9 4" xfId="19070" xr:uid="{F5E4C237-06C1-44F1-84FA-989917551599}"/>
    <cellStyle name="Normal 4 4 9 5" xfId="27515" xr:uid="{35549050-5CE6-4FB0-A0C7-3B48AB9720EA}"/>
    <cellStyle name="Normal 4 4 9 6" xfId="10629" xr:uid="{E76492C4-1FAA-43C1-8F82-34483120334A}"/>
    <cellStyle name="Normal 4 5" xfId="394" xr:uid="{00000000-0005-0000-0000-000000160000}"/>
    <cellStyle name="Normal 4 5 2" xfId="34167" xr:uid="{BFE5E0E3-C4C0-4992-90D3-9A535CC3F473}"/>
    <cellStyle name="Normal 4 6" xfId="395" xr:uid="{00000000-0005-0000-0000-000001160000}"/>
    <cellStyle name="Normal 4 6 10" xfId="4769" xr:uid="{00000000-0005-0000-0000-000002160000}"/>
    <cellStyle name="Normal 4 6 10 2" xfId="21652" xr:uid="{99C02BA4-71B6-4DD4-B07B-5E029696BB79}"/>
    <cellStyle name="Normal 4 6 10 3" xfId="30098" xr:uid="{8F74C56E-44B1-423E-AA29-988BF5540328}"/>
    <cellStyle name="Normal 4 6 10 4" xfId="13211" xr:uid="{27BDF51D-0B4F-4544-A33C-915338DE93A4}"/>
    <cellStyle name="Normal 4 6 11" xfId="17434" xr:uid="{C9CABD16-6E3B-4821-B9F2-303B67E85E41}"/>
    <cellStyle name="Normal 4 6 12" xfId="25878" xr:uid="{5BF239B9-6760-4169-9C6F-F635D1F64BD6}"/>
    <cellStyle name="Normal 4 6 13" xfId="8993" xr:uid="{B13449B2-A9FA-400D-B9BB-333BB0B1DE14}"/>
    <cellStyle name="Normal 4 6 2" xfId="396" xr:uid="{00000000-0005-0000-0000-000003160000}"/>
    <cellStyle name="Normal 4 6 2 10" xfId="17435" xr:uid="{7FB6C475-B8B7-43E7-A5C3-AEF04A1452B5}"/>
    <cellStyle name="Normal 4 6 2 11" xfId="25879" xr:uid="{42D6A1F6-D511-4807-8326-E5DCE3182C6B}"/>
    <cellStyle name="Normal 4 6 2 12" xfId="8994" xr:uid="{83E6BBE3-2CEC-42A3-A002-A772A8884EF6}"/>
    <cellStyle name="Normal 4 6 2 2" xfId="397" xr:uid="{00000000-0005-0000-0000-000004160000}"/>
    <cellStyle name="Normal 4 6 2 2 10" xfId="25880" xr:uid="{53E32921-66A9-48D2-8C69-D87CB2DE8F13}"/>
    <cellStyle name="Normal 4 6 2 2 11" xfId="8995" xr:uid="{1E5AB0D7-6489-43BF-B2F7-45B301655DA0}"/>
    <cellStyle name="Normal 4 6 2 2 2" xfId="398" xr:uid="{00000000-0005-0000-0000-000005160000}"/>
    <cellStyle name="Normal 4 6 2 2 2 10" xfId="8996" xr:uid="{4DF60A8D-71B4-4FBB-9054-13A7EA93BC98}"/>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24213" xr:uid="{8081B9F0-B7BC-437B-88A0-9ADFF027EEE7}"/>
    <cellStyle name="Normal 4 6 2 2 2 2 2 2 3" xfId="32659" xr:uid="{E8C0FE09-D27F-42F9-9902-1D17D61BB55E}"/>
    <cellStyle name="Normal 4 6 2 2 2 2 2 2 4" xfId="15772" xr:uid="{C9B09697-7E3D-4BC9-94B4-F2331A4B9596}"/>
    <cellStyle name="Normal 4 6 2 2 2 2 2 3" xfId="19995" xr:uid="{DCD4D19D-7686-4F10-B728-C18E3CB4EFBF}"/>
    <cellStyle name="Normal 4 6 2 2 2 2 2 4" xfId="28442" xr:uid="{FE413174-F2D2-4DCF-985C-21AAEDEDFF7E}"/>
    <cellStyle name="Normal 4 6 2 2 2 2 2 5" xfId="11554" xr:uid="{F6B9929E-69DA-41FD-A982-330CAC2A35A8}"/>
    <cellStyle name="Normal 4 6 2 2 2 2 3" xfId="5185" xr:uid="{00000000-0005-0000-0000-000009160000}"/>
    <cellStyle name="Normal 4 6 2 2 2 2 3 2" xfId="22068" xr:uid="{EE4D03D7-9919-4799-A5C1-4FC8FA7F7A30}"/>
    <cellStyle name="Normal 4 6 2 2 2 2 3 3" xfId="30514" xr:uid="{CF266066-A3AA-4C65-9A81-4279600B6FE5}"/>
    <cellStyle name="Normal 4 6 2 2 2 2 3 4" xfId="13627" xr:uid="{A1E84E34-A681-40ED-8BCA-A14A830F129C}"/>
    <cellStyle name="Normal 4 6 2 2 2 2 4" xfId="17850" xr:uid="{7C5BD4EC-568E-46B0-BECE-D24E04CA6841}"/>
    <cellStyle name="Normal 4 6 2 2 2 2 5" xfId="26295" xr:uid="{2EB111D4-6373-4CE8-9742-287E7C2240A7}"/>
    <cellStyle name="Normal 4 6 2 2 2 2 6" xfId="9409" xr:uid="{26965562-E4E3-43BD-B512-CAB2A1DFA49B}"/>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24626" xr:uid="{6316CE99-1E79-46BE-885B-8F12B2139747}"/>
    <cellStyle name="Normal 4 6 2 2 2 3 2 2 3" xfId="33072" xr:uid="{F31666BF-5233-4698-AD12-5BA27CB0323F}"/>
    <cellStyle name="Normal 4 6 2 2 2 3 2 2 4" xfId="16185" xr:uid="{C2C3D615-2796-4D47-8FEC-261C4B35669F}"/>
    <cellStyle name="Normal 4 6 2 2 2 3 2 3" xfId="20408" xr:uid="{376E579C-E75F-46A8-A84C-4674A515F5B1}"/>
    <cellStyle name="Normal 4 6 2 2 2 3 2 4" xfId="28855" xr:uid="{DC7549F0-B7F1-4A7F-AFEE-1DB6B5FA0406}"/>
    <cellStyle name="Normal 4 6 2 2 2 3 2 5" xfId="11967" xr:uid="{FBD0315C-D7E6-4EC5-8D66-72C1F17139F8}"/>
    <cellStyle name="Normal 4 6 2 2 2 3 3" xfId="5598" xr:uid="{00000000-0005-0000-0000-00000D160000}"/>
    <cellStyle name="Normal 4 6 2 2 2 3 3 2" xfId="22481" xr:uid="{93782532-A302-402F-9CBC-78CC06CF56AB}"/>
    <cellStyle name="Normal 4 6 2 2 2 3 3 3" xfId="30927" xr:uid="{7EFB577E-E762-4986-BBA7-4D96464D6CD2}"/>
    <cellStyle name="Normal 4 6 2 2 2 3 3 4" xfId="14040" xr:uid="{91387B9F-B05E-4C89-AEE6-1B9A3DF21722}"/>
    <cellStyle name="Normal 4 6 2 2 2 3 4" xfId="18263" xr:uid="{E8076EF4-2FA1-4F6E-8776-20D85439BE48}"/>
    <cellStyle name="Normal 4 6 2 2 2 3 5" xfId="26708" xr:uid="{A0F4C589-3A64-4EEB-AD54-3ADF743582A5}"/>
    <cellStyle name="Normal 4 6 2 2 2 3 6" xfId="9822" xr:uid="{07E2D2EF-53DF-4191-A107-3425CB9F3077}"/>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25039" xr:uid="{AC4E5BBB-13CD-47A1-9950-72F2957BB258}"/>
    <cellStyle name="Normal 4 6 2 2 2 4 2 2 3" xfId="33485" xr:uid="{DF72091A-9167-4B36-A2CE-A264C276BD2D}"/>
    <cellStyle name="Normal 4 6 2 2 2 4 2 2 4" xfId="16598" xr:uid="{43A74A7C-3238-4747-86FE-7A5F08E5F6F0}"/>
    <cellStyle name="Normal 4 6 2 2 2 4 2 3" xfId="20821" xr:uid="{1055FD05-D63F-4404-B791-475E9957A9E2}"/>
    <cellStyle name="Normal 4 6 2 2 2 4 2 4" xfId="29268" xr:uid="{C8FCDBB5-1E02-4F02-B60C-24B396EB964D}"/>
    <cellStyle name="Normal 4 6 2 2 2 4 2 5" xfId="12380" xr:uid="{C81AE9D7-094C-40A1-82AA-78D3C810BCEF}"/>
    <cellStyle name="Normal 4 6 2 2 2 4 3" xfId="6011" xr:uid="{00000000-0005-0000-0000-000011160000}"/>
    <cellStyle name="Normal 4 6 2 2 2 4 3 2" xfId="22894" xr:uid="{802E0A3A-4F41-4E69-9DC1-1A50803B5D48}"/>
    <cellStyle name="Normal 4 6 2 2 2 4 3 3" xfId="31340" xr:uid="{B4EEB307-E14B-461F-AB14-43C4D6FCD821}"/>
    <cellStyle name="Normal 4 6 2 2 2 4 3 4" xfId="14453" xr:uid="{4A6162F2-DA94-44B9-A0AB-99F2763630E7}"/>
    <cellStyle name="Normal 4 6 2 2 2 4 4" xfId="18676" xr:uid="{D5BC3F2B-C077-4C3A-BC28-93E75AB90A36}"/>
    <cellStyle name="Normal 4 6 2 2 2 4 5" xfId="27121" xr:uid="{0FD6C53F-6CAF-4A7B-8B39-A0EDF34714FA}"/>
    <cellStyle name="Normal 4 6 2 2 2 4 6" xfId="10235" xr:uid="{A842783B-BB90-4AE3-B045-97DD3E7C206D}"/>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25452" xr:uid="{3CC805DF-28B0-42B9-817E-1F08C7584CC7}"/>
    <cellStyle name="Normal 4 6 2 2 2 5 2 2 3" xfId="33898" xr:uid="{5F054051-8EBE-4C2A-B2B9-8C30083BC1BA}"/>
    <cellStyle name="Normal 4 6 2 2 2 5 2 2 4" xfId="17011" xr:uid="{5338327B-9CA1-4D16-B720-41DC83CF8C9E}"/>
    <cellStyle name="Normal 4 6 2 2 2 5 2 3" xfId="21234" xr:uid="{52DA216E-74FC-4B34-877E-F25442F9928E}"/>
    <cellStyle name="Normal 4 6 2 2 2 5 2 4" xfId="29681" xr:uid="{B169CA7F-EFC9-4328-93F8-E7782F21EF44}"/>
    <cellStyle name="Normal 4 6 2 2 2 5 2 5" xfId="12793" xr:uid="{4BB6116A-41BB-4524-9D74-54C2C14A7822}"/>
    <cellStyle name="Normal 4 6 2 2 2 5 3" xfId="6424" xr:uid="{00000000-0005-0000-0000-000015160000}"/>
    <cellStyle name="Normal 4 6 2 2 2 5 3 2" xfId="23307" xr:uid="{08662ED7-C0A6-4552-BFDC-3D5BB6508265}"/>
    <cellStyle name="Normal 4 6 2 2 2 5 3 3" xfId="31753" xr:uid="{4B9187B7-915C-45E5-AD23-2F0E20B88449}"/>
    <cellStyle name="Normal 4 6 2 2 2 5 3 4" xfId="14866" xr:uid="{5B5CA365-EB99-4FFA-93D1-3651A9F2EE5B}"/>
    <cellStyle name="Normal 4 6 2 2 2 5 4" xfId="19089" xr:uid="{4D7834A4-A005-4F5F-89DD-DBF6C45FEA9D}"/>
    <cellStyle name="Normal 4 6 2 2 2 5 5" xfId="27534" xr:uid="{B588BB25-4327-4EDB-95D5-3340D19D0422}"/>
    <cellStyle name="Normal 4 6 2 2 2 5 6" xfId="10648" xr:uid="{226AD743-664D-4237-A173-0D223CFEC55E}"/>
    <cellStyle name="Normal 4 6 2 2 2 6" xfId="2553" xr:uid="{00000000-0005-0000-0000-000016160000}"/>
    <cellStyle name="Normal 4 6 2 2 2 6 2" xfId="6837" xr:uid="{00000000-0005-0000-0000-000017160000}"/>
    <cellStyle name="Normal 4 6 2 2 2 6 2 2" xfId="23720" xr:uid="{5C716A1F-335B-4B86-803A-C980B21FB685}"/>
    <cellStyle name="Normal 4 6 2 2 2 6 2 3" xfId="32166" xr:uid="{43942BAE-76E4-43AC-BC80-9395FA0F3EF8}"/>
    <cellStyle name="Normal 4 6 2 2 2 6 2 4" xfId="15279" xr:uid="{29866368-B958-4942-8450-52D1DADBB285}"/>
    <cellStyle name="Normal 4 6 2 2 2 6 3" xfId="19502" xr:uid="{F38B955B-2FF3-49CF-99D0-2E7CF8356E7B}"/>
    <cellStyle name="Normal 4 6 2 2 2 6 4" xfId="27947" xr:uid="{0676868C-F853-4B09-A4A1-7CA79B997478}"/>
    <cellStyle name="Normal 4 6 2 2 2 6 5" xfId="11061" xr:uid="{D94250E4-A4BE-4FF4-94C8-E932C5082FC3}"/>
    <cellStyle name="Normal 4 6 2 2 2 7" xfId="4772" xr:uid="{00000000-0005-0000-0000-000018160000}"/>
    <cellStyle name="Normal 4 6 2 2 2 7 2" xfId="21655" xr:uid="{3F8EA554-A659-4891-B5A6-F47CE1E5DDCA}"/>
    <cellStyle name="Normal 4 6 2 2 2 7 3" xfId="30101" xr:uid="{00CD8072-09D6-4BB5-A421-9628B9766C56}"/>
    <cellStyle name="Normal 4 6 2 2 2 7 4" xfId="13214" xr:uid="{49899B18-6FDE-4837-817C-0C0C9CB26F8C}"/>
    <cellStyle name="Normal 4 6 2 2 2 8" xfId="17437" xr:uid="{47F843D8-D942-46FA-8F64-F89F3E141764}"/>
    <cellStyle name="Normal 4 6 2 2 2 9" xfId="25881" xr:uid="{5D5CAB9E-B497-4314-B687-E0BF3562F133}"/>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24212" xr:uid="{DDDE596D-89C6-46ED-975F-641229C0C317}"/>
    <cellStyle name="Normal 4 6 2 2 3 2 2 3" xfId="32658" xr:uid="{C246C513-E191-4E8A-8DE6-E1366F811164}"/>
    <cellStyle name="Normal 4 6 2 2 3 2 2 4" xfId="15771" xr:uid="{DB333425-2321-4BD9-9CBB-4216F5194A65}"/>
    <cellStyle name="Normal 4 6 2 2 3 2 3" xfId="19994" xr:uid="{EE659B74-1DE7-4941-B960-CDD2098BFA4A}"/>
    <cellStyle name="Normal 4 6 2 2 3 2 4" xfId="28441" xr:uid="{6E072975-7066-4259-9E15-63602D570FF3}"/>
    <cellStyle name="Normal 4 6 2 2 3 2 5" xfId="11553" xr:uid="{88756FC9-E4BA-41AE-9FC3-3BFFA3894AEF}"/>
    <cellStyle name="Normal 4 6 2 2 3 3" xfId="5184" xr:uid="{00000000-0005-0000-0000-00001C160000}"/>
    <cellStyle name="Normal 4 6 2 2 3 3 2" xfId="22067" xr:uid="{391F7576-E899-4D44-9CFE-A41F9EE15166}"/>
    <cellStyle name="Normal 4 6 2 2 3 3 3" xfId="30513" xr:uid="{6F27B637-358F-43FA-9DE6-E212080F7C91}"/>
    <cellStyle name="Normal 4 6 2 2 3 3 4" xfId="13626" xr:uid="{72AF53F4-16BA-447E-837A-304A2EEE22D5}"/>
    <cellStyle name="Normal 4 6 2 2 3 4" xfId="17849" xr:uid="{F4AA68DF-165B-4725-BA06-0BC9B872493B}"/>
    <cellStyle name="Normal 4 6 2 2 3 5" xfId="26294" xr:uid="{474F4F02-FE8D-48DC-B268-2611F75A6374}"/>
    <cellStyle name="Normal 4 6 2 2 3 6" xfId="9408" xr:uid="{3F8755ED-90DF-4AD5-A194-E3AE153F90E7}"/>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24625" xr:uid="{6EC24749-E312-4696-BB6E-DB963A07E042}"/>
    <cellStyle name="Normal 4 6 2 2 4 2 2 3" xfId="33071" xr:uid="{E2362F05-2E81-4F99-94C5-2AF749C70733}"/>
    <cellStyle name="Normal 4 6 2 2 4 2 2 4" xfId="16184" xr:uid="{30DC14A1-8461-47C7-9968-B6FA6EB24640}"/>
    <cellStyle name="Normal 4 6 2 2 4 2 3" xfId="20407" xr:uid="{738CDCA1-AE87-4696-820E-5F612D0A1476}"/>
    <cellStyle name="Normal 4 6 2 2 4 2 4" xfId="28854" xr:uid="{37B5EE8F-B5FE-484F-AC54-5B649B4C4F8E}"/>
    <cellStyle name="Normal 4 6 2 2 4 2 5" xfId="11966" xr:uid="{EFF7E528-64EF-4A8F-AD4A-A2A997E7B659}"/>
    <cellStyle name="Normal 4 6 2 2 4 3" xfId="5597" xr:uid="{00000000-0005-0000-0000-000020160000}"/>
    <cellStyle name="Normal 4 6 2 2 4 3 2" xfId="22480" xr:uid="{2F6A8C14-5D3D-4C5F-8C4D-EEDDA1B9AA11}"/>
    <cellStyle name="Normal 4 6 2 2 4 3 3" xfId="30926" xr:uid="{87F99F1B-5B0B-4DCC-8EA5-010A815CFB95}"/>
    <cellStyle name="Normal 4 6 2 2 4 3 4" xfId="14039" xr:uid="{F350F1D2-4155-487F-ADF6-4DA7B0001A1C}"/>
    <cellStyle name="Normal 4 6 2 2 4 4" xfId="18262" xr:uid="{42DA8AB7-BC9D-41B5-B298-FF02C2B312EC}"/>
    <cellStyle name="Normal 4 6 2 2 4 5" xfId="26707" xr:uid="{CBF6DC7D-7E2A-4222-A68A-16EE16ADC6B2}"/>
    <cellStyle name="Normal 4 6 2 2 4 6" xfId="9821" xr:uid="{6BB6367B-732D-43FF-AA98-5B0177E24D81}"/>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25038" xr:uid="{94C7744E-920C-4005-B4A4-E603E8D07BB6}"/>
    <cellStyle name="Normal 4 6 2 2 5 2 2 3" xfId="33484" xr:uid="{9B113CDA-4EED-4D0C-A93A-451A2FE79FA2}"/>
    <cellStyle name="Normal 4 6 2 2 5 2 2 4" xfId="16597" xr:uid="{09DB6253-69CD-4E98-B741-37BEFC004649}"/>
    <cellStyle name="Normal 4 6 2 2 5 2 3" xfId="20820" xr:uid="{97BD99A0-9545-49E4-8EB3-A7D703E507F1}"/>
    <cellStyle name="Normal 4 6 2 2 5 2 4" xfId="29267" xr:uid="{DD57E849-F0A4-4DF6-B014-E22FE091254E}"/>
    <cellStyle name="Normal 4 6 2 2 5 2 5" xfId="12379" xr:uid="{0A814321-A930-4B7F-86B8-2A81A583AF56}"/>
    <cellStyle name="Normal 4 6 2 2 5 3" xfId="6010" xr:uid="{00000000-0005-0000-0000-000024160000}"/>
    <cellStyle name="Normal 4 6 2 2 5 3 2" xfId="22893" xr:uid="{A8EE45E4-E49A-4C79-BFCA-941AA0E95DF2}"/>
    <cellStyle name="Normal 4 6 2 2 5 3 3" xfId="31339" xr:uid="{122A18AE-E466-4403-B9FE-3F30564A6273}"/>
    <cellStyle name="Normal 4 6 2 2 5 3 4" xfId="14452" xr:uid="{DD4E970D-5C92-4EA1-9EF8-1B2426A9C0D3}"/>
    <cellStyle name="Normal 4 6 2 2 5 4" xfId="18675" xr:uid="{FDF8CC17-149B-4A01-AA6C-25463D18678C}"/>
    <cellStyle name="Normal 4 6 2 2 5 5" xfId="27120" xr:uid="{FF2CD257-E4F2-4557-9F8D-D9208C61760C}"/>
    <cellStyle name="Normal 4 6 2 2 5 6" xfId="10234" xr:uid="{FE7D77F6-C5C8-40AD-B444-43B5C8F29C10}"/>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25451" xr:uid="{A8AA3067-1325-4D12-9922-84695C0120B6}"/>
    <cellStyle name="Normal 4 6 2 2 6 2 2 3" xfId="33897" xr:uid="{F19565EF-654B-4B8F-816B-97834C9F8F96}"/>
    <cellStyle name="Normal 4 6 2 2 6 2 2 4" xfId="17010" xr:uid="{721919D4-C2E8-4CB7-9414-C2471221B0CC}"/>
    <cellStyle name="Normal 4 6 2 2 6 2 3" xfId="21233" xr:uid="{DF3B7CA7-5B6C-4166-8B1E-03E442E0B514}"/>
    <cellStyle name="Normal 4 6 2 2 6 2 4" xfId="29680" xr:uid="{510C7E80-E81F-4C04-A7A2-232A0D4F52D6}"/>
    <cellStyle name="Normal 4 6 2 2 6 2 5" xfId="12792" xr:uid="{9927573F-D2CF-4E1D-8375-59EA5D869177}"/>
    <cellStyle name="Normal 4 6 2 2 6 3" xfId="6423" xr:uid="{00000000-0005-0000-0000-000028160000}"/>
    <cellStyle name="Normal 4 6 2 2 6 3 2" xfId="23306" xr:uid="{C2BC9B93-44B9-479C-80F4-A0FE0615BA63}"/>
    <cellStyle name="Normal 4 6 2 2 6 3 3" xfId="31752" xr:uid="{96256958-0D22-48C6-BFBB-CFD45F766822}"/>
    <cellStyle name="Normal 4 6 2 2 6 3 4" xfId="14865" xr:uid="{7A31B4EF-74A6-4C29-B162-292204E5C1B4}"/>
    <cellStyle name="Normal 4 6 2 2 6 4" xfId="19088" xr:uid="{E1ABF8B8-9989-4148-AC7D-BDD5215097B5}"/>
    <cellStyle name="Normal 4 6 2 2 6 5" xfId="27533" xr:uid="{EBC7EDD7-EF2C-443C-B1AE-76796E9D3A71}"/>
    <cellStyle name="Normal 4 6 2 2 6 6" xfId="10647" xr:uid="{EA77AFC8-3861-43CC-B43B-1DABFBD2C510}"/>
    <cellStyle name="Normal 4 6 2 2 7" xfId="2552" xr:uid="{00000000-0005-0000-0000-000029160000}"/>
    <cellStyle name="Normal 4 6 2 2 7 2" xfId="6836" xr:uid="{00000000-0005-0000-0000-00002A160000}"/>
    <cellStyle name="Normal 4 6 2 2 7 2 2" xfId="23719" xr:uid="{C22E6901-6779-4891-8B05-7E8558F4D194}"/>
    <cellStyle name="Normal 4 6 2 2 7 2 3" xfId="32165" xr:uid="{985DE153-0C89-4C49-8EFD-6E7A260042A0}"/>
    <cellStyle name="Normal 4 6 2 2 7 2 4" xfId="15278" xr:uid="{13DED7C1-1081-4C85-87ED-2E319B40EBDE}"/>
    <cellStyle name="Normal 4 6 2 2 7 3" xfId="19501" xr:uid="{8D78830E-A5AF-4E19-B182-613F167A5E22}"/>
    <cellStyle name="Normal 4 6 2 2 7 4" xfId="27946" xr:uid="{F6EAA826-8DD8-4661-ADDE-B78C5336714D}"/>
    <cellStyle name="Normal 4 6 2 2 7 5" xfId="11060" xr:uid="{C5A2EE5D-21F7-44A1-8B57-08D72BE103D8}"/>
    <cellStyle name="Normal 4 6 2 2 8" xfId="4771" xr:uid="{00000000-0005-0000-0000-00002B160000}"/>
    <cellStyle name="Normal 4 6 2 2 8 2" xfId="21654" xr:uid="{451AD42A-BB1B-4467-AAEC-A47E26F13FAF}"/>
    <cellStyle name="Normal 4 6 2 2 8 3" xfId="30100" xr:uid="{17493926-4F35-4339-9239-484BC686802D}"/>
    <cellStyle name="Normal 4 6 2 2 8 4" xfId="13213" xr:uid="{717A8D88-6484-466E-A9C3-E0E6581CFABC}"/>
    <cellStyle name="Normal 4 6 2 2 9" xfId="17436" xr:uid="{15A783B1-544F-4D72-965A-C5E2806B0AC4}"/>
    <cellStyle name="Normal 4 6 2 3" xfId="399" xr:uid="{00000000-0005-0000-0000-00002C160000}"/>
    <cellStyle name="Normal 4 6 2 3 10" xfId="8997" xr:uid="{C2503020-69A0-4E0A-98DF-6CD89ABCCC6E}"/>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24214" xr:uid="{3703E132-3236-4481-BCEB-C520ACF246C3}"/>
    <cellStyle name="Normal 4 6 2 3 2 2 2 3" xfId="32660" xr:uid="{2588BBC4-D1B0-407D-9D38-4F343C64A2E7}"/>
    <cellStyle name="Normal 4 6 2 3 2 2 2 4" xfId="15773" xr:uid="{EBE073D4-CD38-4F99-B51D-DA2DDB5EB2CA}"/>
    <cellStyle name="Normal 4 6 2 3 2 2 3" xfId="19996" xr:uid="{73AE8AAD-E2FB-4726-8155-CAD5146CC499}"/>
    <cellStyle name="Normal 4 6 2 3 2 2 4" xfId="28443" xr:uid="{A19EDF04-C83E-4848-BB81-5EB3E760EF51}"/>
    <cellStyle name="Normal 4 6 2 3 2 2 5" xfId="11555" xr:uid="{0DEF5DE5-8319-49FD-B718-AC9C6A4C9562}"/>
    <cellStyle name="Normal 4 6 2 3 2 3" xfId="5186" xr:uid="{00000000-0005-0000-0000-000030160000}"/>
    <cellStyle name="Normal 4 6 2 3 2 3 2" xfId="22069" xr:uid="{3069924C-D2F0-44BA-87A7-E1ADE436021E}"/>
    <cellStyle name="Normal 4 6 2 3 2 3 3" xfId="30515" xr:uid="{7718ED48-67BF-4580-B216-3CA12CEB0C6A}"/>
    <cellStyle name="Normal 4 6 2 3 2 3 4" xfId="13628" xr:uid="{8DB94883-1E5E-4CB8-ABC2-E56F3839DB92}"/>
    <cellStyle name="Normal 4 6 2 3 2 4" xfId="17851" xr:uid="{7214DAC0-D450-4B3C-8ED5-306164D53702}"/>
    <cellStyle name="Normal 4 6 2 3 2 5" xfId="26296" xr:uid="{43734D31-30BB-469C-9841-9639FD2C530F}"/>
    <cellStyle name="Normal 4 6 2 3 2 6" xfId="9410" xr:uid="{B27FA4BA-BC88-450B-80D2-DC681160F8F9}"/>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24627" xr:uid="{721181E0-F3EC-415E-9EE9-FBC9D13BE796}"/>
    <cellStyle name="Normal 4 6 2 3 3 2 2 3" xfId="33073" xr:uid="{31D38117-D7CB-462B-B28B-4524C343B520}"/>
    <cellStyle name="Normal 4 6 2 3 3 2 2 4" xfId="16186" xr:uid="{96079D0F-798D-4CB5-9651-E81519F41390}"/>
    <cellStyle name="Normal 4 6 2 3 3 2 3" xfId="20409" xr:uid="{5AEC94D7-4CA7-411C-A8B6-4BF24F756046}"/>
    <cellStyle name="Normal 4 6 2 3 3 2 4" xfId="28856" xr:uid="{A9E9210C-5961-4E17-BD0B-2B9553E32E48}"/>
    <cellStyle name="Normal 4 6 2 3 3 2 5" xfId="11968" xr:uid="{A85A2F60-2969-4397-8A3A-60C8D4B39542}"/>
    <cellStyle name="Normal 4 6 2 3 3 3" xfId="5599" xr:uid="{00000000-0005-0000-0000-000034160000}"/>
    <cellStyle name="Normal 4 6 2 3 3 3 2" xfId="22482" xr:uid="{D52362CE-919C-4B29-9A2A-41C131B670F8}"/>
    <cellStyle name="Normal 4 6 2 3 3 3 3" xfId="30928" xr:uid="{14712314-4ED9-4738-8343-1912AF5FC02E}"/>
    <cellStyle name="Normal 4 6 2 3 3 3 4" xfId="14041" xr:uid="{A9E9A8AC-7A22-491D-80B7-48502ADA9694}"/>
    <cellStyle name="Normal 4 6 2 3 3 4" xfId="18264" xr:uid="{44200858-9C11-4F29-80B2-933726CA8E91}"/>
    <cellStyle name="Normal 4 6 2 3 3 5" xfId="26709" xr:uid="{5AA61695-3C86-426C-9498-49E8A9A1B129}"/>
    <cellStyle name="Normal 4 6 2 3 3 6" xfId="9823" xr:uid="{A14F763D-6E84-4FB2-B77F-1A60182171C0}"/>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25040" xr:uid="{9640925A-07C4-4729-91BB-7C1207CE91FA}"/>
    <cellStyle name="Normal 4 6 2 3 4 2 2 3" xfId="33486" xr:uid="{E048D3CA-D172-4D1E-8431-B7555C8C5FBD}"/>
    <cellStyle name="Normal 4 6 2 3 4 2 2 4" xfId="16599" xr:uid="{BD2BDB33-9C97-4D4C-8085-E5D90D85E575}"/>
    <cellStyle name="Normal 4 6 2 3 4 2 3" xfId="20822" xr:uid="{F5F492C6-F050-43F4-90A8-78A2EC0B1972}"/>
    <cellStyle name="Normal 4 6 2 3 4 2 4" xfId="29269" xr:uid="{095E1113-C422-446C-960D-1F1A04A436B4}"/>
    <cellStyle name="Normal 4 6 2 3 4 2 5" xfId="12381" xr:uid="{64E6C847-E2D9-4970-B945-8BD49FD26994}"/>
    <cellStyle name="Normal 4 6 2 3 4 3" xfId="6012" xr:uid="{00000000-0005-0000-0000-000038160000}"/>
    <cellStyle name="Normal 4 6 2 3 4 3 2" xfId="22895" xr:uid="{014D93A9-6F63-4BD4-A795-63CD12028C21}"/>
    <cellStyle name="Normal 4 6 2 3 4 3 3" xfId="31341" xr:uid="{2D764868-16AE-408F-8BE2-93BDAA4506A8}"/>
    <cellStyle name="Normal 4 6 2 3 4 3 4" xfId="14454" xr:uid="{BA72C0FB-1532-4E52-A768-6488E79D1ADC}"/>
    <cellStyle name="Normal 4 6 2 3 4 4" xfId="18677" xr:uid="{32F70F02-D5DA-4F91-B5ED-2560C08EAC14}"/>
    <cellStyle name="Normal 4 6 2 3 4 5" xfId="27122" xr:uid="{A597BD3C-F8D5-40AA-821A-C8FB661996F2}"/>
    <cellStyle name="Normal 4 6 2 3 4 6" xfId="10236" xr:uid="{3DE57AEF-8C30-4ED9-97A4-1C555165E159}"/>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25453" xr:uid="{0B867FCA-3DAE-49FA-BFA8-43228AADCDA4}"/>
    <cellStyle name="Normal 4 6 2 3 5 2 2 3" xfId="33899" xr:uid="{EFE0BB35-706B-44A9-A42E-CA161AC0D276}"/>
    <cellStyle name="Normal 4 6 2 3 5 2 2 4" xfId="17012" xr:uid="{7A029E08-9DC9-486B-9231-97E9045A5C54}"/>
    <cellStyle name="Normal 4 6 2 3 5 2 3" xfId="21235" xr:uid="{D9FF74D4-C2BC-4419-9179-3B5D4B7668AC}"/>
    <cellStyle name="Normal 4 6 2 3 5 2 4" xfId="29682" xr:uid="{CFD26333-C706-45D8-8419-A2C4A0F13750}"/>
    <cellStyle name="Normal 4 6 2 3 5 2 5" xfId="12794" xr:uid="{0CE65ADB-FD14-45B2-B118-EE99C17A5071}"/>
    <cellStyle name="Normal 4 6 2 3 5 3" xfId="6425" xr:uid="{00000000-0005-0000-0000-00003C160000}"/>
    <cellStyle name="Normal 4 6 2 3 5 3 2" xfId="23308" xr:uid="{19B16078-786C-45BA-986D-978165916081}"/>
    <cellStyle name="Normal 4 6 2 3 5 3 3" xfId="31754" xr:uid="{2870CDBC-393D-4D69-A1ED-B995BF301736}"/>
    <cellStyle name="Normal 4 6 2 3 5 3 4" xfId="14867" xr:uid="{B6EA1378-A7D9-4E94-9F7C-640660D71108}"/>
    <cellStyle name="Normal 4 6 2 3 5 4" xfId="19090" xr:uid="{4A3F0C6F-918F-4628-B683-F516C92A80A3}"/>
    <cellStyle name="Normal 4 6 2 3 5 5" xfId="27535" xr:uid="{AF60F996-78D2-4DED-852C-2752A24F61D7}"/>
    <cellStyle name="Normal 4 6 2 3 5 6" xfId="10649" xr:uid="{CDBFA6A7-7540-49DB-9F82-DB881F2EBE63}"/>
    <cellStyle name="Normal 4 6 2 3 6" xfId="2554" xr:uid="{00000000-0005-0000-0000-00003D160000}"/>
    <cellStyle name="Normal 4 6 2 3 6 2" xfId="6838" xr:uid="{00000000-0005-0000-0000-00003E160000}"/>
    <cellStyle name="Normal 4 6 2 3 6 2 2" xfId="23721" xr:uid="{0DC8EC0D-5391-42E3-8741-D6F55C1029D9}"/>
    <cellStyle name="Normal 4 6 2 3 6 2 3" xfId="32167" xr:uid="{1B693170-E74B-4C40-ABE0-01340C5B69F6}"/>
    <cellStyle name="Normal 4 6 2 3 6 2 4" xfId="15280" xr:uid="{0CC48E1A-EFA2-4A76-BA9A-B1F1A37246CC}"/>
    <cellStyle name="Normal 4 6 2 3 6 3" xfId="19503" xr:uid="{0BBFF715-FC10-421B-BF29-CC1C54BC266F}"/>
    <cellStyle name="Normal 4 6 2 3 6 4" xfId="27948" xr:uid="{CFC33721-868D-4A50-8D6F-DD6BE7D5789D}"/>
    <cellStyle name="Normal 4 6 2 3 6 5" xfId="11062" xr:uid="{A3A1ACB8-202E-4452-A4CD-5DBB0D572EF9}"/>
    <cellStyle name="Normal 4 6 2 3 7" xfId="4773" xr:uid="{00000000-0005-0000-0000-00003F160000}"/>
    <cellStyle name="Normal 4 6 2 3 7 2" xfId="21656" xr:uid="{6C1394D7-60E4-4DEA-8312-9AE6A160EF6C}"/>
    <cellStyle name="Normal 4 6 2 3 7 3" xfId="30102" xr:uid="{3A4D5886-1710-4863-8526-B3B4FBBD9F00}"/>
    <cellStyle name="Normal 4 6 2 3 7 4" xfId="13215" xr:uid="{7ED06F63-5DC7-4265-9BBF-B175C605E868}"/>
    <cellStyle name="Normal 4 6 2 3 8" xfId="17438" xr:uid="{FAFC439B-EAB1-4AC5-A92E-945238150DE6}"/>
    <cellStyle name="Normal 4 6 2 3 9" xfId="25882" xr:uid="{AF6F3EF5-C6C8-4F5A-A3BD-345568475C75}"/>
    <cellStyle name="Normal 4 6 2 4" xfId="870" xr:uid="{00000000-0005-0000-0000-000040160000}"/>
    <cellStyle name="Normal 4 6 2 4 2" xfId="3105" xr:uid="{00000000-0005-0000-0000-000041160000}"/>
    <cellStyle name="Normal 4 6 2 4 2 2" xfId="7328" xr:uid="{00000000-0005-0000-0000-000042160000}"/>
    <cellStyle name="Normal 4 6 2 4 2 2 2" xfId="24211" xr:uid="{2D7C7FB9-0FAD-488A-B0A2-5D3B763524F4}"/>
    <cellStyle name="Normal 4 6 2 4 2 2 3" xfId="32657" xr:uid="{0AADD023-7D84-4BBC-A955-1D74419DCF2C}"/>
    <cellStyle name="Normal 4 6 2 4 2 2 4" xfId="15770" xr:uid="{5A747C2A-31C7-494C-BDD3-70832F1B0CF5}"/>
    <cellStyle name="Normal 4 6 2 4 2 3" xfId="19993" xr:uid="{E90660C0-09AE-4E7B-99FB-FE9ACE46265A}"/>
    <cellStyle name="Normal 4 6 2 4 2 4" xfId="28440" xr:uid="{19A9C2FF-F5DB-43B3-9058-4980BB97837A}"/>
    <cellStyle name="Normal 4 6 2 4 2 5" xfId="11552" xr:uid="{F75C444D-6F61-466C-814A-176A5B7FBC50}"/>
    <cellStyle name="Normal 4 6 2 4 3" xfId="5183" xr:uid="{00000000-0005-0000-0000-000043160000}"/>
    <cellStyle name="Normal 4 6 2 4 3 2" xfId="22066" xr:uid="{045AB0F1-0DF0-43D0-9F61-0A43B14245A5}"/>
    <cellStyle name="Normal 4 6 2 4 3 3" xfId="30512" xr:uid="{0D497ED3-F59F-4741-9F54-24E2EF1E5D52}"/>
    <cellStyle name="Normal 4 6 2 4 3 4" xfId="13625" xr:uid="{93C2E2AC-C81A-4119-BAB8-00D2D459846D}"/>
    <cellStyle name="Normal 4 6 2 4 4" xfId="17848" xr:uid="{933F10A3-47A5-46D6-8D2C-21BAB83E4669}"/>
    <cellStyle name="Normal 4 6 2 4 5" xfId="26293" xr:uid="{2ECB7A7B-E7D9-4EF8-A368-2EE670C51549}"/>
    <cellStyle name="Normal 4 6 2 4 6" xfId="9407" xr:uid="{3CDC6D95-A1E2-413E-B086-85F2BE514379}"/>
    <cellStyle name="Normal 4 6 2 5" xfId="1288" xr:uid="{00000000-0005-0000-0000-000044160000}"/>
    <cellStyle name="Normal 4 6 2 5 2" xfId="3518" xr:uid="{00000000-0005-0000-0000-000045160000}"/>
    <cellStyle name="Normal 4 6 2 5 2 2" xfId="7741" xr:uid="{00000000-0005-0000-0000-000046160000}"/>
    <cellStyle name="Normal 4 6 2 5 2 2 2" xfId="24624" xr:uid="{14C34782-7A9C-4E39-85FD-EF5195840C80}"/>
    <cellStyle name="Normal 4 6 2 5 2 2 3" xfId="33070" xr:uid="{F8DFC2C0-58CC-4906-9168-39B146B8ABFE}"/>
    <cellStyle name="Normal 4 6 2 5 2 2 4" xfId="16183" xr:uid="{C2056AA0-C3F7-4540-AE52-7486792BE0E6}"/>
    <cellStyle name="Normal 4 6 2 5 2 3" xfId="20406" xr:uid="{CBDE734A-BB7D-4A3B-9792-FF2D85F29290}"/>
    <cellStyle name="Normal 4 6 2 5 2 4" xfId="28853" xr:uid="{3BBBC8E2-4933-4F20-9D1C-1DE6B3BD4D5C}"/>
    <cellStyle name="Normal 4 6 2 5 2 5" xfId="11965" xr:uid="{D76DCB25-0030-44E0-BEA9-7F1D8E196DB9}"/>
    <cellStyle name="Normal 4 6 2 5 3" xfId="5596" xr:uid="{00000000-0005-0000-0000-000047160000}"/>
    <cellStyle name="Normal 4 6 2 5 3 2" xfId="22479" xr:uid="{CC079F54-C159-41ED-B474-230AD64655B4}"/>
    <cellStyle name="Normal 4 6 2 5 3 3" xfId="30925" xr:uid="{3F650F57-9494-49A8-BB47-0205B58D98F2}"/>
    <cellStyle name="Normal 4 6 2 5 3 4" xfId="14038" xr:uid="{B04CDD4B-45E5-491E-B74E-DEE3839FD9D2}"/>
    <cellStyle name="Normal 4 6 2 5 4" xfId="18261" xr:uid="{F2544936-2670-4395-B5F4-3384B8374D1D}"/>
    <cellStyle name="Normal 4 6 2 5 5" xfId="26706" xr:uid="{C7E2C44D-0829-44D2-8F2F-FE1A995A1362}"/>
    <cellStyle name="Normal 4 6 2 5 6" xfId="9820" xr:uid="{78B7BB00-57CD-4A30-BF99-B7A3B2EFCDE2}"/>
    <cellStyle name="Normal 4 6 2 6" xfId="1701" xr:uid="{00000000-0005-0000-0000-000048160000}"/>
    <cellStyle name="Normal 4 6 2 6 2" xfId="3931" xr:uid="{00000000-0005-0000-0000-000049160000}"/>
    <cellStyle name="Normal 4 6 2 6 2 2" xfId="8154" xr:uid="{00000000-0005-0000-0000-00004A160000}"/>
    <cellStyle name="Normal 4 6 2 6 2 2 2" xfId="25037" xr:uid="{08A92957-4147-40A3-98C8-111995D24414}"/>
    <cellStyle name="Normal 4 6 2 6 2 2 3" xfId="33483" xr:uid="{4E65F3E0-4564-4517-B75E-99A3FEDFDBC7}"/>
    <cellStyle name="Normal 4 6 2 6 2 2 4" xfId="16596" xr:uid="{A899ACC3-D5E5-47E0-9929-52937F33BE27}"/>
    <cellStyle name="Normal 4 6 2 6 2 3" xfId="20819" xr:uid="{0BFBD605-DB25-4D14-8468-6EC6A33FDC5C}"/>
    <cellStyle name="Normal 4 6 2 6 2 4" xfId="29266" xr:uid="{4430A931-8D8D-44CD-A1C6-55BFB4449A13}"/>
    <cellStyle name="Normal 4 6 2 6 2 5" xfId="12378" xr:uid="{5124AA5B-F8F8-49DB-870F-69A5A71F2D92}"/>
    <cellStyle name="Normal 4 6 2 6 3" xfId="6009" xr:uid="{00000000-0005-0000-0000-00004B160000}"/>
    <cellStyle name="Normal 4 6 2 6 3 2" xfId="22892" xr:uid="{E9AD7172-67DD-417C-8C92-2A0896E78F5F}"/>
    <cellStyle name="Normal 4 6 2 6 3 3" xfId="31338" xr:uid="{00BD7924-1521-4EF1-9A01-1D13A70D04F8}"/>
    <cellStyle name="Normal 4 6 2 6 3 4" xfId="14451" xr:uid="{A167CFFF-EFC8-4B33-9D42-AF76A7AAB50B}"/>
    <cellStyle name="Normal 4 6 2 6 4" xfId="18674" xr:uid="{ABECEC9E-0EE6-4922-ADAE-ED30E6F809B9}"/>
    <cellStyle name="Normal 4 6 2 6 5" xfId="27119" xr:uid="{603D0BFB-1876-4F46-8055-837F366DE25D}"/>
    <cellStyle name="Normal 4 6 2 6 6" xfId="10233" xr:uid="{DEDD9856-00DB-48D2-A6AE-E46DF6B92F5C}"/>
    <cellStyle name="Normal 4 6 2 7" xfId="2115" xr:uid="{00000000-0005-0000-0000-00004C160000}"/>
    <cellStyle name="Normal 4 6 2 7 2" xfId="4344" xr:uid="{00000000-0005-0000-0000-00004D160000}"/>
    <cellStyle name="Normal 4 6 2 7 2 2" xfId="8567" xr:uid="{00000000-0005-0000-0000-00004E160000}"/>
    <cellStyle name="Normal 4 6 2 7 2 2 2" xfId="25450" xr:uid="{B50E7C58-1956-4C73-BF9B-6D2BBF6AE729}"/>
    <cellStyle name="Normal 4 6 2 7 2 2 3" xfId="33896" xr:uid="{93501142-C036-4F9C-89DF-1E2EEDC82E78}"/>
    <cellStyle name="Normal 4 6 2 7 2 2 4" xfId="17009" xr:uid="{14FD8684-FDEC-4DE1-A8C5-22FFB9D83D7B}"/>
    <cellStyle name="Normal 4 6 2 7 2 3" xfId="21232" xr:uid="{0BB1ACFF-2092-4D26-8EE7-F6BF2E1227EF}"/>
    <cellStyle name="Normal 4 6 2 7 2 4" xfId="29679" xr:uid="{76FDCAFD-069E-4027-BB12-A9214C3DE037}"/>
    <cellStyle name="Normal 4 6 2 7 2 5" xfId="12791" xr:uid="{0DEDE429-D8D9-4B70-9600-A142281D8229}"/>
    <cellStyle name="Normal 4 6 2 7 3" xfId="6422" xr:uid="{00000000-0005-0000-0000-00004F160000}"/>
    <cellStyle name="Normal 4 6 2 7 3 2" xfId="23305" xr:uid="{648A9910-312F-4A04-96FA-2585A2806CAC}"/>
    <cellStyle name="Normal 4 6 2 7 3 3" xfId="31751" xr:uid="{BDC6C681-C9B3-4DA1-B74F-47BC357A59F8}"/>
    <cellStyle name="Normal 4 6 2 7 3 4" xfId="14864" xr:uid="{8AB2DF0C-7BDA-4736-B802-C007410E8546}"/>
    <cellStyle name="Normal 4 6 2 7 4" xfId="19087" xr:uid="{A25D9A14-2429-40D4-92E7-F828E4FE0C35}"/>
    <cellStyle name="Normal 4 6 2 7 5" xfId="27532" xr:uid="{8734C0B7-0B72-4D31-9483-C779D27F17FE}"/>
    <cellStyle name="Normal 4 6 2 7 6" xfId="10646" xr:uid="{F0E08357-E47D-4EC4-9297-033CDD8DF1D9}"/>
    <cellStyle name="Normal 4 6 2 8" xfId="2551" xr:uid="{00000000-0005-0000-0000-000050160000}"/>
    <cellStyle name="Normal 4 6 2 8 2" xfId="6835" xr:uid="{00000000-0005-0000-0000-000051160000}"/>
    <cellStyle name="Normal 4 6 2 8 2 2" xfId="23718" xr:uid="{E4B4F410-5150-4A01-9296-B4AB920792A2}"/>
    <cellStyle name="Normal 4 6 2 8 2 3" xfId="32164" xr:uid="{5EB08C69-F96D-4433-9503-A5CB006CC098}"/>
    <cellStyle name="Normal 4 6 2 8 2 4" xfId="15277" xr:uid="{ECF274B0-5ED0-4C91-BEB4-03ADBCBCC304}"/>
    <cellStyle name="Normal 4 6 2 8 3" xfId="19500" xr:uid="{325CD1D8-7267-4F69-912F-6E9A7C1350E2}"/>
    <cellStyle name="Normal 4 6 2 8 4" xfId="27945" xr:uid="{260A0B92-DB6D-4CF2-9FBF-98ABB678FB8E}"/>
    <cellStyle name="Normal 4 6 2 8 5" xfId="11059" xr:uid="{D0C4A948-BB6D-4F33-A132-ACE25D4C2421}"/>
    <cellStyle name="Normal 4 6 2 9" xfId="4770" xr:uid="{00000000-0005-0000-0000-000052160000}"/>
    <cellStyle name="Normal 4 6 2 9 2" xfId="21653" xr:uid="{C4F0597A-3DB8-4FCD-80EA-51B0EF3C8982}"/>
    <cellStyle name="Normal 4 6 2 9 3" xfId="30099" xr:uid="{047FE410-77D1-4C60-A91E-3545EE3C5031}"/>
    <cellStyle name="Normal 4 6 2 9 4" xfId="13212" xr:uid="{871F4A95-BD4F-4B7B-AA9C-56D084797895}"/>
    <cellStyle name="Normal 4 6 3" xfId="400" xr:uid="{00000000-0005-0000-0000-000053160000}"/>
    <cellStyle name="Normal 4 6 3 10" xfId="25883" xr:uid="{C96EC005-D611-4A4C-B894-BF94A4295149}"/>
    <cellStyle name="Normal 4 6 3 11" xfId="8998" xr:uid="{504C1111-F19D-4B84-B3B3-6B65EE14DC8E}"/>
    <cellStyle name="Normal 4 6 3 2" xfId="401" xr:uid="{00000000-0005-0000-0000-000054160000}"/>
    <cellStyle name="Normal 4 6 3 2 10" xfId="8999" xr:uid="{A5CE78DE-DBA0-4597-BE09-E9CC9A2F839B}"/>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24216" xr:uid="{7EB82E94-AE42-4D18-970A-60B8E22C6342}"/>
    <cellStyle name="Normal 4 6 3 2 2 2 2 3" xfId="32662" xr:uid="{700D4A62-E35F-42FB-928B-91A1A4EFB870}"/>
    <cellStyle name="Normal 4 6 3 2 2 2 2 4" xfId="15775" xr:uid="{EE73199E-9616-45E6-A7DE-28B020BE75CA}"/>
    <cellStyle name="Normal 4 6 3 2 2 2 3" xfId="19998" xr:uid="{EA1C6338-EE4F-48D2-A44F-33B96548D6B6}"/>
    <cellStyle name="Normal 4 6 3 2 2 2 4" xfId="28445" xr:uid="{6A2B7D36-2C70-48A9-9AD9-29D61C2D3EE4}"/>
    <cellStyle name="Normal 4 6 3 2 2 2 5" xfId="11557" xr:uid="{04856100-A4C0-4E01-AA90-BF0E89D522C8}"/>
    <cellStyle name="Normal 4 6 3 2 2 3" xfId="5188" xr:uid="{00000000-0005-0000-0000-000058160000}"/>
    <cellStyle name="Normal 4 6 3 2 2 3 2" xfId="22071" xr:uid="{F35ED9B6-2BC1-460B-9A84-4E40E155ACFB}"/>
    <cellStyle name="Normal 4 6 3 2 2 3 3" xfId="30517" xr:uid="{2B97020B-00CE-4F62-8CDE-C74521F80472}"/>
    <cellStyle name="Normal 4 6 3 2 2 3 4" xfId="13630" xr:uid="{FF562948-1A22-4C3C-BF46-9FEDF94EB359}"/>
    <cellStyle name="Normal 4 6 3 2 2 4" xfId="17853" xr:uid="{38303A6F-9845-4B30-A535-6C15D377B7AE}"/>
    <cellStyle name="Normal 4 6 3 2 2 5" xfId="26298" xr:uid="{386D0145-7DE3-478F-B6BD-96276470E52B}"/>
    <cellStyle name="Normal 4 6 3 2 2 6" xfId="9412" xr:uid="{B65C8272-DF9B-4323-9556-9112E3A1CAB6}"/>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24629" xr:uid="{D77CC277-4D38-48F2-BB6A-13D8FF1BF42A}"/>
    <cellStyle name="Normal 4 6 3 2 3 2 2 3" xfId="33075" xr:uid="{CBDDE635-A656-44D8-8F29-57BC92F43127}"/>
    <cellStyle name="Normal 4 6 3 2 3 2 2 4" xfId="16188" xr:uid="{A4F7202A-C512-4303-8649-F7B9434E95C0}"/>
    <cellStyle name="Normal 4 6 3 2 3 2 3" xfId="20411" xr:uid="{B673E1CA-373C-4297-A714-53C101694663}"/>
    <cellStyle name="Normal 4 6 3 2 3 2 4" xfId="28858" xr:uid="{3ECC46ED-1388-47C1-A090-C4CEE6E98224}"/>
    <cellStyle name="Normal 4 6 3 2 3 2 5" xfId="11970" xr:uid="{D82BF112-D4F9-4554-9F9C-B001AFC00BD3}"/>
    <cellStyle name="Normal 4 6 3 2 3 3" xfId="5601" xr:uid="{00000000-0005-0000-0000-00005C160000}"/>
    <cellStyle name="Normal 4 6 3 2 3 3 2" xfId="22484" xr:uid="{0AD49107-0DD1-4F53-9BC7-A4E3B0DADCFB}"/>
    <cellStyle name="Normal 4 6 3 2 3 3 3" xfId="30930" xr:uid="{74B85606-E581-4128-AFD9-3999784B232D}"/>
    <cellStyle name="Normal 4 6 3 2 3 3 4" xfId="14043" xr:uid="{0AF9C4D7-0C48-4012-B2D7-CAABD5C67CD6}"/>
    <cellStyle name="Normal 4 6 3 2 3 4" xfId="18266" xr:uid="{6568A772-59DD-45D5-BE7E-535C6EA93305}"/>
    <cellStyle name="Normal 4 6 3 2 3 5" xfId="26711" xr:uid="{560AA097-37A5-4E4F-82B6-3E88CA605E2B}"/>
    <cellStyle name="Normal 4 6 3 2 3 6" xfId="9825" xr:uid="{CFA71B7F-3D50-47A5-9B3E-E1AC147104D8}"/>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25042" xr:uid="{F194C5B6-CD82-46F9-98A8-50386844C511}"/>
    <cellStyle name="Normal 4 6 3 2 4 2 2 3" xfId="33488" xr:uid="{E9AF4923-48C8-4874-BDA6-B84D639F5FC6}"/>
    <cellStyle name="Normal 4 6 3 2 4 2 2 4" xfId="16601" xr:uid="{374291A4-247F-4299-83D4-99AD0A0A53B3}"/>
    <cellStyle name="Normal 4 6 3 2 4 2 3" xfId="20824" xr:uid="{72A27306-9666-4863-90BD-40D6A7BD1607}"/>
    <cellStyle name="Normal 4 6 3 2 4 2 4" xfId="29271" xr:uid="{22E27F3B-A426-44AB-9202-5F794873A533}"/>
    <cellStyle name="Normal 4 6 3 2 4 2 5" xfId="12383" xr:uid="{65F84772-1475-4AC5-AFFA-66592CF5796A}"/>
    <cellStyle name="Normal 4 6 3 2 4 3" xfId="6014" xr:uid="{00000000-0005-0000-0000-000060160000}"/>
    <cellStyle name="Normal 4 6 3 2 4 3 2" xfId="22897" xr:uid="{3F3D536D-1E27-4287-85BD-BDCD21D5AE6A}"/>
    <cellStyle name="Normal 4 6 3 2 4 3 3" xfId="31343" xr:uid="{2587D29C-2AFC-4C61-BA05-6ACA458FA057}"/>
    <cellStyle name="Normal 4 6 3 2 4 3 4" xfId="14456" xr:uid="{545B4882-ABFA-4866-96A2-14CFF91EA42C}"/>
    <cellStyle name="Normal 4 6 3 2 4 4" xfId="18679" xr:uid="{D863037A-5712-4B78-A820-98FA8666B4DA}"/>
    <cellStyle name="Normal 4 6 3 2 4 5" xfId="27124" xr:uid="{DD158353-F51C-4893-9836-7CD6BBF49E40}"/>
    <cellStyle name="Normal 4 6 3 2 4 6" xfId="10238" xr:uid="{53514EB0-4013-49AF-B0DE-03FFD8BC9349}"/>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25455" xr:uid="{AFDCBEDC-529E-441A-9653-EE05B242B3AA}"/>
    <cellStyle name="Normal 4 6 3 2 5 2 2 3" xfId="33901" xr:uid="{8C79DD38-7544-4102-97F9-3F0421F81E10}"/>
    <cellStyle name="Normal 4 6 3 2 5 2 2 4" xfId="17014" xr:uid="{B7B30F81-5C7F-45B4-A109-60AAFCF5FEFA}"/>
    <cellStyle name="Normal 4 6 3 2 5 2 3" xfId="21237" xr:uid="{CE559A4B-3779-4652-9CC4-287F358FEA72}"/>
    <cellStyle name="Normal 4 6 3 2 5 2 4" xfId="29684" xr:uid="{AB97DC1F-A37C-4F2A-9639-B41FC3C54743}"/>
    <cellStyle name="Normal 4 6 3 2 5 2 5" xfId="12796" xr:uid="{07829F68-801C-4519-AE1C-B81BCCDF53DF}"/>
    <cellStyle name="Normal 4 6 3 2 5 3" xfId="6427" xr:uid="{00000000-0005-0000-0000-000064160000}"/>
    <cellStyle name="Normal 4 6 3 2 5 3 2" xfId="23310" xr:uid="{96A9992C-C13A-43CF-B915-275AD0C88ACF}"/>
    <cellStyle name="Normal 4 6 3 2 5 3 3" xfId="31756" xr:uid="{1F5117A2-CF33-44EF-B90B-0D9950F56558}"/>
    <cellStyle name="Normal 4 6 3 2 5 3 4" xfId="14869" xr:uid="{09FD037C-F91D-405A-8B3F-3F025B087485}"/>
    <cellStyle name="Normal 4 6 3 2 5 4" xfId="19092" xr:uid="{3F5D9925-B706-4B23-AE65-D3E2B636FFFE}"/>
    <cellStyle name="Normal 4 6 3 2 5 5" xfId="27537" xr:uid="{81B018D0-A6F3-4563-BEDD-15ED1CA37EC1}"/>
    <cellStyle name="Normal 4 6 3 2 5 6" xfId="10651" xr:uid="{831AD216-1088-488C-A155-CA1C417E96F9}"/>
    <cellStyle name="Normal 4 6 3 2 6" xfId="2556" xr:uid="{00000000-0005-0000-0000-000065160000}"/>
    <cellStyle name="Normal 4 6 3 2 6 2" xfId="6840" xr:uid="{00000000-0005-0000-0000-000066160000}"/>
    <cellStyle name="Normal 4 6 3 2 6 2 2" xfId="23723" xr:uid="{DE7FAC55-EDD7-471D-9786-01C5A92D098D}"/>
    <cellStyle name="Normal 4 6 3 2 6 2 3" xfId="32169" xr:uid="{459E952B-317E-4659-A120-9377087BC419}"/>
    <cellStyle name="Normal 4 6 3 2 6 2 4" xfId="15282" xr:uid="{8A4F2929-5569-442E-BBB8-D3682560CF5B}"/>
    <cellStyle name="Normal 4 6 3 2 6 3" xfId="19505" xr:uid="{9C6C5E39-9F0D-4102-B878-CBDAD7E51D15}"/>
    <cellStyle name="Normal 4 6 3 2 6 4" xfId="27950" xr:uid="{E7FE71DA-4605-4266-AD65-D80792E2E153}"/>
    <cellStyle name="Normal 4 6 3 2 6 5" xfId="11064" xr:uid="{6BAEBA43-7AFD-4B44-901E-606567F23641}"/>
    <cellStyle name="Normal 4 6 3 2 7" xfId="4775" xr:uid="{00000000-0005-0000-0000-000067160000}"/>
    <cellStyle name="Normal 4 6 3 2 7 2" xfId="21658" xr:uid="{03D9F702-6EF7-4036-995E-5F18EC477788}"/>
    <cellStyle name="Normal 4 6 3 2 7 3" xfId="30104" xr:uid="{4AB4B158-1C73-4CA4-A27B-492B9BD6794F}"/>
    <cellStyle name="Normal 4 6 3 2 7 4" xfId="13217" xr:uid="{576B6065-C4BD-48DB-9B1D-62D93547FF51}"/>
    <cellStyle name="Normal 4 6 3 2 8" xfId="17440" xr:uid="{975D67B9-E355-4913-A47A-97D29DCA977D}"/>
    <cellStyle name="Normal 4 6 3 2 9" xfId="25884" xr:uid="{F3F51BB2-42A3-47AC-92E7-3DCD37F91390}"/>
    <cellStyle name="Normal 4 6 3 3" xfId="874" xr:uid="{00000000-0005-0000-0000-000068160000}"/>
    <cellStyle name="Normal 4 6 3 3 2" xfId="3109" xr:uid="{00000000-0005-0000-0000-000069160000}"/>
    <cellStyle name="Normal 4 6 3 3 2 2" xfId="7332" xr:uid="{00000000-0005-0000-0000-00006A160000}"/>
    <cellStyle name="Normal 4 6 3 3 2 2 2" xfId="24215" xr:uid="{6600C941-DB29-4533-81A5-FA4AD55E4E08}"/>
    <cellStyle name="Normal 4 6 3 3 2 2 3" xfId="32661" xr:uid="{1AD6ED50-3472-4034-BAD6-CA49BCC5F636}"/>
    <cellStyle name="Normal 4 6 3 3 2 2 4" xfId="15774" xr:uid="{7E43A4A2-5F98-4893-98E1-07C9A707DE78}"/>
    <cellStyle name="Normal 4 6 3 3 2 3" xfId="19997" xr:uid="{87FC9AD1-DA9F-4AC9-9ACC-6759654B4891}"/>
    <cellStyle name="Normal 4 6 3 3 2 4" xfId="28444" xr:uid="{2F82F2E8-BB19-4150-BC58-587C57724B02}"/>
    <cellStyle name="Normal 4 6 3 3 2 5" xfId="11556" xr:uid="{3F7D3323-6634-481A-B6B5-4D7BA7C374CC}"/>
    <cellStyle name="Normal 4 6 3 3 3" xfId="5187" xr:uid="{00000000-0005-0000-0000-00006B160000}"/>
    <cellStyle name="Normal 4 6 3 3 3 2" xfId="22070" xr:uid="{CF46847C-C887-4319-9C22-B39B21AD9AE8}"/>
    <cellStyle name="Normal 4 6 3 3 3 3" xfId="30516" xr:uid="{900E604C-B49A-4BD1-86E2-A70E4720EF7B}"/>
    <cellStyle name="Normal 4 6 3 3 3 4" xfId="13629" xr:uid="{C0A7A5D4-E9EC-4C88-96FB-8D0A99C205D4}"/>
    <cellStyle name="Normal 4 6 3 3 4" xfId="17852" xr:uid="{237AAF4B-FDE4-4A7A-8707-87BEB80692A5}"/>
    <cellStyle name="Normal 4 6 3 3 5" xfId="26297" xr:uid="{B32A1A27-9C61-421F-B6EB-7043C4488B2D}"/>
    <cellStyle name="Normal 4 6 3 3 6" xfId="9411" xr:uid="{B748506A-F242-4C89-BF3B-FE0D1CA338C9}"/>
    <cellStyle name="Normal 4 6 3 4" xfId="1292" xr:uid="{00000000-0005-0000-0000-00006C160000}"/>
    <cellStyle name="Normal 4 6 3 4 2" xfId="3522" xr:uid="{00000000-0005-0000-0000-00006D160000}"/>
    <cellStyle name="Normal 4 6 3 4 2 2" xfId="7745" xr:uid="{00000000-0005-0000-0000-00006E160000}"/>
    <cellStyle name="Normal 4 6 3 4 2 2 2" xfId="24628" xr:uid="{A8A07920-E3E7-4F93-B7C1-999A908F604E}"/>
    <cellStyle name="Normal 4 6 3 4 2 2 3" xfId="33074" xr:uid="{BAD08143-A77B-493C-9C07-F43FFE21BE76}"/>
    <cellStyle name="Normal 4 6 3 4 2 2 4" xfId="16187" xr:uid="{AE4F3FD4-9723-429F-BBDD-584E1844A367}"/>
    <cellStyle name="Normal 4 6 3 4 2 3" xfId="20410" xr:uid="{9DA1EF30-0BE7-4E9B-AC87-0DE5A94E217E}"/>
    <cellStyle name="Normal 4 6 3 4 2 4" xfId="28857" xr:uid="{DF4E9A76-3E66-42CF-9CAB-6DB217585EE9}"/>
    <cellStyle name="Normal 4 6 3 4 2 5" xfId="11969" xr:uid="{E52C56D4-E6B0-4422-A84B-3A0D81BCAEFB}"/>
    <cellStyle name="Normal 4 6 3 4 3" xfId="5600" xr:uid="{00000000-0005-0000-0000-00006F160000}"/>
    <cellStyle name="Normal 4 6 3 4 3 2" xfId="22483" xr:uid="{81B27ED0-785D-464D-9059-BD74E9948BD9}"/>
    <cellStyle name="Normal 4 6 3 4 3 3" xfId="30929" xr:uid="{0033E9C6-BDB5-44CD-847C-12C0D8EE0D9A}"/>
    <cellStyle name="Normal 4 6 3 4 3 4" xfId="14042" xr:uid="{AE062F8D-685F-446A-BE91-2851BA093478}"/>
    <cellStyle name="Normal 4 6 3 4 4" xfId="18265" xr:uid="{9C41FDAB-0FD3-4D6B-BC8A-41D1B8E7579B}"/>
    <cellStyle name="Normal 4 6 3 4 5" xfId="26710" xr:uid="{DA92B84E-B7E6-4618-84DA-FA7CF90DEE70}"/>
    <cellStyle name="Normal 4 6 3 4 6" xfId="9824" xr:uid="{4F1757AF-28B3-4B79-B79B-A31FDF98F56A}"/>
    <cellStyle name="Normal 4 6 3 5" xfId="1705" xr:uid="{00000000-0005-0000-0000-000070160000}"/>
    <cellStyle name="Normal 4 6 3 5 2" xfId="3935" xr:uid="{00000000-0005-0000-0000-000071160000}"/>
    <cellStyle name="Normal 4 6 3 5 2 2" xfId="8158" xr:uid="{00000000-0005-0000-0000-000072160000}"/>
    <cellStyle name="Normal 4 6 3 5 2 2 2" xfId="25041" xr:uid="{37CFC9B6-4092-40E8-BE82-6F775C62BD7A}"/>
    <cellStyle name="Normal 4 6 3 5 2 2 3" xfId="33487" xr:uid="{D4E74BAC-2E33-4935-9B82-01E85BBB7D4B}"/>
    <cellStyle name="Normal 4 6 3 5 2 2 4" xfId="16600" xr:uid="{5766AFDB-ADC6-43C7-AD3B-0CEFDDE750EC}"/>
    <cellStyle name="Normal 4 6 3 5 2 3" xfId="20823" xr:uid="{D4F93581-F14F-41BF-82D3-16FE5A962D75}"/>
    <cellStyle name="Normal 4 6 3 5 2 4" xfId="29270" xr:uid="{4146E259-3513-47EF-8EB1-E653E739CEEE}"/>
    <cellStyle name="Normal 4 6 3 5 2 5" xfId="12382" xr:uid="{D2B53418-914B-4A51-8FB3-0C395C63DC14}"/>
    <cellStyle name="Normal 4 6 3 5 3" xfId="6013" xr:uid="{00000000-0005-0000-0000-000073160000}"/>
    <cellStyle name="Normal 4 6 3 5 3 2" xfId="22896" xr:uid="{FF4EB0FF-6343-4D5D-AA26-A63FFC7ACAA1}"/>
    <cellStyle name="Normal 4 6 3 5 3 3" xfId="31342" xr:uid="{7D39E399-B402-47DF-BDDA-745AB4A59170}"/>
    <cellStyle name="Normal 4 6 3 5 3 4" xfId="14455" xr:uid="{75143307-1FDC-4117-B70F-73314A000081}"/>
    <cellStyle name="Normal 4 6 3 5 4" xfId="18678" xr:uid="{B1B64EE7-8940-4A16-84C5-6F223E93C2FC}"/>
    <cellStyle name="Normal 4 6 3 5 5" xfId="27123" xr:uid="{A50EE4B2-9100-41EA-9BD4-44908F7CB9CB}"/>
    <cellStyle name="Normal 4 6 3 5 6" xfId="10237" xr:uid="{4B02C6B7-35D1-4FF1-BF7B-0E4D1DFB7E96}"/>
    <cellStyle name="Normal 4 6 3 6" xfId="2119" xr:uid="{00000000-0005-0000-0000-000074160000}"/>
    <cellStyle name="Normal 4 6 3 6 2" xfId="4348" xr:uid="{00000000-0005-0000-0000-000075160000}"/>
    <cellStyle name="Normal 4 6 3 6 2 2" xfId="8571" xr:uid="{00000000-0005-0000-0000-000076160000}"/>
    <cellStyle name="Normal 4 6 3 6 2 2 2" xfId="25454" xr:uid="{72DA42CD-2582-45ED-9BE5-05FF8ADA1CC4}"/>
    <cellStyle name="Normal 4 6 3 6 2 2 3" xfId="33900" xr:uid="{042C9149-0EF7-4434-9518-7392F189CC19}"/>
    <cellStyle name="Normal 4 6 3 6 2 2 4" xfId="17013" xr:uid="{E318BDE2-D60E-4D6D-96AA-F9EDF3BC664C}"/>
    <cellStyle name="Normal 4 6 3 6 2 3" xfId="21236" xr:uid="{14F130E0-17AC-45F5-9AC2-F147EA099711}"/>
    <cellStyle name="Normal 4 6 3 6 2 4" xfId="29683" xr:uid="{F51D8C8B-FB5A-4AA6-AE3C-DBB12CE98FFD}"/>
    <cellStyle name="Normal 4 6 3 6 2 5" xfId="12795" xr:uid="{20138181-C0E6-4DEB-AF4B-191CBDD5E2E2}"/>
    <cellStyle name="Normal 4 6 3 6 3" xfId="6426" xr:uid="{00000000-0005-0000-0000-000077160000}"/>
    <cellStyle name="Normal 4 6 3 6 3 2" xfId="23309" xr:uid="{5FCE2CD8-48F4-4B27-A7B6-4192A7F53CE7}"/>
    <cellStyle name="Normal 4 6 3 6 3 3" xfId="31755" xr:uid="{FB3E74B0-D025-4890-A873-4D4062544DE9}"/>
    <cellStyle name="Normal 4 6 3 6 3 4" xfId="14868" xr:uid="{75D5E7F2-24ED-4687-8442-6DDD21032E08}"/>
    <cellStyle name="Normal 4 6 3 6 4" xfId="19091" xr:uid="{F5CEA396-B27C-493C-9888-4E2593B8A652}"/>
    <cellStyle name="Normal 4 6 3 6 5" xfId="27536" xr:uid="{D56A5609-6A40-4190-8A78-CD4DF69FBB5D}"/>
    <cellStyle name="Normal 4 6 3 6 6" xfId="10650" xr:uid="{41E8DC6B-83F3-4C87-BF4C-E4A6D25659FE}"/>
    <cellStyle name="Normal 4 6 3 7" xfId="2555" xr:uid="{00000000-0005-0000-0000-000078160000}"/>
    <cellStyle name="Normal 4 6 3 7 2" xfId="6839" xr:uid="{00000000-0005-0000-0000-000079160000}"/>
    <cellStyle name="Normal 4 6 3 7 2 2" xfId="23722" xr:uid="{EBE239F5-2C7E-4008-8133-6EDCC43C3971}"/>
    <cellStyle name="Normal 4 6 3 7 2 3" xfId="32168" xr:uid="{26066164-8769-44CE-A3DB-C3A8E210B946}"/>
    <cellStyle name="Normal 4 6 3 7 2 4" xfId="15281" xr:uid="{E93F527C-DC28-4B17-82E2-3C47625CF69F}"/>
    <cellStyle name="Normal 4 6 3 7 3" xfId="19504" xr:uid="{9DBB202D-C07F-48E9-9BCD-48B289228460}"/>
    <cellStyle name="Normal 4 6 3 7 4" xfId="27949" xr:uid="{8816538B-535A-41A6-8825-78701CC5772D}"/>
    <cellStyle name="Normal 4 6 3 7 5" xfId="11063" xr:uid="{3C71BC7A-FECA-4EB7-ACC8-C75DCD457391}"/>
    <cellStyle name="Normal 4 6 3 8" xfId="4774" xr:uid="{00000000-0005-0000-0000-00007A160000}"/>
    <cellStyle name="Normal 4 6 3 8 2" xfId="21657" xr:uid="{048C21EC-08E9-4038-808B-C35F44368893}"/>
    <cellStyle name="Normal 4 6 3 8 3" xfId="30103" xr:uid="{18559246-8DCA-4C26-BE1F-5822625A2D3C}"/>
    <cellStyle name="Normal 4 6 3 8 4" xfId="13216" xr:uid="{67670194-36B9-4F5D-ABE6-815F297C1EF4}"/>
    <cellStyle name="Normal 4 6 3 9" xfId="17439" xr:uid="{4C70FB14-CC57-4F8C-AE75-37F30ED07B3C}"/>
    <cellStyle name="Normal 4 6 4" xfId="402" xr:uid="{00000000-0005-0000-0000-00007B160000}"/>
    <cellStyle name="Normal 4 6 4 10" xfId="9000" xr:uid="{8398ECED-ADF6-46FB-8C5D-24F381B11DA7}"/>
    <cellStyle name="Normal 4 6 4 2" xfId="876" xr:uid="{00000000-0005-0000-0000-00007C160000}"/>
    <cellStyle name="Normal 4 6 4 2 2" xfId="3111" xr:uid="{00000000-0005-0000-0000-00007D160000}"/>
    <cellStyle name="Normal 4 6 4 2 2 2" xfId="7334" xr:uid="{00000000-0005-0000-0000-00007E160000}"/>
    <cellStyle name="Normal 4 6 4 2 2 2 2" xfId="24217" xr:uid="{3CA33911-8627-48F4-8D09-390C34104E11}"/>
    <cellStyle name="Normal 4 6 4 2 2 2 3" xfId="32663" xr:uid="{A47634C9-82B5-42E4-AFA3-F090910B0161}"/>
    <cellStyle name="Normal 4 6 4 2 2 2 4" xfId="15776" xr:uid="{4EF9A699-B23A-4E33-B771-59011FE2E2D2}"/>
    <cellStyle name="Normal 4 6 4 2 2 3" xfId="19999" xr:uid="{D38A1EC0-BBF0-4CB6-B881-4DDB014253F9}"/>
    <cellStyle name="Normal 4 6 4 2 2 4" xfId="28446" xr:uid="{4DE42D43-FCAE-4CF0-BBE0-3DDAE0F0014B}"/>
    <cellStyle name="Normal 4 6 4 2 2 5" xfId="11558" xr:uid="{691AA316-7EBF-41B0-9992-E72FE737360D}"/>
    <cellStyle name="Normal 4 6 4 2 3" xfId="5189" xr:uid="{00000000-0005-0000-0000-00007F160000}"/>
    <cellStyle name="Normal 4 6 4 2 3 2" xfId="22072" xr:uid="{8F772587-306E-45CA-9B8F-1299F5C15CB2}"/>
    <cellStyle name="Normal 4 6 4 2 3 3" xfId="30518" xr:uid="{18F699D7-4C64-4322-A5FF-5252AF21C77C}"/>
    <cellStyle name="Normal 4 6 4 2 3 4" xfId="13631" xr:uid="{B85B089E-9977-48BA-93C6-E3B763570F56}"/>
    <cellStyle name="Normal 4 6 4 2 4" xfId="17854" xr:uid="{F800E3E9-F5E6-4344-A95F-DA1EDC7AC0C3}"/>
    <cellStyle name="Normal 4 6 4 2 5" xfId="26299" xr:uid="{4E2F33B8-8798-47A2-8530-AC941246B401}"/>
    <cellStyle name="Normal 4 6 4 2 6" xfId="9413" xr:uid="{708E2188-7339-4B76-8C51-63E143D93361}"/>
    <cellStyle name="Normal 4 6 4 3" xfId="1294" xr:uid="{00000000-0005-0000-0000-000080160000}"/>
    <cellStyle name="Normal 4 6 4 3 2" xfId="3524" xr:uid="{00000000-0005-0000-0000-000081160000}"/>
    <cellStyle name="Normal 4 6 4 3 2 2" xfId="7747" xr:uid="{00000000-0005-0000-0000-000082160000}"/>
    <cellStyle name="Normal 4 6 4 3 2 2 2" xfId="24630" xr:uid="{605C74D1-E3BD-472F-BC32-4AB686F03688}"/>
    <cellStyle name="Normal 4 6 4 3 2 2 3" xfId="33076" xr:uid="{FEFDF167-7111-410B-8CA9-03B770D0C2C1}"/>
    <cellStyle name="Normal 4 6 4 3 2 2 4" xfId="16189" xr:uid="{6227C4E0-D3C4-4EB0-AC26-70D757357621}"/>
    <cellStyle name="Normal 4 6 4 3 2 3" xfId="20412" xr:uid="{F326E5BA-EC9A-4D7D-9704-6050601DB071}"/>
    <cellStyle name="Normal 4 6 4 3 2 4" xfId="28859" xr:uid="{38E1EBD4-343C-433E-9F6A-AF7B29737646}"/>
    <cellStyle name="Normal 4 6 4 3 2 5" xfId="11971" xr:uid="{D26D5E0A-F5F3-4932-BA79-EB13901773EB}"/>
    <cellStyle name="Normal 4 6 4 3 3" xfId="5602" xr:uid="{00000000-0005-0000-0000-000083160000}"/>
    <cellStyle name="Normal 4 6 4 3 3 2" xfId="22485" xr:uid="{B12E00F3-815E-4357-B4EB-A8A62D5DC4BC}"/>
    <cellStyle name="Normal 4 6 4 3 3 3" xfId="30931" xr:uid="{3443FDD6-5E4F-4F36-92E0-5D99253CC7EE}"/>
    <cellStyle name="Normal 4 6 4 3 3 4" xfId="14044" xr:uid="{364B9F13-56CB-498C-8536-B332FC6DEB6F}"/>
    <cellStyle name="Normal 4 6 4 3 4" xfId="18267" xr:uid="{43F6261C-A2F4-4497-8E94-483CF5EB284C}"/>
    <cellStyle name="Normal 4 6 4 3 5" xfId="26712" xr:uid="{6CB3AC4F-94E6-4510-8C31-0D0FB123FAAB}"/>
    <cellStyle name="Normal 4 6 4 3 6" xfId="9826" xr:uid="{F223DC44-8DC2-49FF-A013-3685138B53BA}"/>
    <cellStyle name="Normal 4 6 4 4" xfId="1707" xr:uid="{00000000-0005-0000-0000-000084160000}"/>
    <cellStyle name="Normal 4 6 4 4 2" xfId="3937" xr:uid="{00000000-0005-0000-0000-000085160000}"/>
    <cellStyle name="Normal 4 6 4 4 2 2" xfId="8160" xr:uid="{00000000-0005-0000-0000-000086160000}"/>
    <cellStyle name="Normal 4 6 4 4 2 2 2" xfId="25043" xr:uid="{3B7E7B06-CBE5-4B72-961B-4E13BD026D79}"/>
    <cellStyle name="Normal 4 6 4 4 2 2 3" xfId="33489" xr:uid="{82AE9D72-AE90-4A56-98EF-C51115E0664D}"/>
    <cellStyle name="Normal 4 6 4 4 2 2 4" xfId="16602" xr:uid="{1513C2AC-7332-491A-B631-373DCD3EEFEA}"/>
    <cellStyle name="Normal 4 6 4 4 2 3" xfId="20825" xr:uid="{DB037300-0CFD-4C6F-BC97-DDBE33F762B7}"/>
    <cellStyle name="Normal 4 6 4 4 2 4" xfId="29272" xr:uid="{67B71281-57D3-4C6B-9491-E3A6692E937F}"/>
    <cellStyle name="Normal 4 6 4 4 2 5" xfId="12384" xr:uid="{5E8A6B5B-71B6-4DB7-8CAB-CECD40449C2F}"/>
    <cellStyle name="Normal 4 6 4 4 3" xfId="6015" xr:uid="{00000000-0005-0000-0000-000087160000}"/>
    <cellStyle name="Normal 4 6 4 4 3 2" xfId="22898" xr:uid="{B12CB33D-0B05-4226-8878-9E9105E1EC07}"/>
    <cellStyle name="Normal 4 6 4 4 3 3" xfId="31344" xr:uid="{B3948076-DBAA-405B-A754-97FCF8040D8C}"/>
    <cellStyle name="Normal 4 6 4 4 3 4" xfId="14457" xr:uid="{0A21CA41-3DB5-4E07-8EFB-3077C63917D7}"/>
    <cellStyle name="Normal 4 6 4 4 4" xfId="18680" xr:uid="{DA29A4FF-7699-4985-B059-3B44C47EE9A5}"/>
    <cellStyle name="Normal 4 6 4 4 5" xfId="27125" xr:uid="{8EE14474-28A6-4058-8BA5-BE5A301B554D}"/>
    <cellStyle name="Normal 4 6 4 4 6" xfId="10239" xr:uid="{5BB97850-F207-4314-AFE0-B7A8775CEFB6}"/>
    <cellStyle name="Normal 4 6 4 5" xfId="2121" xr:uid="{00000000-0005-0000-0000-000088160000}"/>
    <cellStyle name="Normal 4 6 4 5 2" xfId="4350" xr:uid="{00000000-0005-0000-0000-000089160000}"/>
    <cellStyle name="Normal 4 6 4 5 2 2" xfId="8573" xr:uid="{00000000-0005-0000-0000-00008A160000}"/>
    <cellStyle name="Normal 4 6 4 5 2 2 2" xfId="25456" xr:uid="{250F0076-186C-4428-A68B-D40D2897FB00}"/>
    <cellStyle name="Normal 4 6 4 5 2 2 3" xfId="33902" xr:uid="{01264F80-CA2E-4EB3-A6DF-6BB89C9DE03B}"/>
    <cellStyle name="Normal 4 6 4 5 2 2 4" xfId="17015" xr:uid="{209C3B91-9CFD-4CAB-B74C-F9E343486B84}"/>
    <cellStyle name="Normal 4 6 4 5 2 3" xfId="21238" xr:uid="{D33BA340-A4A4-4C82-A4CC-3CED248B510F}"/>
    <cellStyle name="Normal 4 6 4 5 2 4" xfId="29685" xr:uid="{2CEC34E8-BABD-4AC1-BF74-D24327038D47}"/>
    <cellStyle name="Normal 4 6 4 5 2 5" xfId="12797" xr:uid="{10423AEB-4E5D-4FEF-8AF9-16FFE40321D0}"/>
    <cellStyle name="Normal 4 6 4 5 3" xfId="6428" xr:uid="{00000000-0005-0000-0000-00008B160000}"/>
    <cellStyle name="Normal 4 6 4 5 3 2" xfId="23311" xr:uid="{E25AAEAB-5433-4F31-A207-ED9BF86602D9}"/>
    <cellStyle name="Normal 4 6 4 5 3 3" xfId="31757" xr:uid="{C8170128-8137-4D6F-BC5B-B42EC6318FBB}"/>
    <cellStyle name="Normal 4 6 4 5 3 4" xfId="14870" xr:uid="{D9DEC2C7-398B-477E-AA84-6215C1593A54}"/>
    <cellStyle name="Normal 4 6 4 5 4" xfId="19093" xr:uid="{CA136B6B-45B5-4060-A9AF-AD0F752C9614}"/>
    <cellStyle name="Normal 4 6 4 5 5" xfId="27538" xr:uid="{62A9AA04-9334-4B7A-82F6-4C1AA27D266E}"/>
    <cellStyle name="Normal 4 6 4 5 6" xfId="10652" xr:uid="{9C3D3DFB-0B4A-46B0-95A3-03E3E568C7E4}"/>
    <cellStyle name="Normal 4 6 4 6" xfId="2557" xr:uid="{00000000-0005-0000-0000-00008C160000}"/>
    <cellStyle name="Normal 4 6 4 6 2" xfId="6841" xr:uid="{00000000-0005-0000-0000-00008D160000}"/>
    <cellStyle name="Normal 4 6 4 6 2 2" xfId="23724" xr:uid="{F690F611-AC9B-41A5-9AC6-E6D6A8721E59}"/>
    <cellStyle name="Normal 4 6 4 6 2 3" xfId="32170" xr:uid="{947AC508-C704-42A9-BB75-F179968285EE}"/>
    <cellStyle name="Normal 4 6 4 6 2 4" xfId="15283" xr:uid="{8B890BF9-5D52-4154-AB5B-545A5F96C064}"/>
    <cellStyle name="Normal 4 6 4 6 3" xfId="19506" xr:uid="{411FFB87-4E02-412F-8F9D-EFC8B129BB4B}"/>
    <cellStyle name="Normal 4 6 4 6 4" xfId="27951" xr:uid="{06DB2D6C-6E5F-4E88-BF6E-2BA7C744586B}"/>
    <cellStyle name="Normal 4 6 4 6 5" xfId="11065" xr:uid="{E33DBC2F-DEC3-4F5C-94A7-7F210D8010D0}"/>
    <cellStyle name="Normal 4 6 4 7" xfId="4776" xr:uid="{00000000-0005-0000-0000-00008E160000}"/>
    <cellStyle name="Normal 4 6 4 7 2" xfId="21659" xr:uid="{E8806C01-7B24-49BB-A664-ECE8F3FF5645}"/>
    <cellStyle name="Normal 4 6 4 7 3" xfId="30105" xr:uid="{7D18809B-60C5-44D8-84CE-96A81F80CF2A}"/>
    <cellStyle name="Normal 4 6 4 7 4" xfId="13218" xr:uid="{766D0BA2-BB11-4DA2-98C0-9340E1D4F2F7}"/>
    <cellStyle name="Normal 4 6 4 8" xfId="17441" xr:uid="{49FDF5B0-D4E6-42CE-A43D-28D3AE2587E7}"/>
    <cellStyle name="Normal 4 6 4 9" xfId="25885" xr:uid="{2C95DF16-EE5A-403F-A470-F501604A38C9}"/>
    <cellStyle name="Normal 4 6 5" xfId="869" xr:uid="{00000000-0005-0000-0000-00008F160000}"/>
    <cellStyle name="Normal 4 6 5 2" xfId="3104" xr:uid="{00000000-0005-0000-0000-000090160000}"/>
    <cellStyle name="Normal 4 6 5 2 2" xfId="7327" xr:uid="{00000000-0005-0000-0000-000091160000}"/>
    <cellStyle name="Normal 4 6 5 2 2 2" xfId="24210" xr:uid="{0948F6B9-2890-4398-9868-B8C5AF64AE15}"/>
    <cellStyle name="Normal 4 6 5 2 2 3" xfId="32656" xr:uid="{304F56CD-F025-4FFF-B7C7-CBD363EDF794}"/>
    <cellStyle name="Normal 4 6 5 2 2 4" xfId="15769" xr:uid="{90D099CA-C3FC-4859-A64E-AA12B28F183E}"/>
    <cellStyle name="Normal 4 6 5 2 3" xfId="19992" xr:uid="{9BC788FF-1DD0-4C71-969E-87960C54D78E}"/>
    <cellStyle name="Normal 4 6 5 2 4" xfId="28439" xr:uid="{97C254F2-55D3-4C4C-8787-7FC718A4D125}"/>
    <cellStyle name="Normal 4 6 5 2 5" xfId="11551" xr:uid="{F15DABDA-2973-4683-B45E-F893F1A6E6BB}"/>
    <cellStyle name="Normal 4 6 5 3" xfId="5182" xr:uid="{00000000-0005-0000-0000-000092160000}"/>
    <cellStyle name="Normal 4 6 5 3 2" xfId="22065" xr:uid="{89ED7E7A-02EB-4D5E-B320-B45BAA3BCE18}"/>
    <cellStyle name="Normal 4 6 5 3 3" xfId="30511" xr:uid="{9FE74998-9659-4135-88E4-B3602A0B0C93}"/>
    <cellStyle name="Normal 4 6 5 3 4" xfId="13624" xr:uid="{04067D5A-45A8-4C53-A773-40F847135F6A}"/>
    <cellStyle name="Normal 4 6 5 4" xfId="17847" xr:uid="{7C5C064C-388B-481E-A08A-1C5EA0773D59}"/>
    <cellStyle name="Normal 4 6 5 5" xfId="26292" xr:uid="{46A916DE-E477-411E-A636-06F9F617CFA0}"/>
    <cellStyle name="Normal 4 6 5 6" xfId="9406" xr:uid="{F14A74B1-28F6-4650-BE9C-1B8A2A2129E6}"/>
    <cellStyle name="Normal 4 6 6" xfId="1287" xr:uid="{00000000-0005-0000-0000-000093160000}"/>
    <cellStyle name="Normal 4 6 6 2" xfId="3517" xr:uid="{00000000-0005-0000-0000-000094160000}"/>
    <cellStyle name="Normal 4 6 6 2 2" xfId="7740" xr:uid="{00000000-0005-0000-0000-000095160000}"/>
    <cellStyle name="Normal 4 6 6 2 2 2" xfId="24623" xr:uid="{7D0B84A2-B7C5-4106-BB2F-619F39A96792}"/>
    <cellStyle name="Normal 4 6 6 2 2 3" xfId="33069" xr:uid="{BD6B538A-D20B-4B20-AA09-023B16237913}"/>
    <cellStyle name="Normal 4 6 6 2 2 4" xfId="16182" xr:uid="{4853A6BD-59D2-4E3F-B107-D95A18E00E4C}"/>
    <cellStyle name="Normal 4 6 6 2 3" xfId="20405" xr:uid="{2A8F9471-3528-4637-AD30-E560510E53F1}"/>
    <cellStyle name="Normal 4 6 6 2 4" xfId="28852" xr:uid="{920102D2-6AA6-489D-B8B8-8B27B3D61E5E}"/>
    <cellStyle name="Normal 4 6 6 2 5" xfId="11964" xr:uid="{187E4F8A-2916-4C8A-8111-64D5348ADA2B}"/>
    <cellStyle name="Normal 4 6 6 3" xfId="5595" xr:uid="{00000000-0005-0000-0000-000096160000}"/>
    <cellStyle name="Normal 4 6 6 3 2" xfId="22478" xr:uid="{83A7E81D-84BD-4C1E-8037-9797EF59296F}"/>
    <cellStyle name="Normal 4 6 6 3 3" xfId="30924" xr:uid="{C17DE85D-D0A2-4F49-91BE-D5B8BE60BAB4}"/>
    <cellStyle name="Normal 4 6 6 3 4" xfId="14037" xr:uid="{A266782E-67DD-4393-AB5A-8BB9D22627A9}"/>
    <cellStyle name="Normal 4 6 6 4" xfId="18260" xr:uid="{4120A395-3BF1-43CE-9F1A-00EFCEFB5BD6}"/>
    <cellStyle name="Normal 4 6 6 5" xfId="26705" xr:uid="{9BE51642-42DD-4251-9580-5482DFB0D7DB}"/>
    <cellStyle name="Normal 4 6 6 6" xfId="9819" xr:uid="{1042448F-4E3C-4699-B794-508152A24153}"/>
    <cellStyle name="Normal 4 6 7" xfId="1700" xr:uid="{00000000-0005-0000-0000-000097160000}"/>
    <cellStyle name="Normal 4 6 7 2" xfId="3930" xr:uid="{00000000-0005-0000-0000-000098160000}"/>
    <cellStyle name="Normal 4 6 7 2 2" xfId="8153" xr:uid="{00000000-0005-0000-0000-000099160000}"/>
    <cellStyle name="Normal 4 6 7 2 2 2" xfId="25036" xr:uid="{6DF5B6D2-3287-4011-9A22-CC6CECFAE30C}"/>
    <cellStyle name="Normal 4 6 7 2 2 3" xfId="33482" xr:uid="{BD09C7B4-C800-4324-BF70-0098ADB42188}"/>
    <cellStyle name="Normal 4 6 7 2 2 4" xfId="16595" xr:uid="{4BF793D2-4685-4442-AE23-A3DD1A1BAC45}"/>
    <cellStyle name="Normal 4 6 7 2 3" xfId="20818" xr:uid="{A9B27ED6-E50D-48B4-8D64-983AE3D33D59}"/>
    <cellStyle name="Normal 4 6 7 2 4" xfId="29265" xr:uid="{9234E6CE-7258-4790-9F7B-71AAF344BDE5}"/>
    <cellStyle name="Normal 4 6 7 2 5" xfId="12377" xr:uid="{EE0FC553-A013-42AA-ACA0-F6A52DBDE0DF}"/>
    <cellStyle name="Normal 4 6 7 3" xfId="6008" xr:uid="{00000000-0005-0000-0000-00009A160000}"/>
    <cellStyle name="Normal 4 6 7 3 2" xfId="22891" xr:uid="{1AE2C7A2-DDD2-4BDD-A5CB-ADBD9175CA2A}"/>
    <cellStyle name="Normal 4 6 7 3 3" xfId="31337" xr:uid="{50921C43-F5B7-4729-B0AF-2096B8CC760B}"/>
    <cellStyle name="Normal 4 6 7 3 4" xfId="14450" xr:uid="{D51D69C4-C4C1-4E89-A201-0C511DEE0E3F}"/>
    <cellStyle name="Normal 4 6 7 4" xfId="18673" xr:uid="{9506DC68-8B72-49E3-A2D2-8DAFE24C76B8}"/>
    <cellStyle name="Normal 4 6 7 5" xfId="27118" xr:uid="{7C93C292-3E42-4D59-8148-C1F0ED1A5E9E}"/>
    <cellStyle name="Normal 4 6 7 6" xfId="10232" xr:uid="{B0FBC2D8-B2A3-40B8-8112-6CDBB97CFC67}"/>
    <cellStyle name="Normal 4 6 8" xfId="2114" xr:uid="{00000000-0005-0000-0000-00009B160000}"/>
    <cellStyle name="Normal 4 6 8 2" xfId="4343" xr:uid="{00000000-0005-0000-0000-00009C160000}"/>
    <cellStyle name="Normal 4 6 8 2 2" xfId="8566" xr:uid="{00000000-0005-0000-0000-00009D160000}"/>
    <cellStyle name="Normal 4 6 8 2 2 2" xfId="25449" xr:uid="{CFC4475A-18E7-4E18-A5E6-981FADDACF27}"/>
    <cellStyle name="Normal 4 6 8 2 2 3" xfId="33895" xr:uid="{4E722578-0C16-4CD5-B2F9-6D78A567DD4E}"/>
    <cellStyle name="Normal 4 6 8 2 2 4" xfId="17008" xr:uid="{1E033222-AA08-4822-8285-A5784FA84960}"/>
    <cellStyle name="Normal 4 6 8 2 3" xfId="21231" xr:uid="{C55E24AB-3149-4129-9DA2-C19A33FD9A3E}"/>
    <cellStyle name="Normal 4 6 8 2 4" xfId="29678" xr:uid="{DA317328-EB9F-43D0-80F2-7D9232F9B7C3}"/>
    <cellStyle name="Normal 4 6 8 2 5" xfId="12790" xr:uid="{BAE6103D-98C6-4BB7-A515-CA980AA35810}"/>
    <cellStyle name="Normal 4 6 8 3" xfId="6421" xr:uid="{00000000-0005-0000-0000-00009E160000}"/>
    <cellStyle name="Normal 4 6 8 3 2" xfId="23304" xr:uid="{12DC4A1F-7F11-472F-B35D-33D0A2029442}"/>
    <cellStyle name="Normal 4 6 8 3 3" xfId="31750" xr:uid="{3DDD8106-96D1-4D48-A2CD-A25273C5FCA2}"/>
    <cellStyle name="Normal 4 6 8 3 4" xfId="14863" xr:uid="{A9EBB265-DD33-43D1-9DA4-C537D1AF05EC}"/>
    <cellStyle name="Normal 4 6 8 4" xfId="19086" xr:uid="{6413BE8D-12C9-4919-BE9C-69F1CB2F647C}"/>
    <cellStyle name="Normal 4 6 8 5" xfId="27531" xr:uid="{B5A36244-8F35-46D4-B26A-E111095D245F}"/>
    <cellStyle name="Normal 4 6 8 6" xfId="10645" xr:uid="{3964D399-260E-485B-B2B5-AAA81819AE30}"/>
    <cellStyle name="Normal 4 6 9" xfId="2550" xr:uid="{00000000-0005-0000-0000-00009F160000}"/>
    <cellStyle name="Normal 4 6 9 2" xfId="6834" xr:uid="{00000000-0005-0000-0000-0000A0160000}"/>
    <cellStyle name="Normal 4 6 9 2 2" xfId="23717" xr:uid="{8A3A724B-1A30-403B-BB24-3034C8EF80D2}"/>
    <cellStyle name="Normal 4 6 9 2 3" xfId="32163" xr:uid="{691E5323-CE55-4FFA-AC71-0B194F67BC43}"/>
    <cellStyle name="Normal 4 6 9 2 4" xfId="15276" xr:uid="{5CB5E625-A616-4218-AF89-E1D028390D2F}"/>
    <cellStyle name="Normal 4 6 9 3" xfId="19499" xr:uid="{A143003E-6494-493C-87BA-F0B847FBC097}"/>
    <cellStyle name="Normal 4 6 9 4" xfId="27944" xr:uid="{DBC558DB-5013-4A41-B035-42F3D136E834}"/>
    <cellStyle name="Normal 4 6 9 5" xfId="11058" xr:uid="{6084F9E0-0633-48E6-A47C-EB92A728B70D}"/>
    <cellStyle name="Normal 4 7" xfId="403" xr:uid="{00000000-0005-0000-0000-0000A1160000}"/>
    <cellStyle name="Normal 4 7 10" xfId="25886" xr:uid="{3DB1B360-F26D-43FE-AB0B-D9BB61907584}"/>
    <cellStyle name="Normal 4 7 11" xfId="9001" xr:uid="{DE4FF486-EC23-4F0F-A843-EE6F2B86C135}"/>
    <cellStyle name="Normal 4 7 2" xfId="404" xr:uid="{00000000-0005-0000-0000-0000A2160000}"/>
    <cellStyle name="Normal 4 7 2 10" xfId="9002" xr:uid="{CA290692-65BF-4D1E-BA9B-D986A5F5A7A1}"/>
    <cellStyle name="Normal 4 7 2 2" xfId="878" xr:uid="{00000000-0005-0000-0000-0000A3160000}"/>
    <cellStyle name="Normal 4 7 2 2 2" xfId="3113" xr:uid="{00000000-0005-0000-0000-0000A4160000}"/>
    <cellStyle name="Normal 4 7 2 2 2 2" xfId="7336" xr:uid="{00000000-0005-0000-0000-0000A5160000}"/>
    <cellStyle name="Normal 4 7 2 2 2 2 2" xfId="24219" xr:uid="{0441C645-3700-4741-B51B-1ACBB88067E1}"/>
    <cellStyle name="Normal 4 7 2 2 2 2 3" xfId="32665" xr:uid="{0DC05830-3465-4B6C-A597-EC4511B3A5A3}"/>
    <cellStyle name="Normal 4 7 2 2 2 2 4" xfId="15778" xr:uid="{2417EED9-24DD-4B3F-BBA5-4594788A3DB8}"/>
    <cellStyle name="Normal 4 7 2 2 2 3" xfId="20001" xr:uid="{B7E61F84-C074-40E4-8C18-7BD9BCBB77FF}"/>
    <cellStyle name="Normal 4 7 2 2 2 4" xfId="28448" xr:uid="{6E0E140E-0C1C-4F23-8567-5F00B0C75468}"/>
    <cellStyle name="Normal 4 7 2 2 2 5" xfId="11560" xr:uid="{A31AB7E8-5E90-4F16-859F-CEFD92FC584C}"/>
    <cellStyle name="Normal 4 7 2 2 3" xfId="5191" xr:uid="{00000000-0005-0000-0000-0000A6160000}"/>
    <cellStyle name="Normal 4 7 2 2 3 2" xfId="22074" xr:uid="{420ECB06-C63D-4AC1-AC58-2320831D1773}"/>
    <cellStyle name="Normal 4 7 2 2 3 3" xfId="30520" xr:uid="{468EB360-C0A7-4222-968E-CC1AF286BC92}"/>
    <cellStyle name="Normal 4 7 2 2 3 4" xfId="13633" xr:uid="{B91D961F-83AB-48DF-A9F1-15D0C744E02D}"/>
    <cellStyle name="Normal 4 7 2 2 4" xfId="17856" xr:uid="{278C44F1-CC73-4075-B1BC-E1DD4676F7CE}"/>
    <cellStyle name="Normal 4 7 2 2 5" xfId="26301" xr:uid="{B3FD7274-505B-4015-AF2E-7E4C2FE76C2B}"/>
    <cellStyle name="Normal 4 7 2 2 6" xfId="9415" xr:uid="{24C703C9-0B67-403E-A1E4-694D9B838721}"/>
    <cellStyle name="Normal 4 7 2 3" xfId="1296" xr:uid="{00000000-0005-0000-0000-0000A7160000}"/>
    <cellStyle name="Normal 4 7 2 3 2" xfId="3526" xr:uid="{00000000-0005-0000-0000-0000A8160000}"/>
    <cellStyle name="Normal 4 7 2 3 2 2" xfId="7749" xr:uid="{00000000-0005-0000-0000-0000A9160000}"/>
    <cellStyle name="Normal 4 7 2 3 2 2 2" xfId="24632" xr:uid="{5C4AE57A-AA4D-4AB8-86A0-03CDC8E63876}"/>
    <cellStyle name="Normal 4 7 2 3 2 2 3" xfId="33078" xr:uid="{84C31889-CEAA-440E-8109-8BDD92DBBC2B}"/>
    <cellStyle name="Normal 4 7 2 3 2 2 4" xfId="16191" xr:uid="{C289BBE7-F6BA-483F-B68F-AE9010FD44A1}"/>
    <cellStyle name="Normal 4 7 2 3 2 3" xfId="20414" xr:uid="{434C9810-9456-408F-8594-1842A9CEB1A2}"/>
    <cellStyle name="Normal 4 7 2 3 2 4" xfId="28861" xr:uid="{5632EB4A-BE8F-41F2-9BE3-DEBE1E06EE7B}"/>
    <cellStyle name="Normal 4 7 2 3 2 5" xfId="11973" xr:uid="{5AAAFBC5-33B1-4441-A573-2B8471B59CB1}"/>
    <cellStyle name="Normal 4 7 2 3 3" xfId="5604" xr:uid="{00000000-0005-0000-0000-0000AA160000}"/>
    <cellStyle name="Normal 4 7 2 3 3 2" xfId="22487" xr:uid="{D78F3235-151F-4583-8B03-28744EF8B2B2}"/>
    <cellStyle name="Normal 4 7 2 3 3 3" xfId="30933" xr:uid="{5A467BEB-A6AD-45C8-8996-762006B6D4F9}"/>
    <cellStyle name="Normal 4 7 2 3 3 4" xfId="14046" xr:uid="{82EE5983-E14B-4E7D-8BCC-981EBC72127B}"/>
    <cellStyle name="Normal 4 7 2 3 4" xfId="18269" xr:uid="{82DA9532-EBCB-4065-B664-EDD45344156D}"/>
    <cellStyle name="Normal 4 7 2 3 5" xfId="26714" xr:uid="{5CA56FF6-0C3C-496E-9097-3B8034AF65D0}"/>
    <cellStyle name="Normal 4 7 2 3 6" xfId="9828" xr:uid="{B8A6C190-AB71-4A60-9C53-382110EFB081}"/>
    <cellStyle name="Normal 4 7 2 4" xfId="1709" xr:uid="{00000000-0005-0000-0000-0000AB160000}"/>
    <cellStyle name="Normal 4 7 2 4 2" xfId="3939" xr:uid="{00000000-0005-0000-0000-0000AC160000}"/>
    <cellStyle name="Normal 4 7 2 4 2 2" xfId="8162" xr:uid="{00000000-0005-0000-0000-0000AD160000}"/>
    <cellStyle name="Normal 4 7 2 4 2 2 2" xfId="25045" xr:uid="{D452359C-2A49-4625-AEB7-2F51FB4DBA2F}"/>
    <cellStyle name="Normal 4 7 2 4 2 2 3" xfId="33491" xr:uid="{A63700CA-7442-4B6F-A7E8-E189D64D8B43}"/>
    <cellStyle name="Normal 4 7 2 4 2 2 4" xfId="16604" xr:uid="{5AB76C70-ED9C-4283-B91C-2D425BCBD1FC}"/>
    <cellStyle name="Normal 4 7 2 4 2 3" xfId="20827" xr:uid="{BF4A6C17-2E62-4EC6-8788-0CAF8CC1EF82}"/>
    <cellStyle name="Normal 4 7 2 4 2 4" xfId="29274" xr:uid="{61DB33E0-9391-4654-8256-49C5EECD8092}"/>
    <cellStyle name="Normal 4 7 2 4 2 5" xfId="12386" xr:uid="{849F1576-9131-4B2F-924A-18943FF0E28B}"/>
    <cellStyle name="Normal 4 7 2 4 3" xfId="6017" xr:uid="{00000000-0005-0000-0000-0000AE160000}"/>
    <cellStyle name="Normal 4 7 2 4 3 2" xfId="22900" xr:uid="{042BABA3-6B17-4CF3-9C7E-03EF30D3FEE8}"/>
    <cellStyle name="Normal 4 7 2 4 3 3" xfId="31346" xr:uid="{36C632CB-5C44-4D09-86E9-8B00BFC52943}"/>
    <cellStyle name="Normal 4 7 2 4 3 4" xfId="14459" xr:uid="{1CC1F57D-4966-4350-B777-FBA1E4825137}"/>
    <cellStyle name="Normal 4 7 2 4 4" xfId="18682" xr:uid="{53685F9B-4C4A-4F50-9588-020C41349F64}"/>
    <cellStyle name="Normal 4 7 2 4 5" xfId="27127" xr:uid="{8E917721-D207-440C-97A2-CB675D54CCB7}"/>
    <cellStyle name="Normal 4 7 2 4 6" xfId="10241" xr:uid="{5819FF92-5F89-4D05-923D-8AFF7D02B749}"/>
    <cellStyle name="Normal 4 7 2 5" xfId="2123" xr:uid="{00000000-0005-0000-0000-0000AF160000}"/>
    <cellStyle name="Normal 4 7 2 5 2" xfId="4352" xr:uid="{00000000-0005-0000-0000-0000B0160000}"/>
    <cellStyle name="Normal 4 7 2 5 2 2" xfId="8575" xr:uid="{00000000-0005-0000-0000-0000B1160000}"/>
    <cellStyle name="Normal 4 7 2 5 2 2 2" xfId="25458" xr:uid="{5642F560-B17E-43AD-B660-EC9E070159B8}"/>
    <cellStyle name="Normal 4 7 2 5 2 2 3" xfId="33904" xr:uid="{E2F1EC77-4672-43BD-AEDE-9237BBA88DD2}"/>
    <cellStyle name="Normal 4 7 2 5 2 2 4" xfId="17017" xr:uid="{CB10DD62-EEDF-41B0-B1D0-610B0D78333D}"/>
    <cellStyle name="Normal 4 7 2 5 2 3" xfId="21240" xr:uid="{D2DFEA9E-9A86-47CB-BD9A-E461834052FF}"/>
    <cellStyle name="Normal 4 7 2 5 2 4" xfId="29687" xr:uid="{00CD1990-D2E6-4BB9-87DF-2F88DCEA503C}"/>
    <cellStyle name="Normal 4 7 2 5 2 5" xfId="12799" xr:uid="{07AD79D0-60BE-446F-A171-17BA8B58D890}"/>
    <cellStyle name="Normal 4 7 2 5 3" xfId="6430" xr:uid="{00000000-0005-0000-0000-0000B2160000}"/>
    <cellStyle name="Normal 4 7 2 5 3 2" xfId="23313" xr:uid="{C560C037-E70A-47D8-9C9E-D4FEAF017570}"/>
    <cellStyle name="Normal 4 7 2 5 3 3" xfId="31759" xr:uid="{97884B93-7710-4FF0-9A41-8752AE5434AF}"/>
    <cellStyle name="Normal 4 7 2 5 3 4" xfId="14872" xr:uid="{1C33EB49-925C-4C1B-96EC-557C44E5B36F}"/>
    <cellStyle name="Normal 4 7 2 5 4" xfId="19095" xr:uid="{E3F22F38-A868-40B0-8406-58B279110828}"/>
    <cellStyle name="Normal 4 7 2 5 5" xfId="27540" xr:uid="{31C5F18A-4B65-45C7-A815-925632DA74C0}"/>
    <cellStyle name="Normal 4 7 2 5 6" xfId="10654" xr:uid="{95CA15A9-B9FB-4DC2-B85C-D501A100A220}"/>
    <cellStyle name="Normal 4 7 2 6" xfId="2559" xr:uid="{00000000-0005-0000-0000-0000B3160000}"/>
    <cellStyle name="Normal 4 7 2 6 2" xfId="6843" xr:uid="{00000000-0005-0000-0000-0000B4160000}"/>
    <cellStyle name="Normal 4 7 2 6 2 2" xfId="23726" xr:uid="{9879941F-93A9-4054-A85B-A92DA8691BE2}"/>
    <cellStyle name="Normal 4 7 2 6 2 3" xfId="32172" xr:uid="{E6C0A333-93E7-49B6-B386-1E7B8B8DD136}"/>
    <cellStyle name="Normal 4 7 2 6 2 4" xfId="15285" xr:uid="{F8A8E3CC-1889-4295-8050-E54E0B54C196}"/>
    <cellStyle name="Normal 4 7 2 6 3" xfId="19508" xr:uid="{B03C5CC6-0E82-4AD3-8AF1-D325DC61DEF2}"/>
    <cellStyle name="Normal 4 7 2 6 4" xfId="27953" xr:uid="{BB0C22AC-5F40-48A6-9D8E-BD55D8A829FC}"/>
    <cellStyle name="Normal 4 7 2 6 5" xfId="11067" xr:uid="{B0AEF72D-A71F-4DB4-9F44-4004B3EB705A}"/>
    <cellStyle name="Normal 4 7 2 7" xfId="4778" xr:uid="{00000000-0005-0000-0000-0000B5160000}"/>
    <cellStyle name="Normal 4 7 2 7 2" xfId="21661" xr:uid="{879DBF1E-3017-4A92-90F2-C951812F58A0}"/>
    <cellStyle name="Normal 4 7 2 7 3" xfId="30107" xr:uid="{0DD9B85A-1B15-4483-95AA-65347EE58006}"/>
    <cellStyle name="Normal 4 7 2 7 4" xfId="13220" xr:uid="{3EBD102F-A243-47DE-8D7C-5234357A354C}"/>
    <cellStyle name="Normal 4 7 2 8" xfId="17443" xr:uid="{8F604B42-92A3-455C-9793-2C73EE4CCDDF}"/>
    <cellStyle name="Normal 4 7 2 9" xfId="25887" xr:uid="{20A4FB3B-732D-44A6-ACF5-9C7FBA3138AC}"/>
    <cellStyle name="Normal 4 7 3" xfId="877" xr:uid="{00000000-0005-0000-0000-0000B6160000}"/>
    <cellStyle name="Normal 4 7 3 2" xfId="3112" xr:uid="{00000000-0005-0000-0000-0000B7160000}"/>
    <cellStyle name="Normal 4 7 3 2 2" xfId="7335" xr:uid="{00000000-0005-0000-0000-0000B8160000}"/>
    <cellStyle name="Normal 4 7 3 2 2 2" xfId="24218" xr:uid="{2F253205-6D51-4A62-9A2E-6D2FEB3FA045}"/>
    <cellStyle name="Normal 4 7 3 2 2 3" xfId="32664" xr:uid="{39DFC45C-81F0-4FF5-9A0F-7A80C275FDC2}"/>
    <cellStyle name="Normal 4 7 3 2 2 4" xfId="15777" xr:uid="{F343D1F8-92ED-43AF-8954-86F3FF9BF8C0}"/>
    <cellStyle name="Normal 4 7 3 2 3" xfId="20000" xr:uid="{0424D6DF-D4EB-49BF-B60D-E5D2C3D7864D}"/>
    <cellStyle name="Normal 4 7 3 2 4" xfId="28447" xr:uid="{F3422B92-43DF-48A8-B1F5-24516F1A77F2}"/>
    <cellStyle name="Normal 4 7 3 2 5" xfId="11559" xr:uid="{F449025B-5778-421A-A338-0932140ED64D}"/>
    <cellStyle name="Normal 4 7 3 3" xfId="5190" xr:uid="{00000000-0005-0000-0000-0000B9160000}"/>
    <cellStyle name="Normal 4 7 3 3 2" xfId="22073" xr:uid="{C50CDC09-55DA-4C82-BCDF-2D91C00ADE5F}"/>
    <cellStyle name="Normal 4 7 3 3 3" xfId="30519" xr:uid="{44F04105-9525-4C70-84B4-8E36A150FBA4}"/>
    <cellStyle name="Normal 4 7 3 3 4" xfId="13632" xr:uid="{4DC62D61-EDC1-4587-9FF9-F989401C1282}"/>
    <cellStyle name="Normal 4 7 3 4" xfId="17855" xr:uid="{91619998-7063-437C-91A8-DA289246C7F4}"/>
    <cellStyle name="Normal 4 7 3 5" xfId="26300" xr:uid="{CC00A0BE-6544-48CE-893F-445249F291F5}"/>
    <cellStyle name="Normal 4 7 3 6" xfId="9414" xr:uid="{6201AA68-078F-431F-8082-74B6B3166E2A}"/>
    <cellStyle name="Normal 4 7 4" xfId="1295" xr:uid="{00000000-0005-0000-0000-0000BA160000}"/>
    <cellStyle name="Normal 4 7 4 2" xfId="3525" xr:uid="{00000000-0005-0000-0000-0000BB160000}"/>
    <cellStyle name="Normal 4 7 4 2 2" xfId="7748" xr:uid="{00000000-0005-0000-0000-0000BC160000}"/>
    <cellStyle name="Normal 4 7 4 2 2 2" xfId="24631" xr:uid="{6375731C-BE83-46C4-B410-41696CDF4FF0}"/>
    <cellStyle name="Normal 4 7 4 2 2 3" xfId="33077" xr:uid="{1A9DDA93-9351-4AEE-8254-79C2505A7930}"/>
    <cellStyle name="Normal 4 7 4 2 2 4" xfId="16190" xr:uid="{08957C43-01FC-43F8-9E79-08D61C032CB6}"/>
    <cellStyle name="Normal 4 7 4 2 3" xfId="20413" xr:uid="{9E38470B-A2E5-4E98-9CE6-8D99B190B0E5}"/>
    <cellStyle name="Normal 4 7 4 2 4" xfId="28860" xr:uid="{F672EE2B-0499-485C-873E-C1FF653A4358}"/>
    <cellStyle name="Normal 4 7 4 2 5" xfId="11972" xr:uid="{B90E80F3-B879-4C45-A1B8-4949D846E67E}"/>
    <cellStyle name="Normal 4 7 4 3" xfId="5603" xr:uid="{00000000-0005-0000-0000-0000BD160000}"/>
    <cellStyle name="Normal 4 7 4 3 2" xfId="22486" xr:uid="{C1D47082-E323-4B3F-8E5A-9C91B1AB594F}"/>
    <cellStyle name="Normal 4 7 4 3 3" xfId="30932" xr:uid="{9236B1F1-86A8-4D7E-8D03-6B7991A52105}"/>
    <cellStyle name="Normal 4 7 4 3 4" xfId="14045" xr:uid="{E507E3A7-8FF2-460F-BD59-95CCE21BDD78}"/>
    <cellStyle name="Normal 4 7 4 4" xfId="18268" xr:uid="{1072DC10-FB99-471F-9C1D-EE60A51E249A}"/>
    <cellStyle name="Normal 4 7 4 5" xfId="26713" xr:uid="{B79B7BB2-C88E-40EC-8061-E1895E5E5FDB}"/>
    <cellStyle name="Normal 4 7 4 6" xfId="9827" xr:uid="{E3BFB36F-0CE6-4CF0-A56C-2D0879985A5A}"/>
    <cellStyle name="Normal 4 7 5" xfId="1708" xr:uid="{00000000-0005-0000-0000-0000BE160000}"/>
    <cellStyle name="Normal 4 7 5 2" xfId="3938" xr:uid="{00000000-0005-0000-0000-0000BF160000}"/>
    <cellStyle name="Normal 4 7 5 2 2" xfId="8161" xr:uid="{00000000-0005-0000-0000-0000C0160000}"/>
    <cellStyle name="Normal 4 7 5 2 2 2" xfId="25044" xr:uid="{363EDCEC-7240-46FF-91FE-D3B46C11A22D}"/>
    <cellStyle name="Normal 4 7 5 2 2 3" xfId="33490" xr:uid="{166CA25D-64E4-4C8F-8DF0-6F478C95E6B5}"/>
    <cellStyle name="Normal 4 7 5 2 2 4" xfId="16603" xr:uid="{146B5B5B-8BEC-46D5-BB9A-F7F1A3167ED6}"/>
    <cellStyle name="Normal 4 7 5 2 3" xfId="20826" xr:uid="{084CBF0D-A9D8-46AF-8610-F56E124F48DB}"/>
    <cellStyle name="Normal 4 7 5 2 4" xfId="29273" xr:uid="{8DF462AE-8D7C-4B9A-BB50-E8D65CA44DEC}"/>
    <cellStyle name="Normal 4 7 5 2 5" xfId="12385" xr:uid="{D7755D74-62CB-465D-912C-622B9AFE4522}"/>
    <cellStyle name="Normal 4 7 5 3" xfId="6016" xr:uid="{00000000-0005-0000-0000-0000C1160000}"/>
    <cellStyle name="Normal 4 7 5 3 2" xfId="22899" xr:uid="{1DE706E4-1B68-464A-A745-F95D1B34D859}"/>
    <cellStyle name="Normal 4 7 5 3 3" xfId="31345" xr:uid="{766B88F8-30AC-4CAD-A22C-E6654A64B5FD}"/>
    <cellStyle name="Normal 4 7 5 3 4" xfId="14458" xr:uid="{CED5C063-0EEC-4EB1-AF4C-057ACC4C4CCB}"/>
    <cellStyle name="Normal 4 7 5 4" xfId="18681" xr:uid="{37222715-3FE9-40D3-ABB2-9A5A4A84EE70}"/>
    <cellStyle name="Normal 4 7 5 5" xfId="27126" xr:uid="{FCFB1405-3A6E-440C-AEEF-40553453B089}"/>
    <cellStyle name="Normal 4 7 5 6" xfId="10240" xr:uid="{B4AE45AB-BDC0-489E-A3F3-259438D3A36E}"/>
    <cellStyle name="Normal 4 7 6" xfId="2122" xr:uid="{00000000-0005-0000-0000-0000C2160000}"/>
    <cellStyle name="Normal 4 7 6 2" xfId="4351" xr:uid="{00000000-0005-0000-0000-0000C3160000}"/>
    <cellStyle name="Normal 4 7 6 2 2" xfId="8574" xr:uid="{00000000-0005-0000-0000-0000C4160000}"/>
    <cellStyle name="Normal 4 7 6 2 2 2" xfId="25457" xr:uid="{80DCFD22-DAEE-4F32-8F0F-654B176ED839}"/>
    <cellStyle name="Normal 4 7 6 2 2 3" xfId="33903" xr:uid="{3B6140B7-3965-4D49-A9D7-A8B15F164861}"/>
    <cellStyle name="Normal 4 7 6 2 2 4" xfId="17016" xr:uid="{91139930-DB6A-46C2-864E-80BC55A742D6}"/>
    <cellStyle name="Normal 4 7 6 2 3" xfId="21239" xr:uid="{C0F21206-6C1D-46D1-A042-95130AF94F4B}"/>
    <cellStyle name="Normal 4 7 6 2 4" xfId="29686" xr:uid="{9F684594-6E87-4F5F-ACD9-A9299601D75D}"/>
    <cellStyle name="Normal 4 7 6 2 5" xfId="12798" xr:uid="{682D0A0E-DA73-412A-87BF-E102DEAAFC0B}"/>
    <cellStyle name="Normal 4 7 6 3" xfId="6429" xr:uid="{00000000-0005-0000-0000-0000C5160000}"/>
    <cellStyle name="Normal 4 7 6 3 2" xfId="23312" xr:uid="{DAECEDFD-CCCA-4B19-9522-91EBA5C3A7A6}"/>
    <cellStyle name="Normal 4 7 6 3 3" xfId="31758" xr:uid="{4E7CF761-0E02-43B6-9B86-5A04A9E28028}"/>
    <cellStyle name="Normal 4 7 6 3 4" xfId="14871" xr:uid="{615BE569-462A-44CE-8A87-1E14F8220AE7}"/>
    <cellStyle name="Normal 4 7 6 4" xfId="19094" xr:uid="{3848A94D-3F50-4AB7-A3F3-B77EC3E9BC8B}"/>
    <cellStyle name="Normal 4 7 6 5" xfId="27539" xr:uid="{21A22E71-E815-4D7B-B765-E2928B7BFB80}"/>
    <cellStyle name="Normal 4 7 6 6" xfId="10653" xr:uid="{54E3A28A-AA6C-4E5F-862B-2976FFFCB8A3}"/>
    <cellStyle name="Normal 4 7 7" xfId="2558" xr:uid="{00000000-0005-0000-0000-0000C6160000}"/>
    <cellStyle name="Normal 4 7 7 2" xfId="6842" xr:uid="{00000000-0005-0000-0000-0000C7160000}"/>
    <cellStyle name="Normal 4 7 7 2 2" xfId="23725" xr:uid="{1D3A3FCB-479C-43FE-91CB-73783C9A3DC4}"/>
    <cellStyle name="Normal 4 7 7 2 3" xfId="32171" xr:uid="{ACC409E2-49B3-44D2-9D7E-2CE923DE51AA}"/>
    <cellStyle name="Normal 4 7 7 2 4" xfId="15284" xr:uid="{E36B44F0-4EE5-4E77-A01E-F51138EBBDF9}"/>
    <cellStyle name="Normal 4 7 7 3" xfId="19507" xr:uid="{20E3A99B-3D22-4235-B323-B51AAC41B694}"/>
    <cellStyle name="Normal 4 7 7 4" xfId="27952" xr:uid="{379FF5F9-714B-493A-8A60-4AF0E2CA7352}"/>
    <cellStyle name="Normal 4 7 7 5" xfId="11066" xr:uid="{B6521178-5719-493E-913E-4509CD2EECD7}"/>
    <cellStyle name="Normal 4 7 8" xfId="4777" xr:uid="{00000000-0005-0000-0000-0000C8160000}"/>
    <cellStyle name="Normal 4 7 8 2" xfId="21660" xr:uid="{E190F342-088C-44AE-ABA6-D3392E4C17E1}"/>
    <cellStyle name="Normal 4 7 8 3" xfId="30106" xr:uid="{2D37C9D9-63A1-4538-9A28-8CC836AB3460}"/>
    <cellStyle name="Normal 4 7 8 4" xfId="13219" xr:uid="{8A822F57-4CFD-4FE6-8DA6-60C230A35443}"/>
    <cellStyle name="Normal 4 7 9" xfId="17442" xr:uid="{9BBD1DCA-0472-4FFB-BF7E-B750C183FF7B}"/>
    <cellStyle name="Normal 4 8" xfId="405" xr:uid="{00000000-0005-0000-0000-0000C9160000}"/>
    <cellStyle name="Normal 4 8 10" xfId="9003" xr:uid="{36EC1A8A-D25F-4B45-A86A-DDD5392E266D}"/>
    <cellStyle name="Normal 4 8 2" xfId="879" xr:uid="{00000000-0005-0000-0000-0000CA160000}"/>
    <cellStyle name="Normal 4 8 2 2" xfId="3114" xr:uid="{00000000-0005-0000-0000-0000CB160000}"/>
    <cellStyle name="Normal 4 8 2 2 2" xfId="7337" xr:uid="{00000000-0005-0000-0000-0000CC160000}"/>
    <cellStyle name="Normal 4 8 2 2 2 2" xfId="24220" xr:uid="{3A414FAA-BFEC-483E-BE3E-20BA0AE6F92F}"/>
    <cellStyle name="Normal 4 8 2 2 2 3" xfId="32666" xr:uid="{8BFBAE49-8A56-4365-A4B9-EE5C13CC1E19}"/>
    <cellStyle name="Normal 4 8 2 2 2 4" xfId="15779" xr:uid="{5ED52C65-50BD-4EFA-828A-0C9D8A08AF09}"/>
    <cellStyle name="Normal 4 8 2 2 3" xfId="20002" xr:uid="{65994808-7F14-4E96-8F57-0211DE37E0FC}"/>
    <cellStyle name="Normal 4 8 2 2 4" xfId="28449" xr:uid="{369C9F0A-1D00-4BF8-B32D-2453CA9BECB8}"/>
    <cellStyle name="Normal 4 8 2 2 5" xfId="11561" xr:uid="{2303CA58-A2F8-4B0D-92B4-40F303F0B3C8}"/>
    <cellStyle name="Normal 4 8 2 3" xfId="5192" xr:uid="{00000000-0005-0000-0000-0000CD160000}"/>
    <cellStyle name="Normal 4 8 2 3 2" xfId="22075" xr:uid="{82960394-032F-4967-9449-DB427C7AFDF9}"/>
    <cellStyle name="Normal 4 8 2 3 3" xfId="30521" xr:uid="{57D4EAB8-F155-4282-8827-0C7DFD4BDAFB}"/>
    <cellStyle name="Normal 4 8 2 3 4" xfId="13634" xr:uid="{3866817B-05B0-4E67-937A-128BDBBCF213}"/>
    <cellStyle name="Normal 4 8 2 4" xfId="17857" xr:uid="{ED195EF8-5651-4B4A-908D-5B8B028056C5}"/>
    <cellStyle name="Normal 4 8 2 5" xfId="26302" xr:uid="{36B70AD9-3A6D-4D1E-84F3-4050C2C7508C}"/>
    <cellStyle name="Normal 4 8 2 6" xfId="9416" xr:uid="{7B8D9322-829C-43F5-9A89-0427CA008A99}"/>
    <cellStyle name="Normal 4 8 3" xfId="1297" xr:uid="{00000000-0005-0000-0000-0000CE160000}"/>
    <cellStyle name="Normal 4 8 3 2" xfId="3527" xr:uid="{00000000-0005-0000-0000-0000CF160000}"/>
    <cellStyle name="Normal 4 8 3 2 2" xfId="7750" xr:uid="{00000000-0005-0000-0000-0000D0160000}"/>
    <cellStyle name="Normal 4 8 3 2 2 2" xfId="24633" xr:uid="{E0D287A8-8C94-4A0D-92FC-A3B1CB765D4E}"/>
    <cellStyle name="Normal 4 8 3 2 2 3" xfId="33079" xr:uid="{20B6D802-69EA-4ECE-ACC5-3EBF536E1872}"/>
    <cellStyle name="Normal 4 8 3 2 2 4" xfId="16192" xr:uid="{0B663829-A8C0-4D32-A478-F55312EAF3A3}"/>
    <cellStyle name="Normal 4 8 3 2 3" xfId="20415" xr:uid="{64BB00E5-08D1-42DC-A58B-74E9AE449811}"/>
    <cellStyle name="Normal 4 8 3 2 4" xfId="28862" xr:uid="{58C95CE9-954E-4FAE-8BF4-3ACDDB57193E}"/>
    <cellStyle name="Normal 4 8 3 2 5" xfId="11974" xr:uid="{4ABF10F6-61DF-409D-9878-71995AB0A7DA}"/>
    <cellStyle name="Normal 4 8 3 3" xfId="5605" xr:uid="{00000000-0005-0000-0000-0000D1160000}"/>
    <cellStyle name="Normal 4 8 3 3 2" xfId="22488" xr:uid="{1EAC878C-DA1D-473F-BDEC-84C7C0F5B538}"/>
    <cellStyle name="Normal 4 8 3 3 3" xfId="30934" xr:uid="{FA43EADC-D240-498B-82B0-6189F9587DCE}"/>
    <cellStyle name="Normal 4 8 3 3 4" xfId="14047" xr:uid="{8E26F513-C404-49EC-935B-48516B393628}"/>
    <cellStyle name="Normal 4 8 3 4" xfId="18270" xr:uid="{0E85F2BF-4CE2-453F-9BF4-5EED081920B0}"/>
    <cellStyle name="Normal 4 8 3 5" xfId="26715" xr:uid="{40D4A743-DDAB-4537-91F6-5EA22CC2EB3D}"/>
    <cellStyle name="Normal 4 8 3 6" xfId="9829" xr:uid="{C3744C5B-916A-491D-AAFC-9A6D1252C3E7}"/>
    <cellStyle name="Normal 4 8 4" xfId="1710" xr:uid="{00000000-0005-0000-0000-0000D2160000}"/>
    <cellStyle name="Normal 4 8 4 2" xfId="3940" xr:uid="{00000000-0005-0000-0000-0000D3160000}"/>
    <cellStyle name="Normal 4 8 4 2 2" xfId="8163" xr:uid="{00000000-0005-0000-0000-0000D4160000}"/>
    <cellStyle name="Normal 4 8 4 2 2 2" xfId="25046" xr:uid="{5B1A2C61-BEE0-41A1-9C13-51FAE3BCBE04}"/>
    <cellStyle name="Normal 4 8 4 2 2 3" xfId="33492" xr:uid="{AB0E933B-E683-4A1A-B5D0-C2663C72ECAF}"/>
    <cellStyle name="Normal 4 8 4 2 2 4" xfId="16605" xr:uid="{F8E5DBA9-0CEC-45BB-8705-EAA4D9F394AB}"/>
    <cellStyle name="Normal 4 8 4 2 3" xfId="20828" xr:uid="{F040E0F7-57FF-4FE2-8A2A-CE28B49CAC7B}"/>
    <cellStyle name="Normal 4 8 4 2 4" xfId="29275" xr:uid="{D5CFF025-7A26-430B-9EFA-6F1363CC02A1}"/>
    <cellStyle name="Normal 4 8 4 2 5" xfId="12387" xr:uid="{5DDDE7A4-82B2-4612-9FB2-E33521425C12}"/>
    <cellStyle name="Normal 4 8 4 3" xfId="6018" xr:uid="{00000000-0005-0000-0000-0000D5160000}"/>
    <cellStyle name="Normal 4 8 4 3 2" xfId="22901" xr:uid="{37001C96-87E2-4936-8129-330D7E5379D1}"/>
    <cellStyle name="Normal 4 8 4 3 3" xfId="31347" xr:uid="{690CD88B-3BF2-4467-BCD0-D51D14208E96}"/>
    <cellStyle name="Normal 4 8 4 3 4" xfId="14460" xr:uid="{E3DFDE8E-2E09-49D0-9D9F-C8FC0DEB1302}"/>
    <cellStyle name="Normal 4 8 4 4" xfId="18683" xr:uid="{DC5CDA50-AD8A-4229-94F6-F1735C0F1914}"/>
    <cellStyle name="Normal 4 8 4 5" xfId="27128" xr:uid="{378627AD-8947-4701-AA59-F7E1AA541786}"/>
    <cellStyle name="Normal 4 8 4 6" xfId="10242" xr:uid="{624414CB-05F3-47D1-86D3-C05FA003D5FC}"/>
    <cellStyle name="Normal 4 8 5" xfId="2124" xr:uid="{00000000-0005-0000-0000-0000D6160000}"/>
    <cellStyle name="Normal 4 8 5 2" xfId="4353" xr:uid="{00000000-0005-0000-0000-0000D7160000}"/>
    <cellStyle name="Normal 4 8 5 2 2" xfId="8576" xr:uid="{00000000-0005-0000-0000-0000D8160000}"/>
    <cellStyle name="Normal 4 8 5 2 2 2" xfId="25459" xr:uid="{55301027-E74D-4B1B-8A81-74031D297AB6}"/>
    <cellStyle name="Normal 4 8 5 2 2 3" xfId="33905" xr:uid="{E6FA3147-F903-4516-9089-560B1CC2B678}"/>
    <cellStyle name="Normal 4 8 5 2 2 4" xfId="17018" xr:uid="{9C39EA4D-9918-4EB7-A954-7B4D3C084652}"/>
    <cellStyle name="Normal 4 8 5 2 3" xfId="21241" xr:uid="{700DE47C-3B37-46DB-B5FB-F5FEE2FF66BA}"/>
    <cellStyle name="Normal 4 8 5 2 4" xfId="29688" xr:uid="{F209760C-27C1-415D-A87B-EF84E5367C1A}"/>
    <cellStyle name="Normal 4 8 5 2 5" xfId="12800" xr:uid="{BAFE7ABD-709A-47F0-8BDD-918828CA43DE}"/>
    <cellStyle name="Normal 4 8 5 3" xfId="6431" xr:uid="{00000000-0005-0000-0000-0000D9160000}"/>
    <cellStyle name="Normal 4 8 5 3 2" xfId="23314" xr:uid="{32999B9D-CC77-4627-853B-58C1D187AB6C}"/>
    <cellStyle name="Normal 4 8 5 3 3" xfId="31760" xr:uid="{4C8E6CCA-077F-4770-9973-3B3594B23A08}"/>
    <cellStyle name="Normal 4 8 5 3 4" xfId="14873" xr:uid="{1E3C1E0E-67C1-40E7-B39E-A73D5C01E85E}"/>
    <cellStyle name="Normal 4 8 5 4" xfId="19096" xr:uid="{53F2BFD0-6DFB-40D7-A452-F59B9673755D}"/>
    <cellStyle name="Normal 4 8 5 5" xfId="27541" xr:uid="{4A181F3F-5293-49C1-8CD1-6A4A8AFD9933}"/>
    <cellStyle name="Normal 4 8 5 6" xfId="10655" xr:uid="{F6D5895F-A270-4254-8024-5DA096944DC6}"/>
    <cellStyle name="Normal 4 8 6" xfId="2560" xr:uid="{00000000-0005-0000-0000-0000DA160000}"/>
    <cellStyle name="Normal 4 8 6 2" xfId="6844" xr:uid="{00000000-0005-0000-0000-0000DB160000}"/>
    <cellStyle name="Normal 4 8 6 2 2" xfId="23727" xr:uid="{1E98634D-0BBF-4343-8374-B7045C66CE12}"/>
    <cellStyle name="Normal 4 8 6 2 3" xfId="32173" xr:uid="{F0F4BB2E-09A5-443A-839F-B1641F92B9C4}"/>
    <cellStyle name="Normal 4 8 6 2 4" xfId="15286" xr:uid="{D89787E8-E377-4A2D-88F7-3A53330CB846}"/>
    <cellStyle name="Normal 4 8 6 3" xfId="19509" xr:uid="{4788D0AC-C499-4638-8327-E643E6098864}"/>
    <cellStyle name="Normal 4 8 6 4" xfId="27954" xr:uid="{CFF82A0C-10FC-42BC-8CEC-05FFE766DB3F}"/>
    <cellStyle name="Normal 4 8 6 5" xfId="11068" xr:uid="{955739F7-A356-4353-95CB-EAC7FED07109}"/>
    <cellStyle name="Normal 4 8 7" xfId="4779" xr:uid="{00000000-0005-0000-0000-0000DC160000}"/>
    <cellStyle name="Normal 4 8 7 2" xfId="21662" xr:uid="{117172B3-3FA5-4D09-BBCA-9DB3B019BA9D}"/>
    <cellStyle name="Normal 4 8 7 3" xfId="30108" xr:uid="{E48293DE-F1C5-4DBE-84D7-3E624D2CC9B1}"/>
    <cellStyle name="Normal 4 8 7 4" xfId="13221" xr:uid="{D93BF346-EFF5-40E0-A3A2-39709DAA9E74}"/>
    <cellStyle name="Normal 4 8 8" xfId="17444" xr:uid="{CB7AEA18-A334-4FFD-9507-B3C586AA26F7}"/>
    <cellStyle name="Normal 4 8 9" xfId="25888" xr:uid="{68C02C89-5CD9-4080-9757-D5D94FF706F6}"/>
    <cellStyle name="Normal 4 9" xfId="4716" xr:uid="{00000000-0005-0000-0000-0000DD160000}"/>
    <cellStyle name="Normal 4 9 2" xfId="21599" xr:uid="{A588DE8B-39AA-40CB-A13C-0FE68AEF1A2E}"/>
    <cellStyle name="Normal 4 9 3" xfId="30045" xr:uid="{470FF89E-D745-4FDD-8E26-C716DBEC7B65}"/>
    <cellStyle name="Normal 4 9 4" xfId="13158" xr:uid="{1285303B-49FE-48DF-887C-7BD07B2781E9}"/>
    <cellStyle name="Normal 4_Dropdowns" xfId="34219" xr:uid="{52FF0A49-AE75-424D-AFAB-C15DF48E1E87}"/>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25047" xr:uid="{D94BD156-2A57-4BD8-B9E0-2E352BC4A7E5}"/>
    <cellStyle name="Normal 5 10 2 2 3" xfId="33493" xr:uid="{9CC87EA4-9F7E-45EB-A5C5-5EE4660E508E}"/>
    <cellStyle name="Normal 5 10 2 2 4" xfId="16606" xr:uid="{056074F8-3190-4456-81A2-AC0ED2BEB960}"/>
    <cellStyle name="Normal 5 10 2 3" xfId="20829" xr:uid="{00D459A8-790C-459E-9F03-5B78D66A3D50}"/>
    <cellStyle name="Normal 5 10 2 4" xfId="29276" xr:uid="{920E7FB7-C584-4330-9DA5-AD8FD406BF20}"/>
    <cellStyle name="Normal 5 10 2 5" xfId="12388" xr:uid="{B28EB78C-FCD6-4CD8-A9B9-26A0581D3FB7}"/>
    <cellStyle name="Normal 5 10 3" xfId="6019" xr:uid="{00000000-0005-0000-0000-0000E2160000}"/>
    <cellStyle name="Normal 5 10 3 2" xfId="22902" xr:uid="{15067EE0-F852-47B1-A1E0-7EFB1EA0026E}"/>
    <cellStyle name="Normal 5 10 3 3" xfId="31348" xr:uid="{B31690F9-C1D2-46D6-9AC6-8FB3D8B7A3F9}"/>
    <cellStyle name="Normal 5 10 3 4" xfId="14461" xr:uid="{77319F87-9E24-48B2-8969-26B146FC96CC}"/>
    <cellStyle name="Normal 5 10 4" xfId="18684" xr:uid="{9E5A79F0-314E-497C-842C-C491A5EE07AE}"/>
    <cellStyle name="Normal 5 10 5" xfId="27129" xr:uid="{07F00CB1-79FD-4CAE-9054-8B4CDF27B96D}"/>
    <cellStyle name="Normal 5 10 6" xfId="10243" xr:uid="{B57A1F10-A078-4740-AAF1-F7AC4365A784}"/>
    <cellStyle name="Normal 5 11" xfId="2125" xr:uid="{00000000-0005-0000-0000-0000E3160000}"/>
    <cellStyle name="Normal 5 11 2" xfId="4354" xr:uid="{00000000-0005-0000-0000-0000E4160000}"/>
    <cellStyle name="Normal 5 11 2 2" xfId="8577" xr:uid="{00000000-0005-0000-0000-0000E5160000}"/>
    <cellStyle name="Normal 5 11 2 2 2" xfId="25460" xr:uid="{2A033FCF-A240-48D1-8352-FE6162C128D1}"/>
    <cellStyle name="Normal 5 11 2 2 3" xfId="33906" xr:uid="{3A49A9A9-FE6B-4D81-8836-CABC67B92DF8}"/>
    <cellStyle name="Normal 5 11 2 2 4" xfId="17019" xr:uid="{06326859-9D01-4903-80B6-A14575813C14}"/>
    <cellStyle name="Normal 5 11 2 3" xfId="21242" xr:uid="{AE1B035F-D55F-42F6-9835-DCF247EE871B}"/>
    <cellStyle name="Normal 5 11 2 4" xfId="29689" xr:uid="{FCFA4E50-C0D9-467D-9476-706A4ED50FEF}"/>
    <cellStyle name="Normal 5 11 2 5" xfId="12801" xr:uid="{D62BEE40-5C72-4D5F-954C-227D3312CEE2}"/>
    <cellStyle name="Normal 5 11 3" xfId="6432" xr:uid="{00000000-0005-0000-0000-0000E6160000}"/>
    <cellStyle name="Normal 5 11 3 2" xfId="23315" xr:uid="{EA332188-B725-4AC5-83CF-DD726324B423}"/>
    <cellStyle name="Normal 5 11 3 3" xfId="31761" xr:uid="{A82923A7-6C5B-40EA-86DA-070C14F7A86E}"/>
    <cellStyle name="Normal 5 11 3 4" xfId="14874" xr:uid="{C776DA57-8DEA-46F5-A96A-F8C66AACA94D}"/>
    <cellStyle name="Normal 5 11 4" xfId="19097" xr:uid="{C199047C-1D3B-481A-BAA0-0A941F724F70}"/>
    <cellStyle name="Normal 5 11 5" xfId="27542" xr:uid="{F962BF8E-2216-45A4-B6FC-34ADBA9528D3}"/>
    <cellStyle name="Normal 5 11 6" xfId="10656" xr:uid="{8F78ABC2-6200-4436-8D17-D56FF7087EEF}"/>
    <cellStyle name="Normal 5 12" xfId="2561" xr:uid="{00000000-0005-0000-0000-0000E7160000}"/>
    <cellStyle name="Normal 5 12 2" xfId="6845" xr:uid="{00000000-0005-0000-0000-0000E8160000}"/>
    <cellStyle name="Normal 5 12 2 2" xfId="23728" xr:uid="{7158C450-76D8-47BE-B72C-639B7A64AABB}"/>
    <cellStyle name="Normal 5 12 2 3" xfId="32174" xr:uid="{EECE7868-1922-4767-8B22-1B362670ABFB}"/>
    <cellStyle name="Normal 5 12 2 4" xfId="15287" xr:uid="{4C83BED5-4DF2-481C-8BB7-B61FA974A23B}"/>
    <cellStyle name="Normal 5 12 3" xfId="19510" xr:uid="{BDA9EA83-16FE-4857-8775-AD87052F4901}"/>
    <cellStyle name="Normal 5 12 4" xfId="27955" xr:uid="{31EF02BC-153A-4893-8766-811BEBEBDDC7}"/>
    <cellStyle name="Normal 5 12 5" xfId="11069" xr:uid="{2CE71158-D503-4EE0-85A7-5109436D33C0}"/>
    <cellStyle name="Normal 5 13" xfId="4780" xr:uid="{00000000-0005-0000-0000-0000E9160000}"/>
    <cellStyle name="Normal 5 13 2" xfId="21663" xr:uid="{FF83604B-8BE8-481B-89AE-446CCDC0E48B}"/>
    <cellStyle name="Normal 5 13 3" xfId="30109" xr:uid="{2EF12BC0-543A-4CBF-8D98-DF9E364F904B}"/>
    <cellStyle name="Normal 5 13 4" xfId="13222" xr:uid="{EE2168E9-2329-4CB2-942B-6CFEEF3E88ED}"/>
    <cellStyle name="Normal 5 14" xfId="17445" xr:uid="{6FF8F9A4-E858-49C8-B071-BC4D1CE67DDA}"/>
    <cellStyle name="Normal 5 15" xfId="25889" xr:uid="{57F98D59-E415-4298-95EB-0E7A1E3F190C}"/>
    <cellStyle name="Normal 5 16" xfId="34171" xr:uid="{BE1DDA20-E2D7-4862-B73E-328B326B3B5F}"/>
    <cellStyle name="Normal 5 17" xfId="9004" xr:uid="{4FEC46F0-2615-43C1-859C-75D61EE4D016}"/>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25461" xr:uid="{CFAD5B33-F614-4F28-99A7-5844F2FC97FA}"/>
    <cellStyle name="Normal 5 2 10 2 2 3" xfId="33907" xr:uid="{221C3F33-EB8F-4346-80E8-ED875BBE8945}"/>
    <cellStyle name="Normal 5 2 10 2 2 4" xfId="17020" xr:uid="{AF616F4C-CD9D-4B14-969E-A86E8C76320C}"/>
    <cellStyle name="Normal 5 2 10 2 3" xfId="21243" xr:uid="{E0662463-1B9B-49B9-95B6-F743EB2D2E9B}"/>
    <cellStyle name="Normal 5 2 10 2 4" xfId="29690" xr:uid="{514BF1C5-54E1-47EE-98C4-9CF61437A889}"/>
    <cellStyle name="Normal 5 2 10 2 5" xfId="12802" xr:uid="{AED1A139-3988-4928-B47E-E89C9E4B5DF0}"/>
    <cellStyle name="Normal 5 2 10 3" xfId="6433" xr:uid="{00000000-0005-0000-0000-0000EE160000}"/>
    <cellStyle name="Normal 5 2 10 3 2" xfId="23316" xr:uid="{A79CD04D-08FA-482A-823A-F668316C22F7}"/>
    <cellStyle name="Normal 5 2 10 3 3" xfId="31762" xr:uid="{BD39474F-E59D-4F99-A7B3-750EC2015C30}"/>
    <cellStyle name="Normal 5 2 10 3 4" xfId="14875" xr:uid="{50AC3B3B-1600-468D-8A14-1CC92DE879FE}"/>
    <cellStyle name="Normal 5 2 10 4" xfId="19098" xr:uid="{F889F5D7-44BB-4C71-81D7-317602F90BA2}"/>
    <cellStyle name="Normal 5 2 10 5" xfId="27543" xr:uid="{929F6ABA-BF04-407B-A248-EBE80B0769F2}"/>
    <cellStyle name="Normal 5 2 10 6" xfId="10657" xr:uid="{B5945D22-7F53-49AC-B393-EE1C993E5AC8}"/>
    <cellStyle name="Normal 5 2 11" xfId="2562" xr:uid="{00000000-0005-0000-0000-0000EF160000}"/>
    <cellStyle name="Normal 5 2 11 2" xfId="6846" xr:uid="{00000000-0005-0000-0000-0000F0160000}"/>
    <cellStyle name="Normal 5 2 11 2 2" xfId="23729" xr:uid="{8C6BA6BE-4D85-4DC7-BFFA-EF3BD159EA5C}"/>
    <cellStyle name="Normal 5 2 11 2 3" xfId="32175" xr:uid="{F2ABBEE3-2CCD-4779-8019-4503BE465266}"/>
    <cellStyle name="Normal 5 2 11 2 4" xfId="15288" xr:uid="{118EED82-48F3-49E8-9729-57F82D535AD5}"/>
    <cellStyle name="Normal 5 2 11 3" xfId="19511" xr:uid="{EFDCA0F8-8B49-42AC-96F4-4758F76348A7}"/>
    <cellStyle name="Normal 5 2 11 4" xfId="27956" xr:uid="{52229756-341D-44EE-B4B9-30CA91F7615A}"/>
    <cellStyle name="Normal 5 2 11 5" xfId="11070" xr:uid="{E96392CD-DD66-40EB-BF84-E83BF457FE17}"/>
    <cellStyle name="Normal 5 2 12" xfId="4781" xr:uid="{00000000-0005-0000-0000-0000F1160000}"/>
    <cellStyle name="Normal 5 2 12 2" xfId="21664" xr:uid="{531954AD-0994-4B8B-9C98-FAB6482E2068}"/>
    <cellStyle name="Normal 5 2 12 3" xfId="30110" xr:uid="{C8C3AF0B-E39C-4D79-9C1E-A900C9414171}"/>
    <cellStyle name="Normal 5 2 12 4" xfId="13223" xr:uid="{06632FB1-95A4-45B2-8B4F-26D75B1183E7}"/>
    <cellStyle name="Normal 5 2 13" xfId="17446" xr:uid="{E5FE4866-8CEE-480E-AFA2-439509C1A795}"/>
    <cellStyle name="Normal 5 2 14" xfId="25890" xr:uid="{DEA54EFB-5F18-43A2-ACF8-ECC4ED743CB4}"/>
    <cellStyle name="Normal 5 2 15" xfId="34195" xr:uid="{6168F4A2-CF28-4294-BFF7-EBBADEE72451}"/>
    <cellStyle name="Normal 5 2 16" xfId="9005" xr:uid="{C86B758D-3FB5-4FE1-B240-1A41EC287719}"/>
    <cellStyle name="Normal 5 2 2" xfId="408" xr:uid="{00000000-0005-0000-0000-0000F2160000}"/>
    <cellStyle name="Normal 5 2 2 10" xfId="2563" xr:uid="{00000000-0005-0000-0000-0000F3160000}"/>
    <cellStyle name="Normal 5 2 2 10 2" xfId="6847" xr:uid="{00000000-0005-0000-0000-0000F4160000}"/>
    <cellStyle name="Normal 5 2 2 10 2 2" xfId="23730" xr:uid="{E4EECC4B-9D1F-48FB-B5F6-6B5358BD7F61}"/>
    <cellStyle name="Normal 5 2 2 10 2 3" xfId="32176" xr:uid="{D665BCF5-BDF1-4025-A796-7797CF471967}"/>
    <cellStyle name="Normal 5 2 2 10 2 4" xfId="15289" xr:uid="{5A833E60-4712-44B2-9B9F-C73D99271DB3}"/>
    <cellStyle name="Normal 5 2 2 10 3" xfId="19512" xr:uid="{91A62ECD-56CC-4140-8095-F010AD572797}"/>
    <cellStyle name="Normal 5 2 2 10 4" xfId="27957" xr:uid="{1A8660CA-6EFF-44F1-BDDC-1794228630AF}"/>
    <cellStyle name="Normal 5 2 2 10 5" xfId="11071" xr:uid="{3736ACCF-6165-46D0-90C9-EACBDECF63C7}"/>
    <cellStyle name="Normal 5 2 2 11" xfId="4782" xr:uid="{00000000-0005-0000-0000-0000F5160000}"/>
    <cellStyle name="Normal 5 2 2 11 2" xfId="21665" xr:uid="{FCAFC96E-3740-40C8-90C1-7BC49B8C8124}"/>
    <cellStyle name="Normal 5 2 2 11 3" xfId="30111" xr:uid="{83B8A9D8-7AA6-478D-AEF6-CC42A21C2B67}"/>
    <cellStyle name="Normal 5 2 2 11 4" xfId="13224" xr:uid="{480480A4-8136-4E84-BB43-3B3B9A88F243}"/>
    <cellStyle name="Normal 5 2 2 12" xfId="17447" xr:uid="{57CE5B2C-26E6-4B42-A5AD-451C4A9A0695}"/>
    <cellStyle name="Normal 5 2 2 13" xfId="25891" xr:uid="{0624FAEF-F4ED-4CBC-8F9A-02727FEA3499}"/>
    <cellStyle name="Normal 5 2 2 14" xfId="34081" xr:uid="{0E252CB4-81EE-4B8D-973D-A98F3DE5D3A6}"/>
    <cellStyle name="Normal 5 2 2 15" xfId="9006" xr:uid="{A232E112-BA9F-46FA-B99B-F4F1E98B5A8A}"/>
    <cellStyle name="Normal 5 2 2 2" xfId="409" xr:uid="{00000000-0005-0000-0000-0000F6160000}"/>
    <cellStyle name="Normal 5 2 2 2 10" xfId="4783" xr:uid="{00000000-0005-0000-0000-0000F7160000}"/>
    <cellStyle name="Normal 5 2 2 2 10 2" xfId="21666" xr:uid="{79EC6AA5-91E5-4B01-BD18-0BA2BFCDF3B2}"/>
    <cellStyle name="Normal 5 2 2 2 10 3" xfId="30112" xr:uid="{F51CE531-8343-47F3-A220-E98D7F8EC982}"/>
    <cellStyle name="Normal 5 2 2 2 10 4" xfId="13225" xr:uid="{6ACF6E28-80B2-4F84-A819-7FE536D0D31E}"/>
    <cellStyle name="Normal 5 2 2 2 11" xfId="17448" xr:uid="{1DC8C168-77C9-4B72-A550-0B35C3CCFF10}"/>
    <cellStyle name="Normal 5 2 2 2 12" xfId="25892" xr:uid="{33BC6EF6-09E5-46F5-8CCA-11BFE626E58A}"/>
    <cellStyle name="Normal 5 2 2 2 13" xfId="9007" xr:uid="{C5856967-82FA-435F-9F30-3450104B376C}"/>
    <cellStyle name="Normal 5 2 2 2 2" xfId="410" xr:uid="{00000000-0005-0000-0000-0000F8160000}"/>
    <cellStyle name="Normal 5 2 2 2 2 10" xfId="17449" xr:uid="{280D27E5-0B64-4373-8F4B-8F6D33B243EF}"/>
    <cellStyle name="Normal 5 2 2 2 2 11" xfId="25893" xr:uid="{7010BC40-B89B-4E93-A007-1AB417D2383C}"/>
    <cellStyle name="Normal 5 2 2 2 2 12" xfId="9008" xr:uid="{168396BC-DF5F-4CD4-BA7F-57DD4EAB9FAA}"/>
    <cellStyle name="Normal 5 2 2 2 2 2" xfId="411" xr:uid="{00000000-0005-0000-0000-0000F9160000}"/>
    <cellStyle name="Normal 5 2 2 2 2 2 10" xfId="25894" xr:uid="{F0000919-F61A-48D9-A9F8-98D01D8215F9}"/>
    <cellStyle name="Normal 5 2 2 2 2 2 11" xfId="9009" xr:uid="{B5480412-803E-4862-928D-4F92365D8858}"/>
    <cellStyle name="Normal 5 2 2 2 2 2 2" xfId="412" xr:uid="{00000000-0005-0000-0000-0000FA160000}"/>
    <cellStyle name="Normal 5 2 2 2 2 2 2 10" xfId="9010" xr:uid="{FA4BA80C-CED0-46EE-9D63-4D2A6EE1D298}"/>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24227" xr:uid="{CBD80E93-5224-44B2-906E-5E097F1244EA}"/>
    <cellStyle name="Normal 5 2 2 2 2 2 2 2 2 2 3" xfId="32673" xr:uid="{373245D5-5252-487B-9589-C0630BA0980D}"/>
    <cellStyle name="Normal 5 2 2 2 2 2 2 2 2 2 4" xfId="15786" xr:uid="{ED4D427C-77F9-45E6-8C5D-8A0486108832}"/>
    <cellStyle name="Normal 5 2 2 2 2 2 2 2 2 3" xfId="20009" xr:uid="{1777C266-6E2E-4D3B-8D2B-2A91A476331F}"/>
    <cellStyle name="Normal 5 2 2 2 2 2 2 2 2 4" xfId="28456" xr:uid="{8C01E315-3C77-4F79-BB7E-D949A6EF40BE}"/>
    <cellStyle name="Normal 5 2 2 2 2 2 2 2 2 5" xfId="11568" xr:uid="{51EBC14E-E8D2-4AE7-8D21-E4597FDBD965}"/>
    <cellStyle name="Normal 5 2 2 2 2 2 2 2 3" xfId="5199" xr:uid="{00000000-0005-0000-0000-0000FE160000}"/>
    <cellStyle name="Normal 5 2 2 2 2 2 2 2 3 2" xfId="22082" xr:uid="{49750331-193A-404E-B269-04A98B13ACD9}"/>
    <cellStyle name="Normal 5 2 2 2 2 2 2 2 3 3" xfId="30528" xr:uid="{62F93A16-2C8D-4D0D-AC3D-DFBE7ECEF9C8}"/>
    <cellStyle name="Normal 5 2 2 2 2 2 2 2 3 4" xfId="13641" xr:uid="{416A683F-5389-4D23-B3C5-2E5EC5694D6B}"/>
    <cellStyle name="Normal 5 2 2 2 2 2 2 2 4" xfId="17864" xr:uid="{C9BE1DAF-8B25-442E-9D3E-F3819084D79D}"/>
    <cellStyle name="Normal 5 2 2 2 2 2 2 2 5" xfId="26309" xr:uid="{E82C09E8-01D2-4102-AE3B-64C3578ED713}"/>
    <cellStyle name="Normal 5 2 2 2 2 2 2 2 6" xfId="9423" xr:uid="{57FCEE49-F735-47EC-BC9A-AB37AAA8974B}"/>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24640" xr:uid="{D22C50AF-4B34-4571-9E1B-DF6EFC532AC9}"/>
    <cellStyle name="Normal 5 2 2 2 2 2 2 3 2 2 3" xfId="33086" xr:uid="{BEF9B390-749F-4DA4-BBE2-195DA7F8BAB2}"/>
    <cellStyle name="Normal 5 2 2 2 2 2 2 3 2 2 4" xfId="16199" xr:uid="{A675E5DC-3BCE-40BE-9121-C4303A633998}"/>
    <cellStyle name="Normal 5 2 2 2 2 2 2 3 2 3" xfId="20422" xr:uid="{CB3834A3-1AB8-4CF6-8965-8851DFE7935E}"/>
    <cellStyle name="Normal 5 2 2 2 2 2 2 3 2 4" xfId="28869" xr:uid="{9F65B09F-D70D-4787-96A3-CEFF3DE9CEFD}"/>
    <cellStyle name="Normal 5 2 2 2 2 2 2 3 2 5" xfId="11981" xr:uid="{48EC50E1-EDBA-4849-8C47-B4EFAB67112D}"/>
    <cellStyle name="Normal 5 2 2 2 2 2 2 3 3" xfId="5612" xr:uid="{00000000-0005-0000-0000-000002170000}"/>
    <cellStyle name="Normal 5 2 2 2 2 2 2 3 3 2" xfId="22495" xr:uid="{9C504F0E-E89F-4C19-B2C5-185D479A9D14}"/>
    <cellStyle name="Normal 5 2 2 2 2 2 2 3 3 3" xfId="30941" xr:uid="{FED5DCC8-C89A-4291-8637-48D79376CCF0}"/>
    <cellStyle name="Normal 5 2 2 2 2 2 2 3 3 4" xfId="14054" xr:uid="{9D21B19D-E9C9-4299-8584-9735469D8FEC}"/>
    <cellStyle name="Normal 5 2 2 2 2 2 2 3 4" xfId="18277" xr:uid="{18B4E8FF-3223-455A-8C34-8EEBB146390F}"/>
    <cellStyle name="Normal 5 2 2 2 2 2 2 3 5" xfId="26722" xr:uid="{D481139B-739E-4F8E-8182-3840521BD498}"/>
    <cellStyle name="Normal 5 2 2 2 2 2 2 3 6" xfId="9836" xr:uid="{2AFF5B3B-39CF-40FE-94D9-BC27892EBE04}"/>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25053" xr:uid="{E273B662-06D6-4CC2-868B-70003A9C6252}"/>
    <cellStyle name="Normal 5 2 2 2 2 2 2 4 2 2 3" xfId="33499" xr:uid="{D6CA6E26-5EC8-47A8-8AC3-38BE45C45682}"/>
    <cellStyle name="Normal 5 2 2 2 2 2 2 4 2 2 4" xfId="16612" xr:uid="{19EF59DC-3F04-4D08-9C89-3B79266A0548}"/>
    <cellStyle name="Normal 5 2 2 2 2 2 2 4 2 3" xfId="20835" xr:uid="{2655766E-758F-4E6B-8E81-61578B0A8E0C}"/>
    <cellStyle name="Normal 5 2 2 2 2 2 2 4 2 4" xfId="29282" xr:uid="{520693F5-C0A9-4287-9E6F-A9A66EDF59C4}"/>
    <cellStyle name="Normal 5 2 2 2 2 2 2 4 2 5" xfId="12394" xr:uid="{D4A7C485-AD59-43C8-8326-6DA3205141F7}"/>
    <cellStyle name="Normal 5 2 2 2 2 2 2 4 3" xfId="6025" xr:uid="{00000000-0005-0000-0000-000006170000}"/>
    <cellStyle name="Normal 5 2 2 2 2 2 2 4 3 2" xfId="22908" xr:uid="{F3A521EF-0210-4A2E-AA9C-F1EC1A0BC6BC}"/>
    <cellStyle name="Normal 5 2 2 2 2 2 2 4 3 3" xfId="31354" xr:uid="{03A23E39-C16B-45D5-86CB-896ECB028C59}"/>
    <cellStyle name="Normal 5 2 2 2 2 2 2 4 3 4" xfId="14467" xr:uid="{B1EE62B1-A305-40A7-AFDD-5D59179B8F31}"/>
    <cellStyle name="Normal 5 2 2 2 2 2 2 4 4" xfId="18690" xr:uid="{C968866B-8930-4B4C-8FCE-3D09B5B3E756}"/>
    <cellStyle name="Normal 5 2 2 2 2 2 2 4 5" xfId="27135" xr:uid="{2129B3AA-B057-4B0F-94AA-E12D398D1D5B}"/>
    <cellStyle name="Normal 5 2 2 2 2 2 2 4 6" xfId="10249" xr:uid="{DDC0B8F0-9530-498F-9A80-8BB099FEEDDB}"/>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25466" xr:uid="{E459D504-80DC-402A-B8BE-AD97DBC6921A}"/>
    <cellStyle name="Normal 5 2 2 2 2 2 2 5 2 2 3" xfId="33912" xr:uid="{22E64AE1-CAC6-4995-8F33-581A081F77ED}"/>
    <cellStyle name="Normal 5 2 2 2 2 2 2 5 2 2 4" xfId="17025" xr:uid="{A3CDEA17-97CE-40FD-82F8-A83E4490CEBA}"/>
    <cellStyle name="Normal 5 2 2 2 2 2 2 5 2 3" xfId="21248" xr:uid="{314FAE31-46B5-49A8-ACF0-8C40C7490BCF}"/>
    <cellStyle name="Normal 5 2 2 2 2 2 2 5 2 4" xfId="29695" xr:uid="{298B0C20-5070-4635-A977-CE8D65F943C4}"/>
    <cellStyle name="Normal 5 2 2 2 2 2 2 5 2 5" xfId="12807" xr:uid="{61BF9091-26F5-4156-B4B3-6ECC505FBEFB}"/>
    <cellStyle name="Normal 5 2 2 2 2 2 2 5 3" xfId="6438" xr:uid="{00000000-0005-0000-0000-00000A170000}"/>
    <cellStyle name="Normal 5 2 2 2 2 2 2 5 3 2" xfId="23321" xr:uid="{5142F711-8387-422D-8CA3-6EBAA2E5E6DF}"/>
    <cellStyle name="Normal 5 2 2 2 2 2 2 5 3 3" xfId="31767" xr:uid="{AC5A1560-0AAA-4BCC-B653-A1B28FC66B52}"/>
    <cellStyle name="Normal 5 2 2 2 2 2 2 5 3 4" xfId="14880" xr:uid="{B5643891-411B-40E2-9764-256725C3405D}"/>
    <cellStyle name="Normal 5 2 2 2 2 2 2 5 4" xfId="19103" xr:uid="{0A44C8AC-4515-4C8F-8804-CD85839239B6}"/>
    <cellStyle name="Normal 5 2 2 2 2 2 2 5 5" xfId="27548" xr:uid="{1CEB33F1-6E9C-4456-A1D0-391B00F419EE}"/>
    <cellStyle name="Normal 5 2 2 2 2 2 2 5 6" xfId="10662" xr:uid="{E6E2A4F9-CADD-464C-9ADD-E6960A27817E}"/>
    <cellStyle name="Normal 5 2 2 2 2 2 2 6" xfId="2567" xr:uid="{00000000-0005-0000-0000-00000B170000}"/>
    <cellStyle name="Normal 5 2 2 2 2 2 2 6 2" xfId="6851" xr:uid="{00000000-0005-0000-0000-00000C170000}"/>
    <cellStyle name="Normal 5 2 2 2 2 2 2 6 2 2" xfId="23734" xr:uid="{16DCDDFB-0A57-4141-9F29-274264A15522}"/>
    <cellStyle name="Normal 5 2 2 2 2 2 2 6 2 3" xfId="32180" xr:uid="{6949E14A-391A-4117-9212-167DD88A1051}"/>
    <cellStyle name="Normal 5 2 2 2 2 2 2 6 2 4" xfId="15293" xr:uid="{D337D2EA-B8F0-43BA-A84D-4857DAF54391}"/>
    <cellStyle name="Normal 5 2 2 2 2 2 2 6 3" xfId="19516" xr:uid="{9A1D99CF-CDE8-4DB8-A0AD-530E6CCB0634}"/>
    <cellStyle name="Normal 5 2 2 2 2 2 2 6 4" xfId="27961" xr:uid="{1B900C23-0A55-498F-A6FA-AE414BB5B539}"/>
    <cellStyle name="Normal 5 2 2 2 2 2 2 6 5" xfId="11075" xr:uid="{F4D7D634-8835-4F53-A4D9-35445AF3A085}"/>
    <cellStyle name="Normal 5 2 2 2 2 2 2 7" xfId="4786" xr:uid="{00000000-0005-0000-0000-00000D170000}"/>
    <cellStyle name="Normal 5 2 2 2 2 2 2 7 2" xfId="21669" xr:uid="{8C830703-390B-424E-8077-FAACD5D41504}"/>
    <cellStyle name="Normal 5 2 2 2 2 2 2 7 3" xfId="30115" xr:uid="{2803DC6F-5180-410E-A362-D6E34487D7D1}"/>
    <cellStyle name="Normal 5 2 2 2 2 2 2 7 4" xfId="13228" xr:uid="{D30B1718-2E05-44FB-9F00-EBFFCF7E9D29}"/>
    <cellStyle name="Normal 5 2 2 2 2 2 2 8" xfId="17451" xr:uid="{F1E3E15C-6246-4733-BF25-AEAD54DE851A}"/>
    <cellStyle name="Normal 5 2 2 2 2 2 2 9" xfId="25895" xr:uid="{DC38D455-102E-4D07-9FEB-8DA82F06A91B}"/>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24226" xr:uid="{F5212267-A6CD-4744-A355-E034487C7072}"/>
    <cellStyle name="Normal 5 2 2 2 2 2 3 2 2 3" xfId="32672" xr:uid="{D076F9C2-D06B-4F35-B63F-1451ADF90E51}"/>
    <cellStyle name="Normal 5 2 2 2 2 2 3 2 2 4" xfId="15785" xr:uid="{A467D0F0-87CF-4848-A341-C8944E997E55}"/>
    <cellStyle name="Normal 5 2 2 2 2 2 3 2 3" xfId="20008" xr:uid="{D3B2869C-F8C3-419D-A584-18752AF09BA6}"/>
    <cellStyle name="Normal 5 2 2 2 2 2 3 2 4" xfId="28455" xr:uid="{D9886243-B02D-47EB-BEBD-C3BD0251A592}"/>
    <cellStyle name="Normal 5 2 2 2 2 2 3 2 5" xfId="11567" xr:uid="{51596B1D-5E30-4853-9A8D-035BE92BCAD4}"/>
    <cellStyle name="Normal 5 2 2 2 2 2 3 3" xfId="5198" xr:uid="{00000000-0005-0000-0000-000011170000}"/>
    <cellStyle name="Normal 5 2 2 2 2 2 3 3 2" xfId="22081" xr:uid="{3183318F-8C42-4F1F-86F3-0DAF4A2C2138}"/>
    <cellStyle name="Normal 5 2 2 2 2 2 3 3 3" xfId="30527" xr:uid="{F4B4BC60-C92A-4981-B82F-60E812FD4A98}"/>
    <cellStyle name="Normal 5 2 2 2 2 2 3 3 4" xfId="13640" xr:uid="{33CAC294-DC1E-40DD-999A-00EA4E290AFC}"/>
    <cellStyle name="Normal 5 2 2 2 2 2 3 4" xfId="17863" xr:uid="{AB97636C-C899-4EF5-91AD-ACAB9D2D3FD6}"/>
    <cellStyle name="Normal 5 2 2 2 2 2 3 5" xfId="26308" xr:uid="{FDE3DF26-25DD-4C27-A3C5-053C166D601D}"/>
    <cellStyle name="Normal 5 2 2 2 2 2 3 6" xfId="9422" xr:uid="{2B47EBB1-ACF6-4A0F-8084-574E7FF75B15}"/>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24639" xr:uid="{881B0BFA-3F86-43FC-B6C1-1B53EE4D2B1F}"/>
    <cellStyle name="Normal 5 2 2 2 2 2 4 2 2 3" xfId="33085" xr:uid="{738418BD-3D69-42C1-8CF9-A7A0AC159F4B}"/>
    <cellStyle name="Normal 5 2 2 2 2 2 4 2 2 4" xfId="16198" xr:uid="{64CB7C85-B46E-48A3-8CB1-D99B53A35B8B}"/>
    <cellStyle name="Normal 5 2 2 2 2 2 4 2 3" xfId="20421" xr:uid="{010101A8-66D0-41AB-BAD4-CC9DBC41D77E}"/>
    <cellStyle name="Normal 5 2 2 2 2 2 4 2 4" xfId="28868" xr:uid="{34FA92A3-6472-4B8F-A301-C97667A77FCC}"/>
    <cellStyle name="Normal 5 2 2 2 2 2 4 2 5" xfId="11980" xr:uid="{5F9A539E-B954-4B76-96DF-767B01F171E5}"/>
    <cellStyle name="Normal 5 2 2 2 2 2 4 3" xfId="5611" xr:uid="{00000000-0005-0000-0000-000015170000}"/>
    <cellStyle name="Normal 5 2 2 2 2 2 4 3 2" xfId="22494" xr:uid="{7C443DC8-2AF6-4A0F-AF58-BA487C0C727F}"/>
    <cellStyle name="Normal 5 2 2 2 2 2 4 3 3" xfId="30940" xr:uid="{387190E1-FC09-44F8-9F21-C48764E8C525}"/>
    <cellStyle name="Normal 5 2 2 2 2 2 4 3 4" xfId="14053" xr:uid="{88794AAB-4F51-4243-8E93-62C724C82B50}"/>
    <cellStyle name="Normal 5 2 2 2 2 2 4 4" xfId="18276" xr:uid="{EC223776-5813-4202-A1EF-8D3A683D976C}"/>
    <cellStyle name="Normal 5 2 2 2 2 2 4 5" xfId="26721" xr:uid="{BB0C6AFF-114D-4502-8C21-FBAAD34C6174}"/>
    <cellStyle name="Normal 5 2 2 2 2 2 4 6" xfId="9835" xr:uid="{690696DA-20FC-43AB-AB46-7BBD78C9523C}"/>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25052" xr:uid="{58AAC657-272C-4771-A424-D5019ABA4C2B}"/>
    <cellStyle name="Normal 5 2 2 2 2 2 5 2 2 3" xfId="33498" xr:uid="{EFEA7FA2-AEEA-43AA-81DF-7523F445A1C8}"/>
    <cellStyle name="Normal 5 2 2 2 2 2 5 2 2 4" xfId="16611" xr:uid="{0639A88F-6650-45DE-A573-415AD66BD8C5}"/>
    <cellStyle name="Normal 5 2 2 2 2 2 5 2 3" xfId="20834" xr:uid="{EBC27FA9-5B1B-4CEC-8960-A36D0FA205C6}"/>
    <cellStyle name="Normal 5 2 2 2 2 2 5 2 4" xfId="29281" xr:uid="{332C0950-6BF0-4732-B20B-A647F8820C5A}"/>
    <cellStyle name="Normal 5 2 2 2 2 2 5 2 5" xfId="12393" xr:uid="{50776677-F74B-4B6E-8AC9-CA52E96EFA5F}"/>
    <cellStyle name="Normal 5 2 2 2 2 2 5 3" xfId="6024" xr:uid="{00000000-0005-0000-0000-000019170000}"/>
    <cellStyle name="Normal 5 2 2 2 2 2 5 3 2" xfId="22907" xr:uid="{2990790E-BF5F-4E45-96E9-47AAE4438542}"/>
    <cellStyle name="Normal 5 2 2 2 2 2 5 3 3" xfId="31353" xr:uid="{C98C2D5C-1552-410C-8C69-61CAD2703642}"/>
    <cellStyle name="Normal 5 2 2 2 2 2 5 3 4" xfId="14466" xr:uid="{B22D15A3-CB7D-49DE-AA9B-FB7E1C3528A4}"/>
    <cellStyle name="Normal 5 2 2 2 2 2 5 4" xfId="18689" xr:uid="{22594AD8-551E-4AAB-B9F1-33578B83DCBE}"/>
    <cellStyle name="Normal 5 2 2 2 2 2 5 5" xfId="27134" xr:uid="{E93B81D5-41D0-4135-B910-21588E7144FE}"/>
    <cellStyle name="Normal 5 2 2 2 2 2 5 6" xfId="10248" xr:uid="{4F1CA3B8-C35C-46B7-AC8B-C39BA7F1A68E}"/>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25465" xr:uid="{1B2BB231-8461-4F35-8299-566A1E7BB63E}"/>
    <cellStyle name="Normal 5 2 2 2 2 2 6 2 2 3" xfId="33911" xr:uid="{9A301FB6-16D9-4E2B-A446-AD6FF3B44A29}"/>
    <cellStyle name="Normal 5 2 2 2 2 2 6 2 2 4" xfId="17024" xr:uid="{6065061C-01A4-4F83-B58A-72A7AE31BDF6}"/>
    <cellStyle name="Normal 5 2 2 2 2 2 6 2 3" xfId="21247" xr:uid="{26DE7E40-9214-40E2-A90E-3BBA1FD65758}"/>
    <cellStyle name="Normal 5 2 2 2 2 2 6 2 4" xfId="29694" xr:uid="{F05C9EC5-8CAA-42E6-B4E7-8A733C42B004}"/>
    <cellStyle name="Normal 5 2 2 2 2 2 6 2 5" xfId="12806" xr:uid="{A556F530-F805-44E1-A66B-A2CC3636B70E}"/>
    <cellStyle name="Normal 5 2 2 2 2 2 6 3" xfId="6437" xr:uid="{00000000-0005-0000-0000-00001D170000}"/>
    <cellStyle name="Normal 5 2 2 2 2 2 6 3 2" xfId="23320" xr:uid="{73426529-5E3E-4374-884A-A6C9DAAB7458}"/>
    <cellStyle name="Normal 5 2 2 2 2 2 6 3 3" xfId="31766" xr:uid="{B556056B-190A-4BEB-961F-F080CEA7E838}"/>
    <cellStyle name="Normal 5 2 2 2 2 2 6 3 4" xfId="14879" xr:uid="{13C0EF64-A1D7-4DF3-97D1-A8EFA9E50FA5}"/>
    <cellStyle name="Normal 5 2 2 2 2 2 6 4" xfId="19102" xr:uid="{9EDDE74D-5C1D-4151-ABFB-06EC81901BAC}"/>
    <cellStyle name="Normal 5 2 2 2 2 2 6 5" xfId="27547" xr:uid="{14F826E6-0660-4725-BF2F-FF8BA2DAAA81}"/>
    <cellStyle name="Normal 5 2 2 2 2 2 6 6" xfId="10661" xr:uid="{B2DA875D-0992-46C2-B9AD-A179937B7780}"/>
    <cellStyle name="Normal 5 2 2 2 2 2 7" xfId="2566" xr:uid="{00000000-0005-0000-0000-00001E170000}"/>
    <cellStyle name="Normal 5 2 2 2 2 2 7 2" xfId="6850" xr:uid="{00000000-0005-0000-0000-00001F170000}"/>
    <cellStyle name="Normal 5 2 2 2 2 2 7 2 2" xfId="23733" xr:uid="{64B80ED5-8600-4942-A04D-EA5D221C3E8D}"/>
    <cellStyle name="Normal 5 2 2 2 2 2 7 2 3" xfId="32179" xr:uid="{4D222707-C7AF-4327-BCF0-4E5E09D0927C}"/>
    <cellStyle name="Normal 5 2 2 2 2 2 7 2 4" xfId="15292" xr:uid="{A6C18522-D966-4C7A-8CB9-E02A01CD1227}"/>
    <cellStyle name="Normal 5 2 2 2 2 2 7 3" xfId="19515" xr:uid="{0B44E2A4-7480-440C-994E-567C10CD6383}"/>
    <cellStyle name="Normal 5 2 2 2 2 2 7 4" xfId="27960" xr:uid="{9FDD9E00-D4FD-4FCE-B88B-FC11BDD7F6B3}"/>
    <cellStyle name="Normal 5 2 2 2 2 2 7 5" xfId="11074" xr:uid="{B2102B0C-5540-47B7-B8EC-332611216710}"/>
    <cellStyle name="Normal 5 2 2 2 2 2 8" xfId="4785" xr:uid="{00000000-0005-0000-0000-000020170000}"/>
    <cellStyle name="Normal 5 2 2 2 2 2 8 2" xfId="21668" xr:uid="{542CD0CE-7B82-49A2-A69E-52376902BCBB}"/>
    <cellStyle name="Normal 5 2 2 2 2 2 8 3" xfId="30114" xr:uid="{FF095C30-92FD-4FB7-B578-C222374CDC6D}"/>
    <cellStyle name="Normal 5 2 2 2 2 2 8 4" xfId="13227" xr:uid="{0B54AFE0-DFA8-40BE-9615-5F29DEB231B1}"/>
    <cellStyle name="Normal 5 2 2 2 2 2 9" xfId="17450" xr:uid="{453A269A-0D01-4799-B838-3003A1F9F453}"/>
    <cellStyle name="Normal 5 2 2 2 2 3" xfId="413" xr:uid="{00000000-0005-0000-0000-000021170000}"/>
    <cellStyle name="Normal 5 2 2 2 2 3 10" xfId="9011" xr:uid="{EEA4B1B8-8DCC-4FFF-A9D6-DB8A7AD34615}"/>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24228" xr:uid="{5CBFC7E7-E085-4642-9206-7F0AFFCC399A}"/>
    <cellStyle name="Normal 5 2 2 2 2 3 2 2 2 3" xfId="32674" xr:uid="{537CE778-5180-4C5E-9572-0C659CD1DF03}"/>
    <cellStyle name="Normal 5 2 2 2 2 3 2 2 2 4" xfId="15787" xr:uid="{B11B7F12-AAC8-4127-A728-3CA3B59397F5}"/>
    <cellStyle name="Normal 5 2 2 2 2 3 2 2 3" xfId="20010" xr:uid="{D46F751E-60B0-4A6A-A122-0012BDC1FC3C}"/>
    <cellStyle name="Normal 5 2 2 2 2 3 2 2 4" xfId="28457" xr:uid="{5D832462-D44F-4DC0-9FEF-96DB29BA0FD1}"/>
    <cellStyle name="Normal 5 2 2 2 2 3 2 2 5" xfId="11569" xr:uid="{CFE354F1-8913-45CF-A9BD-E49A6D36E370}"/>
    <cellStyle name="Normal 5 2 2 2 2 3 2 3" xfId="5200" xr:uid="{00000000-0005-0000-0000-000025170000}"/>
    <cellStyle name="Normal 5 2 2 2 2 3 2 3 2" xfId="22083" xr:uid="{3412A499-EFC5-4501-8BB9-46B9AE169615}"/>
    <cellStyle name="Normal 5 2 2 2 2 3 2 3 3" xfId="30529" xr:uid="{630ADE59-CEA3-46B5-82E7-406514702B22}"/>
    <cellStyle name="Normal 5 2 2 2 2 3 2 3 4" xfId="13642" xr:uid="{A07351F6-507B-4AAD-BFD0-A5D489B8DD9B}"/>
    <cellStyle name="Normal 5 2 2 2 2 3 2 4" xfId="17865" xr:uid="{5344B6F0-C841-42AB-A83A-DCC9C7CC48EB}"/>
    <cellStyle name="Normal 5 2 2 2 2 3 2 5" xfId="26310" xr:uid="{666458B1-D28F-4791-8AB1-B37512E68E28}"/>
    <cellStyle name="Normal 5 2 2 2 2 3 2 6" xfId="9424" xr:uid="{8F93041D-1B62-4166-87DC-240C6ED78E19}"/>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24641" xr:uid="{2B8AC2C3-BC9F-484E-9A74-CF5362592DFC}"/>
    <cellStyle name="Normal 5 2 2 2 2 3 3 2 2 3" xfId="33087" xr:uid="{02FC90AC-D952-4F02-9112-E2AEBD82589C}"/>
    <cellStyle name="Normal 5 2 2 2 2 3 3 2 2 4" xfId="16200" xr:uid="{72F41926-41A8-4359-B3C9-89DF4C5F4289}"/>
    <cellStyle name="Normal 5 2 2 2 2 3 3 2 3" xfId="20423" xr:uid="{6C0AA0A6-AA71-415F-98ED-F4F3E20E6897}"/>
    <cellStyle name="Normal 5 2 2 2 2 3 3 2 4" xfId="28870" xr:uid="{3B64C96B-993D-4A8F-9FF4-EB5ECC5AB60F}"/>
    <cellStyle name="Normal 5 2 2 2 2 3 3 2 5" xfId="11982" xr:uid="{13462F00-2B24-4460-A5A8-1F2445F1D443}"/>
    <cellStyle name="Normal 5 2 2 2 2 3 3 3" xfId="5613" xr:uid="{00000000-0005-0000-0000-000029170000}"/>
    <cellStyle name="Normal 5 2 2 2 2 3 3 3 2" xfId="22496" xr:uid="{4424361C-72FE-4729-B7E4-7FA91225DBB0}"/>
    <cellStyle name="Normal 5 2 2 2 2 3 3 3 3" xfId="30942" xr:uid="{5DBA6E41-8EC6-4C53-AEFE-774322D37C33}"/>
    <cellStyle name="Normal 5 2 2 2 2 3 3 3 4" xfId="14055" xr:uid="{60960E43-397C-47C5-90D0-0C3588FDC5D7}"/>
    <cellStyle name="Normal 5 2 2 2 2 3 3 4" xfId="18278" xr:uid="{34536C8A-193F-4775-83AF-7FDAA9C66A3A}"/>
    <cellStyle name="Normal 5 2 2 2 2 3 3 5" xfId="26723" xr:uid="{AB0AACC5-91B1-4F63-9499-EED298E9AD54}"/>
    <cellStyle name="Normal 5 2 2 2 2 3 3 6" xfId="9837" xr:uid="{855B1E6A-5C46-479B-9DAC-C6D311C49C04}"/>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25054" xr:uid="{B021D438-DEB2-48B1-994F-757E292D75A0}"/>
    <cellStyle name="Normal 5 2 2 2 2 3 4 2 2 3" xfId="33500" xr:uid="{8A789C2F-C84D-4BDB-B0C6-F15C0A2D87C5}"/>
    <cellStyle name="Normal 5 2 2 2 2 3 4 2 2 4" xfId="16613" xr:uid="{1AD12F97-7790-4F16-BDB9-4A7F93C7194D}"/>
    <cellStyle name="Normal 5 2 2 2 2 3 4 2 3" xfId="20836" xr:uid="{8F227AE2-A6A3-4FB5-8C58-3E400F3A5A14}"/>
    <cellStyle name="Normal 5 2 2 2 2 3 4 2 4" xfId="29283" xr:uid="{018C640A-BB10-49D0-946D-74D023AE00BB}"/>
    <cellStyle name="Normal 5 2 2 2 2 3 4 2 5" xfId="12395" xr:uid="{E168854B-28F4-46EB-A6BB-A429883AD19E}"/>
    <cellStyle name="Normal 5 2 2 2 2 3 4 3" xfId="6026" xr:uid="{00000000-0005-0000-0000-00002D170000}"/>
    <cellStyle name="Normal 5 2 2 2 2 3 4 3 2" xfId="22909" xr:uid="{C3507A01-55D2-49C3-AD92-127B261EDDD5}"/>
    <cellStyle name="Normal 5 2 2 2 2 3 4 3 3" xfId="31355" xr:uid="{BF8486B6-4B7E-4DD7-AD0C-6CAB7494015D}"/>
    <cellStyle name="Normal 5 2 2 2 2 3 4 3 4" xfId="14468" xr:uid="{777CC9D1-5FA2-421C-9B8B-DF06CFE78A72}"/>
    <cellStyle name="Normal 5 2 2 2 2 3 4 4" xfId="18691" xr:uid="{AFC7EA77-1DB4-41C7-85BB-EDF0A094AB3F}"/>
    <cellStyle name="Normal 5 2 2 2 2 3 4 5" xfId="27136" xr:uid="{BC28E8FC-731E-4046-A470-AF3131B6F02D}"/>
    <cellStyle name="Normal 5 2 2 2 2 3 4 6" xfId="10250" xr:uid="{9028BFA8-1B6F-495D-8BC7-89EB57ACF0E1}"/>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25467" xr:uid="{516ACE77-9D5A-4A44-9713-5785717E452D}"/>
    <cellStyle name="Normal 5 2 2 2 2 3 5 2 2 3" xfId="33913" xr:uid="{53E5F55F-A4D6-4454-9B85-7009FE07AE0E}"/>
    <cellStyle name="Normal 5 2 2 2 2 3 5 2 2 4" xfId="17026" xr:uid="{E633A9EC-5643-4631-A249-01A5DC0B71D7}"/>
    <cellStyle name="Normal 5 2 2 2 2 3 5 2 3" xfId="21249" xr:uid="{85A67463-C211-413B-9FC3-F882748E4C96}"/>
    <cellStyle name="Normal 5 2 2 2 2 3 5 2 4" xfId="29696" xr:uid="{BBB8B2C2-8A98-4496-BC58-ACB98B252BA7}"/>
    <cellStyle name="Normal 5 2 2 2 2 3 5 2 5" xfId="12808" xr:uid="{1D691324-4B03-49C7-B25C-23C070A1D0A7}"/>
    <cellStyle name="Normal 5 2 2 2 2 3 5 3" xfId="6439" xr:uid="{00000000-0005-0000-0000-000031170000}"/>
    <cellStyle name="Normal 5 2 2 2 2 3 5 3 2" xfId="23322" xr:uid="{377B71C5-29A0-4B45-B2A0-86A677DF0703}"/>
    <cellStyle name="Normal 5 2 2 2 2 3 5 3 3" xfId="31768" xr:uid="{25872CEF-82EB-43F1-99B9-B54B4F8EB6F9}"/>
    <cellStyle name="Normal 5 2 2 2 2 3 5 3 4" xfId="14881" xr:uid="{3CEFF876-51D0-425C-A130-61B9F86C3FA7}"/>
    <cellStyle name="Normal 5 2 2 2 2 3 5 4" xfId="19104" xr:uid="{A47C8022-C7CA-4AFC-A1CB-25A6706E3760}"/>
    <cellStyle name="Normal 5 2 2 2 2 3 5 5" xfId="27549" xr:uid="{60187D76-CA8F-44C1-8C0F-F3A58F888920}"/>
    <cellStyle name="Normal 5 2 2 2 2 3 5 6" xfId="10663" xr:uid="{ED0A2401-DE30-4DAC-9416-DC8685690A69}"/>
    <cellStyle name="Normal 5 2 2 2 2 3 6" xfId="2568" xr:uid="{00000000-0005-0000-0000-000032170000}"/>
    <cellStyle name="Normal 5 2 2 2 2 3 6 2" xfId="6852" xr:uid="{00000000-0005-0000-0000-000033170000}"/>
    <cellStyle name="Normal 5 2 2 2 2 3 6 2 2" xfId="23735" xr:uid="{A454BC34-AFA4-4BF4-ACA7-C2E6557CDD60}"/>
    <cellStyle name="Normal 5 2 2 2 2 3 6 2 3" xfId="32181" xr:uid="{62F63803-17A8-4416-9986-73DA2D86F465}"/>
    <cellStyle name="Normal 5 2 2 2 2 3 6 2 4" xfId="15294" xr:uid="{539B31FD-3721-4ADE-A0E6-F749C216CCEF}"/>
    <cellStyle name="Normal 5 2 2 2 2 3 6 3" xfId="19517" xr:uid="{1659C59C-E47D-4F6F-89D2-4634730B9D61}"/>
    <cellStyle name="Normal 5 2 2 2 2 3 6 4" xfId="27962" xr:uid="{EA2A93F8-F75F-494F-A5FC-81442F363243}"/>
    <cellStyle name="Normal 5 2 2 2 2 3 6 5" xfId="11076" xr:uid="{4E7263BE-7CF7-4513-BAE8-CB4768AE6C58}"/>
    <cellStyle name="Normal 5 2 2 2 2 3 7" xfId="4787" xr:uid="{00000000-0005-0000-0000-000034170000}"/>
    <cellStyle name="Normal 5 2 2 2 2 3 7 2" xfId="21670" xr:uid="{39B89D8A-A543-4F6F-B75D-961E5BEBDC49}"/>
    <cellStyle name="Normal 5 2 2 2 2 3 7 3" xfId="30116" xr:uid="{B15EECDA-B72A-4E40-B85A-B3E03523F5DF}"/>
    <cellStyle name="Normal 5 2 2 2 2 3 7 4" xfId="13229" xr:uid="{55455367-A52E-46CF-9234-EE8ECCB78E6D}"/>
    <cellStyle name="Normal 5 2 2 2 2 3 8" xfId="17452" xr:uid="{B0684992-F9D8-42D8-A212-5C525D11DC9A}"/>
    <cellStyle name="Normal 5 2 2 2 2 3 9" xfId="25896" xr:uid="{3C62880F-B04F-4CB2-ACDF-DC372CCCFA6D}"/>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24225" xr:uid="{D884DD73-B277-4A3C-9ACF-85A93D0C48E2}"/>
    <cellStyle name="Normal 5 2 2 2 2 4 2 2 3" xfId="32671" xr:uid="{65F84D48-7C89-42DB-8D3D-F524A7955F61}"/>
    <cellStyle name="Normal 5 2 2 2 2 4 2 2 4" xfId="15784" xr:uid="{8197AB60-95CF-4A05-9B8C-2DA30B24BF47}"/>
    <cellStyle name="Normal 5 2 2 2 2 4 2 3" xfId="20007" xr:uid="{E87BE0E6-314B-4317-AC66-DD556546A58D}"/>
    <cellStyle name="Normal 5 2 2 2 2 4 2 4" xfId="28454" xr:uid="{C71E2611-E25E-45E2-ADA7-7E3014AD702A}"/>
    <cellStyle name="Normal 5 2 2 2 2 4 2 5" xfId="11566" xr:uid="{031095F6-DC6F-4ACA-A385-CB0BA6773E9F}"/>
    <cellStyle name="Normal 5 2 2 2 2 4 3" xfId="5197" xr:uid="{00000000-0005-0000-0000-000038170000}"/>
    <cellStyle name="Normal 5 2 2 2 2 4 3 2" xfId="22080" xr:uid="{1E9F85E8-7C17-4044-AF84-4A14FA70F846}"/>
    <cellStyle name="Normal 5 2 2 2 2 4 3 3" xfId="30526" xr:uid="{55BEBADC-E043-480D-8A5A-490BDAB8DEA2}"/>
    <cellStyle name="Normal 5 2 2 2 2 4 3 4" xfId="13639" xr:uid="{6ACEF63C-43A5-40B6-A889-5C82D39F3966}"/>
    <cellStyle name="Normal 5 2 2 2 2 4 4" xfId="17862" xr:uid="{32FB06B7-1317-41C8-989E-6002A68C49D9}"/>
    <cellStyle name="Normal 5 2 2 2 2 4 5" xfId="26307" xr:uid="{89C187E7-9E0C-403A-B249-1AF22016F607}"/>
    <cellStyle name="Normal 5 2 2 2 2 4 6" xfId="9421" xr:uid="{0E4DDF48-0DE5-4B97-9D0D-EB765CE2FFC9}"/>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24638" xr:uid="{E3CC9E5E-C372-4334-B44C-92C371CAB815}"/>
    <cellStyle name="Normal 5 2 2 2 2 5 2 2 3" xfId="33084" xr:uid="{FB370FF9-ADDD-452C-9BEA-341A775B4604}"/>
    <cellStyle name="Normal 5 2 2 2 2 5 2 2 4" xfId="16197" xr:uid="{F7FC837E-8A31-4868-87D1-8F9A9A950C0B}"/>
    <cellStyle name="Normal 5 2 2 2 2 5 2 3" xfId="20420" xr:uid="{A87B7681-E4CE-4791-98FF-3CFEFD14FAF3}"/>
    <cellStyle name="Normal 5 2 2 2 2 5 2 4" xfId="28867" xr:uid="{CB61911C-B082-4734-9AFA-19643E59ED0D}"/>
    <cellStyle name="Normal 5 2 2 2 2 5 2 5" xfId="11979" xr:uid="{FD2FA6F1-D1FC-41D9-951A-B3889578ECF1}"/>
    <cellStyle name="Normal 5 2 2 2 2 5 3" xfId="5610" xr:uid="{00000000-0005-0000-0000-00003C170000}"/>
    <cellStyle name="Normal 5 2 2 2 2 5 3 2" xfId="22493" xr:uid="{7AD457C5-A117-4F5B-8FC4-5D5575EC6782}"/>
    <cellStyle name="Normal 5 2 2 2 2 5 3 3" xfId="30939" xr:uid="{28CAD29C-2875-40AE-9A53-AF95AE645026}"/>
    <cellStyle name="Normal 5 2 2 2 2 5 3 4" xfId="14052" xr:uid="{A9FFA364-0BCD-4F1F-A590-2AA698DC7ADD}"/>
    <cellStyle name="Normal 5 2 2 2 2 5 4" xfId="18275" xr:uid="{AB9962C6-CD19-4A93-B09C-386379A03A61}"/>
    <cellStyle name="Normal 5 2 2 2 2 5 5" xfId="26720" xr:uid="{82E8A686-1702-4B1C-B704-AEBF2F788AB5}"/>
    <cellStyle name="Normal 5 2 2 2 2 5 6" xfId="9834" xr:uid="{1A8D841B-C8C1-4690-A3B7-C270F053B7DE}"/>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25051" xr:uid="{4B277EC3-6ED3-41B0-AB9E-546DFC89BEAF}"/>
    <cellStyle name="Normal 5 2 2 2 2 6 2 2 3" xfId="33497" xr:uid="{D877D2E6-47E1-48E3-BDAA-482C3048D00A}"/>
    <cellStyle name="Normal 5 2 2 2 2 6 2 2 4" xfId="16610" xr:uid="{EB40A27B-AC1C-4F3A-8377-2F9ABF795AF3}"/>
    <cellStyle name="Normal 5 2 2 2 2 6 2 3" xfId="20833" xr:uid="{9DD9AF05-31A8-411E-A145-812C71FB5D51}"/>
    <cellStyle name="Normal 5 2 2 2 2 6 2 4" xfId="29280" xr:uid="{3D102234-CFBF-46C5-8505-3DD7E97538BD}"/>
    <cellStyle name="Normal 5 2 2 2 2 6 2 5" xfId="12392" xr:uid="{8F6556D7-67AD-4A14-8E39-2265C5A605AB}"/>
    <cellStyle name="Normal 5 2 2 2 2 6 3" xfId="6023" xr:uid="{00000000-0005-0000-0000-000040170000}"/>
    <cellStyle name="Normal 5 2 2 2 2 6 3 2" xfId="22906" xr:uid="{5827B2C6-EF3B-4B88-9612-5E3D7B85EF01}"/>
    <cellStyle name="Normal 5 2 2 2 2 6 3 3" xfId="31352" xr:uid="{5688094C-1F0F-437C-A018-D937DCC988E3}"/>
    <cellStyle name="Normal 5 2 2 2 2 6 3 4" xfId="14465" xr:uid="{72DA5371-6B21-4033-A912-1CA42267113B}"/>
    <cellStyle name="Normal 5 2 2 2 2 6 4" xfId="18688" xr:uid="{DDAB0F6E-D8BA-4441-BF31-7D2E04445F8F}"/>
    <cellStyle name="Normal 5 2 2 2 2 6 5" xfId="27133" xr:uid="{3F9634A7-F96F-4FE0-9E43-FBF194874130}"/>
    <cellStyle name="Normal 5 2 2 2 2 6 6" xfId="10247" xr:uid="{A027B4CA-5EF4-4C86-8EE6-BE8C28B87F77}"/>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25464" xr:uid="{31436384-B540-42BB-A28E-65CC4E705136}"/>
    <cellStyle name="Normal 5 2 2 2 2 7 2 2 3" xfId="33910" xr:uid="{DA1515C2-3657-4B9C-A305-96FBAC2673CE}"/>
    <cellStyle name="Normal 5 2 2 2 2 7 2 2 4" xfId="17023" xr:uid="{32C42804-F000-4E28-A262-C23A2C91AC6F}"/>
    <cellStyle name="Normal 5 2 2 2 2 7 2 3" xfId="21246" xr:uid="{3FD7FD80-E121-48A6-A250-C256F19957FD}"/>
    <cellStyle name="Normal 5 2 2 2 2 7 2 4" xfId="29693" xr:uid="{3252C567-5818-46E8-B0F5-6A572739DE42}"/>
    <cellStyle name="Normal 5 2 2 2 2 7 2 5" xfId="12805" xr:uid="{D75E058A-58A7-43DC-BD10-A0C41D04EFE0}"/>
    <cellStyle name="Normal 5 2 2 2 2 7 3" xfId="6436" xr:uid="{00000000-0005-0000-0000-000044170000}"/>
    <cellStyle name="Normal 5 2 2 2 2 7 3 2" xfId="23319" xr:uid="{B4AD6C59-B117-4F4A-8D36-E437BD8D3C51}"/>
    <cellStyle name="Normal 5 2 2 2 2 7 3 3" xfId="31765" xr:uid="{07FE6C2C-ACAB-4AC0-8F2D-2DBE3FD03490}"/>
    <cellStyle name="Normal 5 2 2 2 2 7 3 4" xfId="14878" xr:uid="{F2341287-41CB-495E-B6A6-FD2C224D61FF}"/>
    <cellStyle name="Normal 5 2 2 2 2 7 4" xfId="19101" xr:uid="{CF8ACCAE-A057-4039-838B-DD566D3D9D7F}"/>
    <cellStyle name="Normal 5 2 2 2 2 7 5" xfId="27546" xr:uid="{90AA1718-7353-4AA7-9860-6FEE5EBA9081}"/>
    <cellStyle name="Normal 5 2 2 2 2 7 6" xfId="10660" xr:uid="{F78DD1BB-CDC8-4EF2-9F72-DA8DB0B414B0}"/>
    <cellStyle name="Normal 5 2 2 2 2 8" xfId="2565" xr:uid="{00000000-0005-0000-0000-000045170000}"/>
    <cellStyle name="Normal 5 2 2 2 2 8 2" xfId="6849" xr:uid="{00000000-0005-0000-0000-000046170000}"/>
    <cellStyle name="Normal 5 2 2 2 2 8 2 2" xfId="23732" xr:uid="{881DF754-1874-492A-9C43-3C33D1EC8E8C}"/>
    <cellStyle name="Normal 5 2 2 2 2 8 2 3" xfId="32178" xr:uid="{7A6B0FC7-4260-4E33-92D9-49EFC973F27A}"/>
    <cellStyle name="Normal 5 2 2 2 2 8 2 4" xfId="15291" xr:uid="{33DD238A-09A3-4CB1-BFD8-F08B1C084A1D}"/>
    <cellStyle name="Normal 5 2 2 2 2 8 3" xfId="19514" xr:uid="{88327888-5B0D-44F3-A238-B59055B094FF}"/>
    <cellStyle name="Normal 5 2 2 2 2 8 4" xfId="27959" xr:uid="{5118E97A-7150-4C2D-92A3-13CE84E407CD}"/>
    <cellStyle name="Normal 5 2 2 2 2 8 5" xfId="11073" xr:uid="{5BAC53CB-72B5-453D-B135-1634F3731F00}"/>
    <cellStyle name="Normal 5 2 2 2 2 9" xfId="4784" xr:uid="{00000000-0005-0000-0000-000047170000}"/>
    <cellStyle name="Normal 5 2 2 2 2 9 2" xfId="21667" xr:uid="{692524D4-E396-41ED-988D-CDC49CCF8BFE}"/>
    <cellStyle name="Normal 5 2 2 2 2 9 3" xfId="30113" xr:uid="{76EFC3E0-1333-4004-9A98-053F45977D03}"/>
    <cellStyle name="Normal 5 2 2 2 2 9 4" xfId="13226" xr:uid="{FE7D2A81-0926-4EC3-97C0-5455464CF722}"/>
    <cellStyle name="Normal 5 2 2 2 3" xfId="414" xr:uid="{00000000-0005-0000-0000-000048170000}"/>
    <cellStyle name="Normal 5 2 2 2 3 10" xfId="25897" xr:uid="{D28A721B-8059-4B1C-ADFF-1B8BE67B5121}"/>
    <cellStyle name="Normal 5 2 2 2 3 11" xfId="9012" xr:uid="{A6F83853-9B09-49F2-BE65-4A5AD768E3DE}"/>
    <cellStyle name="Normal 5 2 2 2 3 2" xfId="415" xr:uid="{00000000-0005-0000-0000-000049170000}"/>
    <cellStyle name="Normal 5 2 2 2 3 2 10" xfId="9013" xr:uid="{DCACBDD4-0BFC-4320-9FFE-8872F60AB8FF}"/>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24230" xr:uid="{AC1E0EE1-8BBB-4E54-AC53-74AC9BC0D5A3}"/>
    <cellStyle name="Normal 5 2 2 2 3 2 2 2 2 3" xfId="32676" xr:uid="{3A7C3085-6A98-4637-A726-8C87AECC2E3E}"/>
    <cellStyle name="Normal 5 2 2 2 3 2 2 2 2 4" xfId="15789" xr:uid="{043928FD-9196-4FC1-BB09-15C6B13A7FFF}"/>
    <cellStyle name="Normal 5 2 2 2 3 2 2 2 3" xfId="20012" xr:uid="{E2FF0565-5647-4AF3-BBEE-AE57C50CA28D}"/>
    <cellStyle name="Normal 5 2 2 2 3 2 2 2 4" xfId="28459" xr:uid="{7AEF37AE-C2BA-40DD-B72A-9BBFB1A1E8B0}"/>
    <cellStyle name="Normal 5 2 2 2 3 2 2 2 5" xfId="11571" xr:uid="{DA5ADB4B-0927-435A-9182-B024E6BDA59E}"/>
    <cellStyle name="Normal 5 2 2 2 3 2 2 3" xfId="5202" xr:uid="{00000000-0005-0000-0000-00004D170000}"/>
    <cellStyle name="Normal 5 2 2 2 3 2 2 3 2" xfId="22085" xr:uid="{25FD386C-5D59-4133-A203-620AEF320A12}"/>
    <cellStyle name="Normal 5 2 2 2 3 2 2 3 3" xfId="30531" xr:uid="{B000A983-46AC-4EC2-87FB-C1D1E9563EF1}"/>
    <cellStyle name="Normal 5 2 2 2 3 2 2 3 4" xfId="13644" xr:uid="{4A4BDA89-608D-4783-A8F1-91977485641A}"/>
    <cellStyle name="Normal 5 2 2 2 3 2 2 4" xfId="17867" xr:uid="{42B4E18D-D3A8-4C49-9E2A-0F674C5B54B5}"/>
    <cellStyle name="Normal 5 2 2 2 3 2 2 5" xfId="26312" xr:uid="{F23EF8D8-DCF1-4C44-8830-8092019C6D5F}"/>
    <cellStyle name="Normal 5 2 2 2 3 2 2 6" xfId="9426" xr:uid="{68B3D140-FDB8-4BC8-BA11-24B2594CA078}"/>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24643" xr:uid="{DB24D824-8C55-4562-A1B7-BE6D10C9B633}"/>
    <cellStyle name="Normal 5 2 2 2 3 2 3 2 2 3" xfId="33089" xr:uid="{6B892DBD-CCB1-4A46-815C-FFC395D38C65}"/>
    <cellStyle name="Normal 5 2 2 2 3 2 3 2 2 4" xfId="16202" xr:uid="{AFE860A0-F190-4A16-93FA-B7AB327D7A9A}"/>
    <cellStyle name="Normal 5 2 2 2 3 2 3 2 3" xfId="20425" xr:uid="{7C11A999-FF36-4810-81F6-4B321B470F12}"/>
    <cellStyle name="Normal 5 2 2 2 3 2 3 2 4" xfId="28872" xr:uid="{6CDA9263-EC97-4693-8EA1-B09F832901A5}"/>
    <cellStyle name="Normal 5 2 2 2 3 2 3 2 5" xfId="11984" xr:uid="{914BB13D-0490-438F-907B-12D4B94E4B10}"/>
    <cellStyle name="Normal 5 2 2 2 3 2 3 3" xfId="5615" xr:uid="{00000000-0005-0000-0000-000051170000}"/>
    <cellStyle name="Normal 5 2 2 2 3 2 3 3 2" xfId="22498" xr:uid="{7E480DB1-8B63-481B-B6DD-495835E9D4C6}"/>
    <cellStyle name="Normal 5 2 2 2 3 2 3 3 3" xfId="30944" xr:uid="{C617928E-DD1C-41C3-99F3-C8FB54A78AC9}"/>
    <cellStyle name="Normal 5 2 2 2 3 2 3 3 4" xfId="14057" xr:uid="{755CBBD9-C334-4D84-90B6-10BE077EF6B4}"/>
    <cellStyle name="Normal 5 2 2 2 3 2 3 4" xfId="18280" xr:uid="{A9E62D05-FC8C-40DF-9CF6-842C4880F8B3}"/>
    <cellStyle name="Normal 5 2 2 2 3 2 3 5" xfId="26725" xr:uid="{86616503-368A-4A51-A1D3-1C3B269AF300}"/>
    <cellStyle name="Normal 5 2 2 2 3 2 3 6" xfId="9839" xr:uid="{AEFD62B2-9A18-40D1-B58D-E82265A374E8}"/>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25056" xr:uid="{D8361A10-9E54-4A0B-AD23-7B4540647649}"/>
    <cellStyle name="Normal 5 2 2 2 3 2 4 2 2 3" xfId="33502" xr:uid="{9E4092A6-BAC3-4A81-920A-BA499E2BF768}"/>
    <cellStyle name="Normal 5 2 2 2 3 2 4 2 2 4" xfId="16615" xr:uid="{D89FD0B9-96CB-4F63-A7DB-B6D522ABE1D6}"/>
    <cellStyle name="Normal 5 2 2 2 3 2 4 2 3" xfId="20838" xr:uid="{5C96B8C3-EF00-42BA-9885-AE6FE71B53AD}"/>
    <cellStyle name="Normal 5 2 2 2 3 2 4 2 4" xfId="29285" xr:uid="{F71A4D50-ED3D-40C3-AF32-669BD7778CB2}"/>
    <cellStyle name="Normal 5 2 2 2 3 2 4 2 5" xfId="12397" xr:uid="{246CA9AE-80CA-4277-A6D8-F40E7A92EE48}"/>
    <cellStyle name="Normal 5 2 2 2 3 2 4 3" xfId="6028" xr:uid="{00000000-0005-0000-0000-000055170000}"/>
    <cellStyle name="Normal 5 2 2 2 3 2 4 3 2" xfId="22911" xr:uid="{5F1B51DB-04B8-4D53-A28C-556A5B5D2FB1}"/>
    <cellStyle name="Normal 5 2 2 2 3 2 4 3 3" xfId="31357" xr:uid="{BBC9633B-1D8A-49E0-B02A-71332F386957}"/>
    <cellStyle name="Normal 5 2 2 2 3 2 4 3 4" xfId="14470" xr:uid="{D007B9C7-72BC-4E5E-A1C1-C0812DC452EB}"/>
    <cellStyle name="Normal 5 2 2 2 3 2 4 4" xfId="18693" xr:uid="{17344949-ED83-4552-864D-BCDD6DF4C855}"/>
    <cellStyle name="Normal 5 2 2 2 3 2 4 5" xfId="27138" xr:uid="{A96838B4-2153-453F-8F33-821D71084E50}"/>
    <cellStyle name="Normal 5 2 2 2 3 2 4 6" xfId="10252" xr:uid="{F26E99AD-3D41-4812-AC2E-12FA46FDDAB8}"/>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25469" xr:uid="{55B17955-EE9F-4193-B38E-3F4773B51C8F}"/>
    <cellStyle name="Normal 5 2 2 2 3 2 5 2 2 3" xfId="33915" xr:uid="{D4AD3A51-4050-4524-A263-7B514FAFC1FD}"/>
    <cellStyle name="Normal 5 2 2 2 3 2 5 2 2 4" xfId="17028" xr:uid="{9E52DF1A-D13B-4491-968D-FB41DD04DB20}"/>
    <cellStyle name="Normal 5 2 2 2 3 2 5 2 3" xfId="21251" xr:uid="{8AF48239-D9DF-46F3-BC25-45ECF0A7AF2F}"/>
    <cellStyle name="Normal 5 2 2 2 3 2 5 2 4" xfId="29698" xr:uid="{CDDC2A4B-CDD9-4500-AD2A-7B8E2C72E6B6}"/>
    <cellStyle name="Normal 5 2 2 2 3 2 5 2 5" xfId="12810" xr:uid="{868417B2-EEE4-4EA1-8D17-523AC3C78C10}"/>
    <cellStyle name="Normal 5 2 2 2 3 2 5 3" xfId="6441" xr:uid="{00000000-0005-0000-0000-000059170000}"/>
    <cellStyle name="Normal 5 2 2 2 3 2 5 3 2" xfId="23324" xr:uid="{BD1898C2-81F7-477F-AFAB-C8E062613CD2}"/>
    <cellStyle name="Normal 5 2 2 2 3 2 5 3 3" xfId="31770" xr:uid="{ECE60B47-5190-4569-9091-A71353D754E0}"/>
    <cellStyle name="Normal 5 2 2 2 3 2 5 3 4" xfId="14883" xr:uid="{13422A88-8397-4080-9813-B8A9C52AE364}"/>
    <cellStyle name="Normal 5 2 2 2 3 2 5 4" xfId="19106" xr:uid="{DE3BA401-9050-4445-992A-DFF198A97F36}"/>
    <cellStyle name="Normal 5 2 2 2 3 2 5 5" xfId="27551" xr:uid="{A3D95825-C4E2-4B43-BB47-CB465FC5B764}"/>
    <cellStyle name="Normal 5 2 2 2 3 2 5 6" xfId="10665" xr:uid="{4AD91B37-3766-4207-9E33-0EDEB9988042}"/>
    <cellStyle name="Normal 5 2 2 2 3 2 6" xfId="2570" xr:uid="{00000000-0005-0000-0000-00005A170000}"/>
    <cellStyle name="Normal 5 2 2 2 3 2 6 2" xfId="6854" xr:uid="{00000000-0005-0000-0000-00005B170000}"/>
    <cellStyle name="Normal 5 2 2 2 3 2 6 2 2" xfId="23737" xr:uid="{3BF3A0DE-7826-4551-8F90-BE334FF278E2}"/>
    <cellStyle name="Normal 5 2 2 2 3 2 6 2 3" xfId="32183" xr:uid="{16598434-2B70-4985-90D7-DC3263D839A5}"/>
    <cellStyle name="Normal 5 2 2 2 3 2 6 2 4" xfId="15296" xr:uid="{5B491860-7F7E-49EA-A2E3-F9DBA959B017}"/>
    <cellStyle name="Normal 5 2 2 2 3 2 6 3" xfId="19519" xr:uid="{CFA7C856-3AAA-4DFD-B8E7-0D792594E253}"/>
    <cellStyle name="Normal 5 2 2 2 3 2 6 4" xfId="27964" xr:uid="{A70EE850-061B-4F70-AE91-935A53FD60B4}"/>
    <cellStyle name="Normal 5 2 2 2 3 2 6 5" xfId="11078" xr:uid="{B215E987-A580-468A-A3C8-1E577E57E895}"/>
    <cellStyle name="Normal 5 2 2 2 3 2 7" xfId="4789" xr:uid="{00000000-0005-0000-0000-00005C170000}"/>
    <cellStyle name="Normal 5 2 2 2 3 2 7 2" xfId="21672" xr:uid="{6EA96C86-4178-44F9-A3CB-6BF3B2361C04}"/>
    <cellStyle name="Normal 5 2 2 2 3 2 7 3" xfId="30118" xr:uid="{C92B1050-ADD6-4ACD-A8E4-0B19F6570A99}"/>
    <cellStyle name="Normal 5 2 2 2 3 2 7 4" xfId="13231" xr:uid="{AA9F7136-7DC6-44B3-BE2A-4962F4CB01D2}"/>
    <cellStyle name="Normal 5 2 2 2 3 2 8" xfId="17454" xr:uid="{9A2B9EAE-E7D9-4D65-B50B-C43E6DF080E8}"/>
    <cellStyle name="Normal 5 2 2 2 3 2 9" xfId="25898" xr:uid="{07D635EC-180E-40C5-8C6B-AE070BC1298C}"/>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24229" xr:uid="{87875DA7-2023-4B3A-B43D-6B3D6E5DA4A2}"/>
    <cellStyle name="Normal 5 2 2 2 3 3 2 2 3" xfId="32675" xr:uid="{1A9AD692-241F-4EF0-A1FD-2F152EE5718D}"/>
    <cellStyle name="Normal 5 2 2 2 3 3 2 2 4" xfId="15788" xr:uid="{F49CBD9D-CC01-4EDB-87D6-9E8560D88175}"/>
    <cellStyle name="Normal 5 2 2 2 3 3 2 3" xfId="20011" xr:uid="{3B6C0BCA-9CBA-4E26-8879-5741A4C7A964}"/>
    <cellStyle name="Normal 5 2 2 2 3 3 2 4" xfId="28458" xr:uid="{C3237B18-5D7B-428E-9B3D-E7BA8C91FA2E}"/>
    <cellStyle name="Normal 5 2 2 2 3 3 2 5" xfId="11570" xr:uid="{96BE8E90-194D-4D22-88AD-5F7E0AEA3CBA}"/>
    <cellStyle name="Normal 5 2 2 2 3 3 3" xfId="5201" xr:uid="{00000000-0005-0000-0000-000060170000}"/>
    <cellStyle name="Normal 5 2 2 2 3 3 3 2" xfId="22084" xr:uid="{0A957C39-2DF0-4E9C-A924-CFE797934AB8}"/>
    <cellStyle name="Normal 5 2 2 2 3 3 3 3" xfId="30530" xr:uid="{4F3BE928-B0EE-4D64-8218-B8B52AAA1AD2}"/>
    <cellStyle name="Normal 5 2 2 2 3 3 3 4" xfId="13643" xr:uid="{0BF4DB8E-E072-4EE0-910E-94710D7D58DE}"/>
    <cellStyle name="Normal 5 2 2 2 3 3 4" xfId="17866" xr:uid="{587061FF-1112-4DA0-A1F7-6F4FC4B86F69}"/>
    <cellStyle name="Normal 5 2 2 2 3 3 5" xfId="26311" xr:uid="{B0264B45-3E13-426B-869D-03C47924BDC5}"/>
    <cellStyle name="Normal 5 2 2 2 3 3 6" xfId="9425" xr:uid="{17AC6117-3E0A-45C2-B5A0-B93FFF92EAB4}"/>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24642" xr:uid="{75E83CCE-F80E-4B5A-B5B5-D9B53ED219C9}"/>
    <cellStyle name="Normal 5 2 2 2 3 4 2 2 3" xfId="33088" xr:uid="{B02826FB-976A-42BE-A132-1ACDB2678896}"/>
    <cellStyle name="Normal 5 2 2 2 3 4 2 2 4" xfId="16201" xr:uid="{EE5E302D-231D-4906-BE4C-5370772AA964}"/>
    <cellStyle name="Normal 5 2 2 2 3 4 2 3" xfId="20424" xr:uid="{025EC7F3-CCC5-42E6-A52A-72B393E66614}"/>
    <cellStyle name="Normal 5 2 2 2 3 4 2 4" xfId="28871" xr:uid="{28905FC0-77A1-4F19-9523-220D489F7DF9}"/>
    <cellStyle name="Normal 5 2 2 2 3 4 2 5" xfId="11983" xr:uid="{BC300085-5702-426C-97A5-1635132113A3}"/>
    <cellStyle name="Normal 5 2 2 2 3 4 3" xfId="5614" xr:uid="{00000000-0005-0000-0000-000064170000}"/>
    <cellStyle name="Normal 5 2 2 2 3 4 3 2" xfId="22497" xr:uid="{561B04EF-C4B7-42A7-A53B-BB6C91FFD282}"/>
    <cellStyle name="Normal 5 2 2 2 3 4 3 3" xfId="30943" xr:uid="{C6B8C683-78F6-42FC-AECB-5B804D464FBF}"/>
    <cellStyle name="Normal 5 2 2 2 3 4 3 4" xfId="14056" xr:uid="{EDFAD403-94CD-44DB-9A47-1727889BDC79}"/>
    <cellStyle name="Normal 5 2 2 2 3 4 4" xfId="18279" xr:uid="{C51D3013-018B-4619-9B7A-16EFD656212D}"/>
    <cellStyle name="Normal 5 2 2 2 3 4 5" xfId="26724" xr:uid="{D4E96AFE-7FE0-40E7-8E26-0906E1BD53FD}"/>
    <cellStyle name="Normal 5 2 2 2 3 4 6" xfId="9838" xr:uid="{B35CDAC0-B472-4F2F-873C-FFB7D56BD395}"/>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25055" xr:uid="{61651EF7-9476-4F47-8D05-A0A4BB667D40}"/>
    <cellStyle name="Normal 5 2 2 2 3 5 2 2 3" xfId="33501" xr:uid="{D57D46CA-D1BD-4BF5-B17E-1B045B28369D}"/>
    <cellStyle name="Normal 5 2 2 2 3 5 2 2 4" xfId="16614" xr:uid="{3F2BCB72-C1C3-4BA2-A94D-39294EA2BD9C}"/>
    <cellStyle name="Normal 5 2 2 2 3 5 2 3" xfId="20837" xr:uid="{9188CB0A-BF8A-4B5B-94F5-F3C4FC399B4F}"/>
    <cellStyle name="Normal 5 2 2 2 3 5 2 4" xfId="29284" xr:uid="{C1A0326F-E0B5-46EB-A45E-BDB10DA55DFF}"/>
    <cellStyle name="Normal 5 2 2 2 3 5 2 5" xfId="12396" xr:uid="{4C1A15F0-5594-4518-8EBE-B446F230427D}"/>
    <cellStyle name="Normal 5 2 2 2 3 5 3" xfId="6027" xr:uid="{00000000-0005-0000-0000-000068170000}"/>
    <cellStyle name="Normal 5 2 2 2 3 5 3 2" xfId="22910" xr:uid="{3C28D2B9-E9D3-45C2-95F4-B52892485AA4}"/>
    <cellStyle name="Normal 5 2 2 2 3 5 3 3" xfId="31356" xr:uid="{5629ADFB-F099-42A5-BF14-8C869F6D7134}"/>
    <cellStyle name="Normal 5 2 2 2 3 5 3 4" xfId="14469" xr:uid="{62FABEE9-B905-4A82-A4E1-F2FCF5400EA7}"/>
    <cellStyle name="Normal 5 2 2 2 3 5 4" xfId="18692" xr:uid="{497AF6CA-D2C4-4E53-BA51-15D98A5C7292}"/>
    <cellStyle name="Normal 5 2 2 2 3 5 5" xfId="27137" xr:uid="{A47DB39A-6936-41FC-96FE-DD5DC02F6C38}"/>
    <cellStyle name="Normal 5 2 2 2 3 5 6" xfId="10251" xr:uid="{6D44F073-CAD3-42A3-9ED2-69FC35290E52}"/>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25468" xr:uid="{8BFB9376-1FBA-4190-B7CF-51959F1A8CFF}"/>
    <cellStyle name="Normal 5 2 2 2 3 6 2 2 3" xfId="33914" xr:uid="{2B17F3C3-2E11-405D-8825-BCF2137EDACB}"/>
    <cellStyle name="Normal 5 2 2 2 3 6 2 2 4" xfId="17027" xr:uid="{85168F5F-2222-4B20-84A3-4B99ED62EFC6}"/>
    <cellStyle name="Normal 5 2 2 2 3 6 2 3" xfId="21250" xr:uid="{CBE517C6-5A5B-4B4E-925F-A3A20ADD0F4A}"/>
    <cellStyle name="Normal 5 2 2 2 3 6 2 4" xfId="29697" xr:uid="{36E87AFC-93F4-4734-9768-ED2CEEA68C13}"/>
    <cellStyle name="Normal 5 2 2 2 3 6 2 5" xfId="12809" xr:uid="{D5F76B7D-0973-47B7-93BC-5D37E5C471B1}"/>
    <cellStyle name="Normal 5 2 2 2 3 6 3" xfId="6440" xr:uid="{00000000-0005-0000-0000-00006C170000}"/>
    <cellStyle name="Normal 5 2 2 2 3 6 3 2" xfId="23323" xr:uid="{C655161C-419C-47BF-AFD6-910E2CE9C636}"/>
    <cellStyle name="Normal 5 2 2 2 3 6 3 3" xfId="31769" xr:uid="{AD2E78B3-486B-476F-83F7-66E685C4DE51}"/>
    <cellStyle name="Normal 5 2 2 2 3 6 3 4" xfId="14882" xr:uid="{00D0C406-4459-4CE0-B904-1BCCB35334C7}"/>
    <cellStyle name="Normal 5 2 2 2 3 6 4" xfId="19105" xr:uid="{B66269FD-C914-4885-9A46-4ACF2928ED07}"/>
    <cellStyle name="Normal 5 2 2 2 3 6 5" xfId="27550" xr:uid="{0FB46C99-E5D1-480D-808F-63A12DB9E2F6}"/>
    <cellStyle name="Normal 5 2 2 2 3 6 6" xfId="10664" xr:uid="{A77475AC-7801-468B-B34C-1623602B73F5}"/>
    <cellStyle name="Normal 5 2 2 2 3 7" xfId="2569" xr:uid="{00000000-0005-0000-0000-00006D170000}"/>
    <cellStyle name="Normal 5 2 2 2 3 7 2" xfId="6853" xr:uid="{00000000-0005-0000-0000-00006E170000}"/>
    <cellStyle name="Normal 5 2 2 2 3 7 2 2" xfId="23736" xr:uid="{EE155397-D921-4764-B6E1-514715E6621D}"/>
    <cellStyle name="Normal 5 2 2 2 3 7 2 3" xfId="32182" xr:uid="{98535582-AD80-4D0F-BF2E-301293DD415B}"/>
    <cellStyle name="Normal 5 2 2 2 3 7 2 4" xfId="15295" xr:uid="{0A6153CA-9D33-4690-B340-F49811CC4919}"/>
    <cellStyle name="Normal 5 2 2 2 3 7 3" xfId="19518" xr:uid="{BC115ECB-0DC6-40FA-85F9-C5C0C645D5E4}"/>
    <cellStyle name="Normal 5 2 2 2 3 7 4" xfId="27963" xr:uid="{40E3758D-06E1-4940-AE11-C76787D9FDD2}"/>
    <cellStyle name="Normal 5 2 2 2 3 7 5" xfId="11077" xr:uid="{6B5E4892-1C73-4F64-AE01-DD505F952241}"/>
    <cellStyle name="Normal 5 2 2 2 3 8" xfId="4788" xr:uid="{00000000-0005-0000-0000-00006F170000}"/>
    <cellStyle name="Normal 5 2 2 2 3 8 2" xfId="21671" xr:uid="{24B8B9C0-C4FA-45F3-B010-139C5D88FD67}"/>
    <cellStyle name="Normal 5 2 2 2 3 8 3" xfId="30117" xr:uid="{2479908E-4ADF-40CF-87F5-CFC8B2190FCE}"/>
    <cellStyle name="Normal 5 2 2 2 3 8 4" xfId="13230" xr:uid="{A8FEF7C1-61F2-4719-B890-F7C876E47FE0}"/>
    <cellStyle name="Normal 5 2 2 2 3 9" xfId="17453" xr:uid="{642A5E77-907C-4D3D-BA65-1F0F31A7ED1B}"/>
    <cellStyle name="Normal 5 2 2 2 4" xfId="416" xr:uid="{00000000-0005-0000-0000-000070170000}"/>
    <cellStyle name="Normal 5 2 2 2 4 10" xfId="9014" xr:uid="{A6F6BF91-B3C9-4E44-AC9E-355B90C8BF93}"/>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24231" xr:uid="{88D6143E-1A4B-499D-A434-C14C17092C5F}"/>
    <cellStyle name="Normal 5 2 2 2 4 2 2 2 3" xfId="32677" xr:uid="{99BD4657-5E7E-43A2-86FA-B3F64381BE54}"/>
    <cellStyle name="Normal 5 2 2 2 4 2 2 2 4" xfId="15790" xr:uid="{46CF9E1E-1778-42E2-8F0B-EA580F899EF7}"/>
    <cellStyle name="Normal 5 2 2 2 4 2 2 3" xfId="20013" xr:uid="{52EA5A79-261A-4438-9339-29696B6C800E}"/>
    <cellStyle name="Normal 5 2 2 2 4 2 2 4" xfId="28460" xr:uid="{7AB1BAE1-8A50-4BE3-B38F-6D9296F27C0E}"/>
    <cellStyle name="Normal 5 2 2 2 4 2 2 5" xfId="11572" xr:uid="{19156F8D-EB52-4FF7-A4E0-598ED5AEC655}"/>
    <cellStyle name="Normal 5 2 2 2 4 2 3" xfId="5203" xr:uid="{00000000-0005-0000-0000-000074170000}"/>
    <cellStyle name="Normal 5 2 2 2 4 2 3 2" xfId="22086" xr:uid="{ADF97E77-BA23-4331-8761-FCAE615160B6}"/>
    <cellStyle name="Normal 5 2 2 2 4 2 3 3" xfId="30532" xr:uid="{161B4E6B-3652-439E-B9F7-B9E433655562}"/>
    <cellStyle name="Normal 5 2 2 2 4 2 3 4" xfId="13645" xr:uid="{70205468-842F-417B-9D5C-1A72F5DADA77}"/>
    <cellStyle name="Normal 5 2 2 2 4 2 4" xfId="17868" xr:uid="{0345B4B6-024F-4C79-B690-75CB61A4F3FE}"/>
    <cellStyle name="Normal 5 2 2 2 4 2 5" xfId="26313" xr:uid="{E0132E2C-9C6B-4618-A9BF-56DD8A280275}"/>
    <cellStyle name="Normal 5 2 2 2 4 2 6" xfId="9427" xr:uid="{6BBD8FC1-46AC-4518-906A-79590AAA33CA}"/>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24644" xr:uid="{F34104D2-90DE-4FFC-B9FD-03EAAB997D26}"/>
    <cellStyle name="Normal 5 2 2 2 4 3 2 2 3" xfId="33090" xr:uid="{A277ED2F-F55C-4BE6-86F8-3411891BDD6C}"/>
    <cellStyle name="Normal 5 2 2 2 4 3 2 2 4" xfId="16203" xr:uid="{F87F858C-A8EF-4A40-898E-DD8D0090E86E}"/>
    <cellStyle name="Normal 5 2 2 2 4 3 2 3" xfId="20426" xr:uid="{39D26374-D195-4449-B585-D210BD0E10D3}"/>
    <cellStyle name="Normal 5 2 2 2 4 3 2 4" xfId="28873" xr:uid="{8DA8729C-773D-4666-BFA9-CA22EE5A2D56}"/>
    <cellStyle name="Normal 5 2 2 2 4 3 2 5" xfId="11985" xr:uid="{F00C075B-E3E1-48F8-B9CB-400875C5F5D3}"/>
    <cellStyle name="Normal 5 2 2 2 4 3 3" xfId="5616" xr:uid="{00000000-0005-0000-0000-000078170000}"/>
    <cellStyle name="Normal 5 2 2 2 4 3 3 2" xfId="22499" xr:uid="{E97E2260-3EA4-460F-B15A-C6CBF0442326}"/>
    <cellStyle name="Normal 5 2 2 2 4 3 3 3" xfId="30945" xr:uid="{04E73C0A-2D8D-48D8-AD46-473D0CB22A7D}"/>
    <cellStyle name="Normal 5 2 2 2 4 3 3 4" xfId="14058" xr:uid="{868B1E8D-001C-45CB-9566-8C9D13ED4089}"/>
    <cellStyle name="Normal 5 2 2 2 4 3 4" xfId="18281" xr:uid="{5EF2FEBE-E74A-49D3-BFB7-9B55A48368A7}"/>
    <cellStyle name="Normal 5 2 2 2 4 3 5" xfId="26726" xr:uid="{FBDF6238-B7DE-402A-89DC-831ADF500B85}"/>
    <cellStyle name="Normal 5 2 2 2 4 3 6" xfId="9840" xr:uid="{88F6030F-7A2B-4F91-922D-BD5911D6BDEC}"/>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25057" xr:uid="{89B726C2-9B1A-42EB-88BE-4F8040B6E8B5}"/>
    <cellStyle name="Normal 5 2 2 2 4 4 2 2 3" xfId="33503" xr:uid="{19CD9BCC-02BA-45DF-9943-8DB028D8F747}"/>
    <cellStyle name="Normal 5 2 2 2 4 4 2 2 4" xfId="16616" xr:uid="{1F3DCDFF-D826-4CDA-9A2E-DC350DE4C36F}"/>
    <cellStyle name="Normal 5 2 2 2 4 4 2 3" xfId="20839" xr:uid="{0900BCC6-E5CB-44A5-B368-24DB850FB49F}"/>
    <cellStyle name="Normal 5 2 2 2 4 4 2 4" xfId="29286" xr:uid="{91D42B8E-A79B-4C89-8885-46E90BDE02E7}"/>
    <cellStyle name="Normal 5 2 2 2 4 4 2 5" xfId="12398" xr:uid="{6CC0087C-77C4-4F8E-8497-A96C3E7DB4A2}"/>
    <cellStyle name="Normal 5 2 2 2 4 4 3" xfId="6029" xr:uid="{00000000-0005-0000-0000-00007C170000}"/>
    <cellStyle name="Normal 5 2 2 2 4 4 3 2" xfId="22912" xr:uid="{8236B715-AEAC-4821-AA43-0D6EAB92DEF8}"/>
    <cellStyle name="Normal 5 2 2 2 4 4 3 3" xfId="31358" xr:uid="{A5CB7FE7-F78A-41C6-BD36-6F3FCCE1BD52}"/>
    <cellStyle name="Normal 5 2 2 2 4 4 3 4" xfId="14471" xr:uid="{C99A11A1-76A4-43C9-86E0-7B62C1EBBBD1}"/>
    <cellStyle name="Normal 5 2 2 2 4 4 4" xfId="18694" xr:uid="{F10A2D5B-047D-4135-9816-BB399EBD3662}"/>
    <cellStyle name="Normal 5 2 2 2 4 4 5" xfId="27139" xr:uid="{1A17FA2D-C12E-4F04-8500-952869ECC5BA}"/>
    <cellStyle name="Normal 5 2 2 2 4 4 6" xfId="10253" xr:uid="{7B3BB689-7415-4DC0-9132-48072A10E8A7}"/>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25470" xr:uid="{865779F0-90C5-4078-900E-072A65BA7E92}"/>
    <cellStyle name="Normal 5 2 2 2 4 5 2 2 3" xfId="33916" xr:uid="{CCD378F8-8B0D-4EEA-8B94-542A71BB40C9}"/>
    <cellStyle name="Normal 5 2 2 2 4 5 2 2 4" xfId="17029" xr:uid="{F50A2A10-95B5-47D5-9935-6F0CAF3BAA84}"/>
    <cellStyle name="Normal 5 2 2 2 4 5 2 3" xfId="21252" xr:uid="{7D8BAE71-6D8C-46D6-BF5A-D935D51EDD38}"/>
    <cellStyle name="Normal 5 2 2 2 4 5 2 4" xfId="29699" xr:uid="{E4AD505C-CC51-4341-8707-C5C68DC552CA}"/>
    <cellStyle name="Normal 5 2 2 2 4 5 2 5" xfId="12811" xr:uid="{D3F856E0-8EB7-4DBA-A18E-5848536430F1}"/>
    <cellStyle name="Normal 5 2 2 2 4 5 3" xfId="6442" xr:uid="{00000000-0005-0000-0000-000080170000}"/>
    <cellStyle name="Normal 5 2 2 2 4 5 3 2" xfId="23325" xr:uid="{E54C37E0-D76A-4911-8F6E-2ED2991094CA}"/>
    <cellStyle name="Normal 5 2 2 2 4 5 3 3" xfId="31771" xr:uid="{53C9D5F6-A98C-4287-89CA-54B4CCF285CE}"/>
    <cellStyle name="Normal 5 2 2 2 4 5 3 4" xfId="14884" xr:uid="{AD1D8B5D-1211-4740-A567-963ACD5E4697}"/>
    <cellStyle name="Normal 5 2 2 2 4 5 4" xfId="19107" xr:uid="{268BCF8A-AC5E-4A0A-8958-89DDC4DACA06}"/>
    <cellStyle name="Normal 5 2 2 2 4 5 5" xfId="27552" xr:uid="{3BA52295-F80B-46B6-A40C-73AF37053F4E}"/>
    <cellStyle name="Normal 5 2 2 2 4 5 6" xfId="10666" xr:uid="{87C3A966-8925-4068-9682-9432982D3B9E}"/>
    <cellStyle name="Normal 5 2 2 2 4 6" xfId="2571" xr:uid="{00000000-0005-0000-0000-000081170000}"/>
    <cellStyle name="Normal 5 2 2 2 4 6 2" xfId="6855" xr:uid="{00000000-0005-0000-0000-000082170000}"/>
    <cellStyle name="Normal 5 2 2 2 4 6 2 2" xfId="23738" xr:uid="{A70B2AE9-ECEE-4A5C-8C86-3CF5AE92C46E}"/>
    <cellStyle name="Normal 5 2 2 2 4 6 2 3" xfId="32184" xr:uid="{A62EF384-4C8F-4D2F-8DAD-3402ED62E1AC}"/>
    <cellStyle name="Normal 5 2 2 2 4 6 2 4" xfId="15297" xr:uid="{30E82F1D-8B48-48FE-B5D8-1D3ED7D97524}"/>
    <cellStyle name="Normal 5 2 2 2 4 6 3" xfId="19520" xr:uid="{F3DB5CDE-7B41-446B-995F-35484C717BC1}"/>
    <cellStyle name="Normal 5 2 2 2 4 6 4" xfId="27965" xr:uid="{DD3E2984-B360-4935-A454-2DB3AEF854AB}"/>
    <cellStyle name="Normal 5 2 2 2 4 6 5" xfId="11079" xr:uid="{3C690D0A-10AE-4498-9F44-AC433678D2E3}"/>
    <cellStyle name="Normal 5 2 2 2 4 7" xfId="4790" xr:uid="{00000000-0005-0000-0000-000083170000}"/>
    <cellStyle name="Normal 5 2 2 2 4 7 2" xfId="21673" xr:uid="{8D06C6FD-F94A-45A1-8741-90A9DD2D0482}"/>
    <cellStyle name="Normal 5 2 2 2 4 7 3" xfId="30119" xr:uid="{5D9886A5-6EA9-453F-A631-E57260E1D1B2}"/>
    <cellStyle name="Normal 5 2 2 2 4 7 4" xfId="13232" xr:uid="{5BA5440F-8850-4EDF-8869-F666C6556A50}"/>
    <cellStyle name="Normal 5 2 2 2 4 8" xfId="17455" xr:uid="{24248696-A1F8-49AE-811E-2D5BC7AFFE7B}"/>
    <cellStyle name="Normal 5 2 2 2 4 9" xfId="25899" xr:uid="{3CE1D0F4-265E-42D9-8B6C-BF5C5F5E6F27}"/>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24224" xr:uid="{0C5A262D-F474-43D8-8D10-BB8DE3C51BE5}"/>
    <cellStyle name="Normal 5 2 2 2 5 2 2 3" xfId="32670" xr:uid="{7BCDF360-2698-4FDD-B547-7DA501D0961E}"/>
    <cellStyle name="Normal 5 2 2 2 5 2 2 4" xfId="15783" xr:uid="{1DBA769A-CB9D-40E8-A938-96939FA039CE}"/>
    <cellStyle name="Normal 5 2 2 2 5 2 3" xfId="20006" xr:uid="{E924C12D-632F-46F1-A3E3-553B17B75B34}"/>
    <cellStyle name="Normal 5 2 2 2 5 2 4" xfId="28453" xr:uid="{72AB5E15-157D-42BA-81C3-1799BB7ED693}"/>
    <cellStyle name="Normal 5 2 2 2 5 2 5" xfId="11565" xr:uid="{150025E4-E6CB-4CE5-BEFB-348779DFC92D}"/>
    <cellStyle name="Normal 5 2 2 2 5 3" xfId="5196" xr:uid="{00000000-0005-0000-0000-000087170000}"/>
    <cellStyle name="Normal 5 2 2 2 5 3 2" xfId="22079" xr:uid="{AA037227-D1F6-48D7-A79C-71A14F97FD80}"/>
    <cellStyle name="Normal 5 2 2 2 5 3 3" xfId="30525" xr:uid="{B99633B9-8918-437A-816E-586B91A2CB90}"/>
    <cellStyle name="Normal 5 2 2 2 5 3 4" xfId="13638" xr:uid="{B25E61A9-03CD-47F0-A528-79B5F92AF43C}"/>
    <cellStyle name="Normal 5 2 2 2 5 4" xfId="17861" xr:uid="{D02D5C42-1BB8-491E-88A9-A95621D573F0}"/>
    <cellStyle name="Normal 5 2 2 2 5 5" xfId="26306" xr:uid="{E16156CC-E5D0-409F-A736-AE4C4FF52BF7}"/>
    <cellStyle name="Normal 5 2 2 2 5 6" xfId="9420" xr:uid="{115131AE-65D4-4294-B485-76FC8F34364F}"/>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24637" xr:uid="{04604C91-F60A-46F9-8217-7EFC126DDD1E}"/>
    <cellStyle name="Normal 5 2 2 2 6 2 2 3" xfId="33083" xr:uid="{E2561B72-6F9C-4FD7-99CC-81DE6FF70E5C}"/>
    <cellStyle name="Normal 5 2 2 2 6 2 2 4" xfId="16196" xr:uid="{CEEF46C1-2B7F-46B5-B145-E83C753DC215}"/>
    <cellStyle name="Normal 5 2 2 2 6 2 3" xfId="20419" xr:uid="{739DD3C0-661F-4B33-A8DA-7564B395D6A0}"/>
    <cellStyle name="Normal 5 2 2 2 6 2 4" xfId="28866" xr:uid="{DE1314AB-2E4F-404C-80D8-71FE0C5A760E}"/>
    <cellStyle name="Normal 5 2 2 2 6 2 5" xfId="11978" xr:uid="{98A58C42-CCB3-4666-A1AF-0730DE0FD5FF}"/>
    <cellStyle name="Normal 5 2 2 2 6 3" xfId="5609" xr:uid="{00000000-0005-0000-0000-00008B170000}"/>
    <cellStyle name="Normal 5 2 2 2 6 3 2" xfId="22492" xr:uid="{D2F79B1E-F18A-4F02-9A3E-C950C1C6D45B}"/>
    <cellStyle name="Normal 5 2 2 2 6 3 3" xfId="30938" xr:uid="{DB86DF8D-BE9F-46B8-BDA0-E955BF81301D}"/>
    <cellStyle name="Normal 5 2 2 2 6 3 4" xfId="14051" xr:uid="{38983E03-C2D4-4F1C-A1BF-46BC5DBCF58C}"/>
    <cellStyle name="Normal 5 2 2 2 6 4" xfId="18274" xr:uid="{917A982E-4973-4580-8644-A132AFBE0909}"/>
    <cellStyle name="Normal 5 2 2 2 6 5" xfId="26719" xr:uid="{3755929A-ED5D-4094-BD62-27373F04D3A4}"/>
    <cellStyle name="Normal 5 2 2 2 6 6" xfId="9833" xr:uid="{671A2E6A-1137-4F8D-B9E3-64F2C06E9DA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25050" xr:uid="{EF1D5D4A-FDAD-418B-B56D-C2082B122D26}"/>
    <cellStyle name="Normal 5 2 2 2 7 2 2 3" xfId="33496" xr:uid="{9649080E-E65B-4171-82FB-70F30F606400}"/>
    <cellStyle name="Normal 5 2 2 2 7 2 2 4" xfId="16609" xr:uid="{0BF6F359-E583-4A3C-8E30-E232529BBB2A}"/>
    <cellStyle name="Normal 5 2 2 2 7 2 3" xfId="20832" xr:uid="{499E7F1E-C3AD-43A5-A589-2A0185EB501F}"/>
    <cellStyle name="Normal 5 2 2 2 7 2 4" xfId="29279" xr:uid="{3AAC16A6-E76E-4229-AB0D-916081ED8F00}"/>
    <cellStyle name="Normal 5 2 2 2 7 2 5" xfId="12391" xr:uid="{1C79A452-9CD5-4760-B429-781F1FD995AE}"/>
    <cellStyle name="Normal 5 2 2 2 7 3" xfId="6022" xr:uid="{00000000-0005-0000-0000-00008F170000}"/>
    <cellStyle name="Normal 5 2 2 2 7 3 2" xfId="22905" xr:uid="{AE023D7C-549C-4A4B-8803-F460121C2DE5}"/>
    <cellStyle name="Normal 5 2 2 2 7 3 3" xfId="31351" xr:uid="{08758355-413F-489D-88FF-CCE99F188F52}"/>
    <cellStyle name="Normal 5 2 2 2 7 3 4" xfId="14464" xr:uid="{2B82CCC7-0103-4FA5-ABD6-C289A06C4FFC}"/>
    <cellStyle name="Normal 5 2 2 2 7 4" xfId="18687" xr:uid="{367E8494-DD6B-4A33-922D-571DF61E2516}"/>
    <cellStyle name="Normal 5 2 2 2 7 5" xfId="27132" xr:uid="{D5C87AA2-D906-4B2C-93C4-A5E249F222D2}"/>
    <cellStyle name="Normal 5 2 2 2 7 6" xfId="10246" xr:uid="{028EF245-CE8F-43E6-A8C6-0A9C5BE0D894}"/>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25463" xr:uid="{A865349F-2A8B-4D22-A69E-384DC51A3C66}"/>
    <cellStyle name="Normal 5 2 2 2 8 2 2 3" xfId="33909" xr:uid="{A8DBAC8B-65B8-4978-9BFB-C242DA87F8FF}"/>
    <cellStyle name="Normal 5 2 2 2 8 2 2 4" xfId="17022" xr:uid="{91F5B4F2-1122-4032-A4E5-42851F6BB427}"/>
    <cellStyle name="Normal 5 2 2 2 8 2 3" xfId="21245" xr:uid="{C9A1D4A3-5D1D-4E73-A89E-70172C975108}"/>
    <cellStyle name="Normal 5 2 2 2 8 2 4" xfId="29692" xr:uid="{B0491369-8D4E-4902-93CA-6D2C005C91BE}"/>
    <cellStyle name="Normal 5 2 2 2 8 2 5" xfId="12804" xr:uid="{7A973873-A173-4061-BCFF-235DDE264ADE}"/>
    <cellStyle name="Normal 5 2 2 2 8 3" xfId="6435" xr:uid="{00000000-0005-0000-0000-000093170000}"/>
    <cellStyle name="Normal 5 2 2 2 8 3 2" xfId="23318" xr:uid="{3480AC86-E861-41B5-9048-B1119A0D7EC7}"/>
    <cellStyle name="Normal 5 2 2 2 8 3 3" xfId="31764" xr:uid="{0EDFBAEB-103A-43DA-8AE5-0DC4D3DAA39F}"/>
    <cellStyle name="Normal 5 2 2 2 8 3 4" xfId="14877" xr:uid="{F25D05B9-1B0B-43C8-8B85-372FD9294BF4}"/>
    <cellStyle name="Normal 5 2 2 2 8 4" xfId="19100" xr:uid="{B29A545E-9A79-44F9-94C0-827AD6FA74F8}"/>
    <cellStyle name="Normal 5 2 2 2 8 5" xfId="27545" xr:uid="{ADE1E84B-45A5-4988-8233-9DE8223365FB}"/>
    <cellStyle name="Normal 5 2 2 2 8 6" xfId="10659" xr:uid="{99450F08-3CE1-4CFA-BDB0-70938D28A6F9}"/>
    <cellStyle name="Normal 5 2 2 2 9" xfId="2564" xr:uid="{00000000-0005-0000-0000-000094170000}"/>
    <cellStyle name="Normal 5 2 2 2 9 2" xfId="6848" xr:uid="{00000000-0005-0000-0000-000095170000}"/>
    <cellStyle name="Normal 5 2 2 2 9 2 2" xfId="23731" xr:uid="{4AF99A2D-7EAC-4748-9FF8-AE905DC81440}"/>
    <cellStyle name="Normal 5 2 2 2 9 2 3" xfId="32177" xr:uid="{B1204762-E3F9-4BA4-8DB8-5BA5F99A9A41}"/>
    <cellStyle name="Normal 5 2 2 2 9 2 4" xfId="15290" xr:uid="{F7058E61-0FFE-4215-9565-AC48773ED546}"/>
    <cellStyle name="Normal 5 2 2 2 9 3" xfId="19513" xr:uid="{83E3F397-75C0-4514-A790-F1A8F3A169B1}"/>
    <cellStyle name="Normal 5 2 2 2 9 4" xfId="27958" xr:uid="{C49E3F9E-EC3E-44BB-B4E5-300B36F21F0F}"/>
    <cellStyle name="Normal 5 2 2 2 9 5" xfId="11072" xr:uid="{AD1CCAB7-8120-4CFA-B4FD-8FDA2190D2D5}"/>
    <cellStyle name="Normal 5 2 2 3" xfId="417" xr:uid="{00000000-0005-0000-0000-000096170000}"/>
    <cellStyle name="Normal 5 2 2 3 10" xfId="17456" xr:uid="{289BE4D8-1AEB-49F0-B85A-B3F69E332A5A}"/>
    <cellStyle name="Normal 5 2 2 3 11" xfId="25900" xr:uid="{4AFE288B-CBFA-4C81-B44F-2B2D23494A7B}"/>
    <cellStyle name="Normal 5 2 2 3 12" xfId="9015" xr:uid="{5DBDCEFA-2FDF-4080-8BCE-39413AE694C2}"/>
    <cellStyle name="Normal 5 2 2 3 2" xfId="418" xr:uid="{00000000-0005-0000-0000-000097170000}"/>
    <cellStyle name="Normal 5 2 2 3 2 10" xfId="25901" xr:uid="{93D70D90-DF4F-4BC7-AF16-7E1121EC014C}"/>
    <cellStyle name="Normal 5 2 2 3 2 11" xfId="9016" xr:uid="{DD813CA9-73AB-46C3-8950-6FB59568719A}"/>
    <cellStyle name="Normal 5 2 2 3 2 2" xfId="419" xr:uid="{00000000-0005-0000-0000-000098170000}"/>
    <cellStyle name="Normal 5 2 2 3 2 2 10" xfId="9017" xr:uid="{8742953A-11BF-4265-AF11-977ABE911268}"/>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24234" xr:uid="{D46F32F1-2D47-4C90-8CBD-1DD3FFFB2971}"/>
    <cellStyle name="Normal 5 2 2 3 2 2 2 2 2 3" xfId="32680" xr:uid="{C40EAD7F-25EF-4B7A-B16E-2C92B4EEB50B}"/>
    <cellStyle name="Normal 5 2 2 3 2 2 2 2 2 4" xfId="15793" xr:uid="{C0B9D86E-849E-49A0-8F76-B576BA5F8744}"/>
    <cellStyle name="Normal 5 2 2 3 2 2 2 2 3" xfId="20016" xr:uid="{BC1754C4-4C8A-49FD-92A0-CD6CA12B326C}"/>
    <cellStyle name="Normal 5 2 2 3 2 2 2 2 4" xfId="28463" xr:uid="{40342172-26E0-49AD-B919-EB80575F578D}"/>
    <cellStyle name="Normal 5 2 2 3 2 2 2 2 5" xfId="11575" xr:uid="{A5D74F58-E18C-4028-8C4C-0C60C2318ED1}"/>
    <cellStyle name="Normal 5 2 2 3 2 2 2 3" xfId="5206" xr:uid="{00000000-0005-0000-0000-00009C170000}"/>
    <cellStyle name="Normal 5 2 2 3 2 2 2 3 2" xfId="22089" xr:uid="{465924F9-04C3-4EA3-817C-1D053F1F6CDF}"/>
    <cellStyle name="Normal 5 2 2 3 2 2 2 3 3" xfId="30535" xr:uid="{58C574F5-B752-4919-8078-F276FF6A5BD8}"/>
    <cellStyle name="Normal 5 2 2 3 2 2 2 3 4" xfId="13648" xr:uid="{17B28D48-2C6B-4DFC-B6B7-E49DFB329C6C}"/>
    <cellStyle name="Normal 5 2 2 3 2 2 2 4" xfId="17871" xr:uid="{304B5C94-B24A-4D00-A981-105FD28AC2C3}"/>
    <cellStyle name="Normal 5 2 2 3 2 2 2 5" xfId="26316" xr:uid="{CA71C984-A786-4D6B-9815-0ECFD7C232FD}"/>
    <cellStyle name="Normal 5 2 2 3 2 2 2 6" xfId="9430" xr:uid="{92093AEE-B232-47A7-883E-D2D9A1FC2FB5}"/>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24647" xr:uid="{6604DB2B-1FAE-4237-B3FA-8EFEAA3B6CEB}"/>
    <cellStyle name="Normal 5 2 2 3 2 2 3 2 2 3" xfId="33093" xr:uid="{A942687E-7D72-4F86-A9B4-371ECA0704B7}"/>
    <cellStyle name="Normal 5 2 2 3 2 2 3 2 2 4" xfId="16206" xr:uid="{1217EB5A-5B61-457C-8270-3583B01A49C3}"/>
    <cellStyle name="Normal 5 2 2 3 2 2 3 2 3" xfId="20429" xr:uid="{48FD153A-9600-43D2-BDCB-0C28CC6BAAAD}"/>
    <cellStyle name="Normal 5 2 2 3 2 2 3 2 4" xfId="28876" xr:uid="{85A2E638-1303-406E-AA38-A4981208ADB4}"/>
    <cellStyle name="Normal 5 2 2 3 2 2 3 2 5" xfId="11988" xr:uid="{13111592-58AB-448F-B5DF-0B5B24F2FC07}"/>
    <cellStyle name="Normal 5 2 2 3 2 2 3 3" xfId="5619" xr:uid="{00000000-0005-0000-0000-0000A0170000}"/>
    <cellStyle name="Normal 5 2 2 3 2 2 3 3 2" xfId="22502" xr:uid="{63142E89-CBC4-428B-A669-BA1D27BD54C1}"/>
    <cellStyle name="Normal 5 2 2 3 2 2 3 3 3" xfId="30948" xr:uid="{59954A7C-072B-417D-90FF-27D981F17161}"/>
    <cellStyle name="Normal 5 2 2 3 2 2 3 3 4" xfId="14061" xr:uid="{067BDF89-AB18-41E2-AE0D-A3971C200D2E}"/>
    <cellStyle name="Normal 5 2 2 3 2 2 3 4" xfId="18284" xr:uid="{83489E24-81F2-4FFD-9157-D8447A79B70D}"/>
    <cellStyle name="Normal 5 2 2 3 2 2 3 5" xfId="26729" xr:uid="{59F4D453-9276-493D-8D4E-248D7C6E9326}"/>
    <cellStyle name="Normal 5 2 2 3 2 2 3 6" xfId="9843" xr:uid="{814AEF1F-074E-44EF-8655-9D3AF5EB681D}"/>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25060" xr:uid="{B196FA83-DF9A-4E6E-93A4-74A4709FCA21}"/>
    <cellStyle name="Normal 5 2 2 3 2 2 4 2 2 3" xfId="33506" xr:uid="{E25484BA-EE12-4A12-A7DD-95AEE6F4370F}"/>
    <cellStyle name="Normal 5 2 2 3 2 2 4 2 2 4" xfId="16619" xr:uid="{9C2A4F9A-1C25-47D6-81DA-2DF0E75F2A62}"/>
    <cellStyle name="Normal 5 2 2 3 2 2 4 2 3" xfId="20842" xr:uid="{2DC35CC9-9BC9-415F-8600-63604B2E1D0F}"/>
    <cellStyle name="Normal 5 2 2 3 2 2 4 2 4" xfId="29289" xr:uid="{A34C2080-814D-44C6-BB93-BFBEC6103AFE}"/>
    <cellStyle name="Normal 5 2 2 3 2 2 4 2 5" xfId="12401" xr:uid="{27EA5F10-C0AD-4458-B017-B6E4F622127E}"/>
    <cellStyle name="Normal 5 2 2 3 2 2 4 3" xfId="6032" xr:uid="{00000000-0005-0000-0000-0000A4170000}"/>
    <cellStyle name="Normal 5 2 2 3 2 2 4 3 2" xfId="22915" xr:uid="{7143767F-1B21-4AF3-8728-4FDCFA59A07E}"/>
    <cellStyle name="Normal 5 2 2 3 2 2 4 3 3" xfId="31361" xr:uid="{91F00CF4-FA10-4F2B-8FAC-AA0FC572CF4C}"/>
    <cellStyle name="Normal 5 2 2 3 2 2 4 3 4" xfId="14474" xr:uid="{3D56CD56-6C94-41CF-8873-4F5979BA18D6}"/>
    <cellStyle name="Normal 5 2 2 3 2 2 4 4" xfId="18697" xr:uid="{38308E48-AA9E-48D6-B766-956DDDCDD26E}"/>
    <cellStyle name="Normal 5 2 2 3 2 2 4 5" xfId="27142" xr:uid="{C3AFA5CD-6DA2-429F-9DFB-D05EA69BE8E5}"/>
    <cellStyle name="Normal 5 2 2 3 2 2 4 6" xfId="10256" xr:uid="{B4340965-95DB-4D21-9A38-D3B32B8840D2}"/>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25473" xr:uid="{A3594879-E160-47DC-9CAE-41CADA0109E7}"/>
    <cellStyle name="Normal 5 2 2 3 2 2 5 2 2 3" xfId="33919" xr:uid="{76BAD074-6497-4176-A0BE-6A8064B4B0F7}"/>
    <cellStyle name="Normal 5 2 2 3 2 2 5 2 2 4" xfId="17032" xr:uid="{5AD6C850-4965-434D-88CD-F9E332378C08}"/>
    <cellStyle name="Normal 5 2 2 3 2 2 5 2 3" xfId="21255" xr:uid="{E54D36CD-3876-4A4E-B188-6C54346135A5}"/>
    <cellStyle name="Normal 5 2 2 3 2 2 5 2 4" xfId="29702" xr:uid="{15C65D90-31CC-419C-B8DA-8D1A3BEF3A4F}"/>
    <cellStyle name="Normal 5 2 2 3 2 2 5 2 5" xfId="12814" xr:uid="{CE10C298-8778-431D-8913-D85AF6ED5C73}"/>
    <cellStyle name="Normal 5 2 2 3 2 2 5 3" xfId="6445" xr:uid="{00000000-0005-0000-0000-0000A8170000}"/>
    <cellStyle name="Normal 5 2 2 3 2 2 5 3 2" xfId="23328" xr:uid="{7908237C-DEE0-4BF5-ACDA-099185C3C772}"/>
    <cellStyle name="Normal 5 2 2 3 2 2 5 3 3" xfId="31774" xr:uid="{85858217-6F66-4270-92F6-A60638B237B3}"/>
    <cellStyle name="Normal 5 2 2 3 2 2 5 3 4" xfId="14887" xr:uid="{C621D47B-B012-4DA8-9024-39E9057A1CCE}"/>
    <cellStyle name="Normal 5 2 2 3 2 2 5 4" xfId="19110" xr:uid="{E21F1577-5719-46BF-8980-85A0540EA673}"/>
    <cellStyle name="Normal 5 2 2 3 2 2 5 5" xfId="27555" xr:uid="{D4E23091-03CA-4D2C-8DE8-62CD2BB46BC0}"/>
    <cellStyle name="Normal 5 2 2 3 2 2 5 6" xfId="10669" xr:uid="{684A7C6D-7B78-4EDF-8315-C883E8AE3723}"/>
    <cellStyle name="Normal 5 2 2 3 2 2 6" xfId="2574" xr:uid="{00000000-0005-0000-0000-0000A9170000}"/>
    <cellStyle name="Normal 5 2 2 3 2 2 6 2" xfId="6858" xr:uid="{00000000-0005-0000-0000-0000AA170000}"/>
    <cellStyle name="Normal 5 2 2 3 2 2 6 2 2" xfId="23741" xr:uid="{5A60F177-16AB-424F-9DB9-539894FDC5AD}"/>
    <cellStyle name="Normal 5 2 2 3 2 2 6 2 3" xfId="32187" xr:uid="{09CB575B-E512-4E4B-A034-54CBD83C189E}"/>
    <cellStyle name="Normal 5 2 2 3 2 2 6 2 4" xfId="15300" xr:uid="{FA041692-34CB-4946-BF90-FC0FADE02A49}"/>
    <cellStyle name="Normal 5 2 2 3 2 2 6 3" xfId="19523" xr:uid="{B434295B-D3B3-4467-878B-C90071272033}"/>
    <cellStyle name="Normal 5 2 2 3 2 2 6 4" xfId="27968" xr:uid="{2D68877C-C2B9-4D82-8325-502FE7F23515}"/>
    <cellStyle name="Normal 5 2 2 3 2 2 6 5" xfId="11082" xr:uid="{18AD7623-9682-4CEE-85AF-0B6BADAE2F29}"/>
    <cellStyle name="Normal 5 2 2 3 2 2 7" xfId="4793" xr:uid="{00000000-0005-0000-0000-0000AB170000}"/>
    <cellStyle name="Normal 5 2 2 3 2 2 7 2" xfId="21676" xr:uid="{24EF0AC5-7428-4B56-80EC-DB28660F6EFF}"/>
    <cellStyle name="Normal 5 2 2 3 2 2 7 3" xfId="30122" xr:uid="{7E23AF4F-0C8E-48AC-91F3-7F59CE478325}"/>
    <cellStyle name="Normal 5 2 2 3 2 2 7 4" xfId="13235" xr:uid="{4E8B1F3B-EC16-4B7A-AC47-A46486B5BD6E}"/>
    <cellStyle name="Normal 5 2 2 3 2 2 8" xfId="17458" xr:uid="{8ABAD4C1-5746-438E-ADC6-081FBFA71BC3}"/>
    <cellStyle name="Normal 5 2 2 3 2 2 9" xfId="25902" xr:uid="{91EEC437-0843-49DD-9196-A0ED2EE3ECA3}"/>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24233" xr:uid="{05F01FD0-BF72-4810-BABB-9DF8EA3020AD}"/>
    <cellStyle name="Normal 5 2 2 3 2 3 2 2 3" xfId="32679" xr:uid="{1B07E445-67BA-4BFE-876A-540E6970211F}"/>
    <cellStyle name="Normal 5 2 2 3 2 3 2 2 4" xfId="15792" xr:uid="{5F910FA8-10C1-454A-8FC8-C17A0DC34B3A}"/>
    <cellStyle name="Normal 5 2 2 3 2 3 2 3" xfId="20015" xr:uid="{098246BA-9EEA-412D-B131-81701E815364}"/>
    <cellStyle name="Normal 5 2 2 3 2 3 2 4" xfId="28462" xr:uid="{E7C55295-AC26-4222-AAE1-929AA7D27C79}"/>
    <cellStyle name="Normal 5 2 2 3 2 3 2 5" xfId="11574" xr:uid="{E909E1BD-2926-4C1B-8560-B4E2B6374B60}"/>
    <cellStyle name="Normal 5 2 2 3 2 3 3" xfId="5205" xr:uid="{00000000-0005-0000-0000-0000AF170000}"/>
    <cellStyle name="Normal 5 2 2 3 2 3 3 2" xfId="22088" xr:uid="{A9C8BF26-623A-42CF-B459-1B2B40200596}"/>
    <cellStyle name="Normal 5 2 2 3 2 3 3 3" xfId="30534" xr:uid="{C6AE6D37-1DE9-4A9E-9FD7-005B919F799F}"/>
    <cellStyle name="Normal 5 2 2 3 2 3 3 4" xfId="13647" xr:uid="{44939DEC-C9F7-42D8-8C16-1E202AF15946}"/>
    <cellStyle name="Normal 5 2 2 3 2 3 4" xfId="17870" xr:uid="{6B849C9B-C525-4442-B2D4-15206517417D}"/>
    <cellStyle name="Normal 5 2 2 3 2 3 5" xfId="26315" xr:uid="{2DE3609D-50D6-4836-B133-4B0A7C94F244}"/>
    <cellStyle name="Normal 5 2 2 3 2 3 6" xfId="9429" xr:uid="{5A32295F-908F-4F3B-801C-B52C865870A7}"/>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24646" xr:uid="{81DB70F8-682D-474C-AB43-71408D746218}"/>
    <cellStyle name="Normal 5 2 2 3 2 4 2 2 3" xfId="33092" xr:uid="{DDF88043-78C0-4DB9-9AE0-1BFC2BAC8B0C}"/>
    <cellStyle name="Normal 5 2 2 3 2 4 2 2 4" xfId="16205" xr:uid="{BE8B52BC-B926-42DC-88BE-C2BFDB48F626}"/>
    <cellStyle name="Normal 5 2 2 3 2 4 2 3" xfId="20428" xr:uid="{16B26A54-4DD9-48C2-83E2-CB3DE8FBD99D}"/>
    <cellStyle name="Normal 5 2 2 3 2 4 2 4" xfId="28875" xr:uid="{BC09A7BA-CCB3-454D-B948-40C263BD45FF}"/>
    <cellStyle name="Normal 5 2 2 3 2 4 2 5" xfId="11987" xr:uid="{F5F003F4-2C87-418C-9575-6846BA263B6D}"/>
    <cellStyle name="Normal 5 2 2 3 2 4 3" xfId="5618" xr:uid="{00000000-0005-0000-0000-0000B3170000}"/>
    <cellStyle name="Normal 5 2 2 3 2 4 3 2" xfId="22501" xr:uid="{378D1384-8CFC-459F-AB11-C27E8FD6035A}"/>
    <cellStyle name="Normal 5 2 2 3 2 4 3 3" xfId="30947" xr:uid="{1043B28A-2395-469F-81FC-EB39D3998F14}"/>
    <cellStyle name="Normal 5 2 2 3 2 4 3 4" xfId="14060" xr:uid="{B1F18E33-D42F-4037-AEF0-D3D8C929FCC7}"/>
    <cellStyle name="Normal 5 2 2 3 2 4 4" xfId="18283" xr:uid="{1DEBBE3C-F6B0-46D6-A3A3-E019BBEFC03D}"/>
    <cellStyle name="Normal 5 2 2 3 2 4 5" xfId="26728" xr:uid="{EF36F146-BEF2-4A90-A9BD-2E4DC4BE326C}"/>
    <cellStyle name="Normal 5 2 2 3 2 4 6" xfId="9842" xr:uid="{FB879509-A721-4717-9BB2-B14E6F105468}"/>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25059" xr:uid="{82EF52E3-1BFE-4678-B575-5E1BD1435896}"/>
    <cellStyle name="Normal 5 2 2 3 2 5 2 2 3" xfId="33505" xr:uid="{B2EFE1D3-5801-41FE-BB4F-0A70F02F6FF2}"/>
    <cellStyle name="Normal 5 2 2 3 2 5 2 2 4" xfId="16618" xr:uid="{27811331-C573-47B3-B9A8-F5143004607F}"/>
    <cellStyle name="Normal 5 2 2 3 2 5 2 3" xfId="20841" xr:uid="{7924A536-C3B7-493B-946B-147CA86D7787}"/>
    <cellStyle name="Normal 5 2 2 3 2 5 2 4" xfId="29288" xr:uid="{14CDFC1B-0650-4D01-A820-0E25C21EBA52}"/>
    <cellStyle name="Normal 5 2 2 3 2 5 2 5" xfId="12400" xr:uid="{72C4084D-AE28-46F5-A0A2-D1ED89313395}"/>
    <cellStyle name="Normal 5 2 2 3 2 5 3" xfId="6031" xr:uid="{00000000-0005-0000-0000-0000B7170000}"/>
    <cellStyle name="Normal 5 2 2 3 2 5 3 2" xfId="22914" xr:uid="{5A4A610E-EEC1-4F3D-85A2-4474E974AB0B}"/>
    <cellStyle name="Normal 5 2 2 3 2 5 3 3" xfId="31360" xr:uid="{F4787ED2-20AD-4878-AADE-370CAEE5412B}"/>
    <cellStyle name="Normal 5 2 2 3 2 5 3 4" xfId="14473" xr:uid="{B32979DA-AE0C-4E88-A119-F3FD8B6D7D6A}"/>
    <cellStyle name="Normal 5 2 2 3 2 5 4" xfId="18696" xr:uid="{EBB3A360-8D52-4B61-AE61-0098F9D0892E}"/>
    <cellStyle name="Normal 5 2 2 3 2 5 5" xfId="27141" xr:uid="{A4D38FBB-534F-4B39-A966-1E418E8C12EC}"/>
    <cellStyle name="Normal 5 2 2 3 2 5 6" xfId="10255" xr:uid="{6E0A8EEC-EEC5-41EC-A5C0-DB1AEB5C3676}"/>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25472" xr:uid="{AB6770CC-BF40-4C16-BBB5-E329B67A29BD}"/>
    <cellStyle name="Normal 5 2 2 3 2 6 2 2 3" xfId="33918" xr:uid="{C768DEB3-EE44-4355-AA17-DDC6C563125A}"/>
    <cellStyle name="Normal 5 2 2 3 2 6 2 2 4" xfId="17031" xr:uid="{174EAAEC-485B-4E34-9C29-2F6444A7341E}"/>
    <cellStyle name="Normal 5 2 2 3 2 6 2 3" xfId="21254" xr:uid="{F744A708-C8D5-4524-BC58-445F56FF2B4E}"/>
    <cellStyle name="Normal 5 2 2 3 2 6 2 4" xfId="29701" xr:uid="{2D2EF2D5-2EAF-40FC-9617-5144EAF1E6D2}"/>
    <cellStyle name="Normal 5 2 2 3 2 6 2 5" xfId="12813" xr:uid="{D9A1E14D-6527-4AFC-BE6F-42987758407E}"/>
    <cellStyle name="Normal 5 2 2 3 2 6 3" xfId="6444" xr:uid="{00000000-0005-0000-0000-0000BB170000}"/>
    <cellStyle name="Normal 5 2 2 3 2 6 3 2" xfId="23327" xr:uid="{A6A0605D-2B7E-4A98-9222-65CB0EF756C2}"/>
    <cellStyle name="Normal 5 2 2 3 2 6 3 3" xfId="31773" xr:uid="{4030FFD8-4B1C-454C-A519-8D71740A0B2C}"/>
    <cellStyle name="Normal 5 2 2 3 2 6 3 4" xfId="14886" xr:uid="{D9C3E960-EF6C-4F2B-ADCA-E669EF74E4C6}"/>
    <cellStyle name="Normal 5 2 2 3 2 6 4" xfId="19109" xr:uid="{3FAA9BDF-DD71-47D0-88C7-2C0D5A065BCB}"/>
    <cellStyle name="Normal 5 2 2 3 2 6 5" xfId="27554" xr:uid="{0A175864-1C77-466B-9E4D-4C399DAEC517}"/>
    <cellStyle name="Normal 5 2 2 3 2 6 6" xfId="10668" xr:uid="{DEA4FF68-D7C4-4D10-8C59-8E241C61525C}"/>
    <cellStyle name="Normal 5 2 2 3 2 7" xfId="2573" xr:uid="{00000000-0005-0000-0000-0000BC170000}"/>
    <cellStyle name="Normal 5 2 2 3 2 7 2" xfId="6857" xr:uid="{00000000-0005-0000-0000-0000BD170000}"/>
    <cellStyle name="Normal 5 2 2 3 2 7 2 2" xfId="23740" xr:uid="{9D854498-47EE-45AC-9BEB-04B57982AF14}"/>
    <cellStyle name="Normal 5 2 2 3 2 7 2 3" xfId="32186" xr:uid="{5A10CE0E-9ACD-4F26-9147-92EA174C4486}"/>
    <cellStyle name="Normal 5 2 2 3 2 7 2 4" xfId="15299" xr:uid="{0B6FD6D6-CB32-467A-82B7-568B0052DA51}"/>
    <cellStyle name="Normal 5 2 2 3 2 7 3" xfId="19522" xr:uid="{D9361DCF-67FC-4406-BFDC-589CF726E8E5}"/>
    <cellStyle name="Normal 5 2 2 3 2 7 4" xfId="27967" xr:uid="{8322EEFA-2754-44DE-9E3D-C11F29B12F9C}"/>
    <cellStyle name="Normal 5 2 2 3 2 7 5" xfId="11081" xr:uid="{7ADFA1E9-3712-4015-B57A-7CA8B98E2B10}"/>
    <cellStyle name="Normal 5 2 2 3 2 8" xfId="4792" xr:uid="{00000000-0005-0000-0000-0000BE170000}"/>
    <cellStyle name="Normal 5 2 2 3 2 8 2" xfId="21675" xr:uid="{843BC9A6-19EC-4A9D-9909-E3102504D518}"/>
    <cellStyle name="Normal 5 2 2 3 2 8 3" xfId="30121" xr:uid="{E1DC8CBF-580D-4274-9388-80E7A54A5261}"/>
    <cellStyle name="Normal 5 2 2 3 2 8 4" xfId="13234" xr:uid="{8D4C78B3-1457-415D-9921-CAC786E72F06}"/>
    <cellStyle name="Normal 5 2 2 3 2 9" xfId="17457" xr:uid="{B1E79BD0-CD35-445B-9EE5-C69F5102000E}"/>
    <cellStyle name="Normal 5 2 2 3 3" xfId="420" xr:uid="{00000000-0005-0000-0000-0000BF170000}"/>
    <cellStyle name="Normal 5 2 2 3 3 10" xfId="9018" xr:uid="{EA041921-3B04-452C-AE55-8D78F217DC26}"/>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24235" xr:uid="{EEF2737C-CA44-4B63-A49A-B1A1B7B9C3C2}"/>
    <cellStyle name="Normal 5 2 2 3 3 2 2 2 3" xfId="32681" xr:uid="{C9AF47EB-F5A3-494D-9720-0224113574BC}"/>
    <cellStyle name="Normal 5 2 2 3 3 2 2 2 4" xfId="15794" xr:uid="{6A3EFDCF-3C26-437C-A87B-FA1FD4F8C386}"/>
    <cellStyle name="Normal 5 2 2 3 3 2 2 3" xfId="20017" xr:uid="{F141AE08-95A9-4119-8DAB-C60761D76036}"/>
    <cellStyle name="Normal 5 2 2 3 3 2 2 4" xfId="28464" xr:uid="{C530E7E5-BD50-40F4-91A4-099B90CA3A07}"/>
    <cellStyle name="Normal 5 2 2 3 3 2 2 5" xfId="11576" xr:uid="{CA75131D-4BA1-434A-8FE8-8C6B917C8101}"/>
    <cellStyle name="Normal 5 2 2 3 3 2 3" xfId="5207" xr:uid="{00000000-0005-0000-0000-0000C3170000}"/>
    <cellStyle name="Normal 5 2 2 3 3 2 3 2" xfId="22090" xr:uid="{BC239743-5A95-434F-9AE6-AD327DAFF570}"/>
    <cellStyle name="Normal 5 2 2 3 3 2 3 3" xfId="30536" xr:uid="{A584E2D6-4B59-407A-A216-87168F8B129F}"/>
    <cellStyle name="Normal 5 2 2 3 3 2 3 4" xfId="13649" xr:uid="{6489148E-9B60-444C-AD71-3943F8DC5E4E}"/>
    <cellStyle name="Normal 5 2 2 3 3 2 4" xfId="17872" xr:uid="{A3D1DB24-4B9F-439A-A3AB-745308226C3B}"/>
    <cellStyle name="Normal 5 2 2 3 3 2 5" xfId="26317" xr:uid="{F6ECD127-31CC-4501-B8AA-57C4D20B4350}"/>
    <cellStyle name="Normal 5 2 2 3 3 2 6" xfId="9431" xr:uid="{D5AE962A-95E2-4C77-A5CA-03C866C3DDAF}"/>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24648" xr:uid="{A4ED0D07-C176-4A8A-980B-503EC6245EEB}"/>
    <cellStyle name="Normal 5 2 2 3 3 3 2 2 3" xfId="33094" xr:uid="{AFBF6574-E04F-473E-9BDB-C8E03B270E29}"/>
    <cellStyle name="Normal 5 2 2 3 3 3 2 2 4" xfId="16207" xr:uid="{DD51B8EC-1B8D-4674-917A-234EE2114400}"/>
    <cellStyle name="Normal 5 2 2 3 3 3 2 3" xfId="20430" xr:uid="{AD20E7E7-72FE-4DE5-9F0E-EBC35184EF69}"/>
    <cellStyle name="Normal 5 2 2 3 3 3 2 4" xfId="28877" xr:uid="{88C40A7D-13DF-47BB-9C10-868390DA0F09}"/>
    <cellStyle name="Normal 5 2 2 3 3 3 2 5" xfId="11989" xr:uid="{C1A730DE-9D3F-47BA-9415-615250E211B1}"/>
    <cellStyle name="Normal 5 2 2 3 3 3 3" xfId="5620" xr:uid="{00000000-0005-0000-0000-0000C7170000}"/>
    <cellStyle name="Normal 5 2 2 3 3 3 3 2" xfId="22503" xr:uid="{976B4D0A-8EFF-4503-9C89-9B6D06F5FCB7}"/>
    <cellStyle name="Normal 5 2 2 3 3 3 3 3" xfId="30949" xr:uid="{536448CD-F8D8-419F-B834-C1050C71A174}"/>
    <cellStyle name="Normal 5 2 2 3 3 3 3 4" xfId="14062" xr:uid="{1BCA379A-2A17-46FE-8069-581BCE3168A3}"/>
    <cellStyle name="Normal 5 2 2 3 3 3 4" xfId="18285" xr:uid="{7B0EECDE-202E-4347-A66E-0C70C7ABFBC2}"/>
    <cellStyle name="Normal 5 2 2 3 3 3 5" xfId="26730" xr:uid="{AAE7C19F-AEA5-4DF9-A2A5-7FBAC731382D}"/>
    <cellStyle name="Normal 5 2 2 3 3 3 6" xfId="9844" xr:uid="{83170140-084C-45F9-9450-5382F369000D}"/>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25061" xr:uid="{88182DBD-E58E-46C5-8E6B-E7A747E1CAD1}"/>
    <cellStyle name="Normal 5 2 2 3 3 4 2 2 3" xfId="33507" xr:uid="{15FA7460-83F3-497B-AF02-B5690BEBD213}"/>
    <cellStyle name="Normal 5 2 2 3 3 4 2 2 4" xfId="16620" xr:uid="{B5867F60-E8AE-4CBD-905E-77D3CF393519}"/>
    <cellStyle name="Normal 5 2 2 3 3 4 2 3" xfId="20843" xr:uid="{66746C64-A8D8-48CC-8C5C-E21A0091A6CB}"/>
    <cellStyle name="Normal 5 2 2 3 3 4 2 4" xfId="29290" xr:uid="{70183457-7F68-4A0D-B441-AE3E77C8A464}"/>
    <cellStyle name="Normal 5 2 2 3 3 4 2 5" xfId="12402" xr:uid="{95CF9423-0950-41A4-9077-A410AF9E945B}"/>
    <cellStyle name="Normal 5 2 2 3 3 4 3" xfId="6033" xr:uid="{00000000-0005-0000-0000-0000CB170000}"/>
    <cellStyle name="Normal 5 2 2 3 3 4 3 2" xfId="22916" xr:uid="{D10FF117-DDDB-410D-9E34-802637B9F5C3}"/>
    <cellStyle name="Normal 5 2 2 3 3 4 3 3" xfId="31362" xr:uid="{A669D870-3E16-4E11-9C4E-B7B14887A79F}"/>
    <cellStyle name="Normal 5 2 2 3 3 4 3 4" xfId="14475" xr:uid="{3EB85460-4417-4EAE-94B2-52BD34806D8D}"/>
    <cellStyle name="Normal 5 2 2 3 3 4 4" xfId="18698" xr:uid="{47DCBC33-6916-4F35-8C39-06A6786B0133}"/>
    <cellStyle name="Normal 5 2 2 3 3 4 5" xfId="27143" xr:uid="{DABBEBF4-D244-4365-84C5-EFE1AB1B7808}"/>
    <cellStyle name="Normal 5 2 2 3 3 4 6" xfId="10257" xr:uid="{11F10223-2CC2-4A42-8ACA-97F871A881B6}"/>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25474" xr:uid="{5830CB60-B3A2-447B-8CEF-D23D5D352380}"/>
    <cellStyle name="Normal 5 2 2 3 3 5 2 2 3" xfId="33920" xr:uid="{B64DA4BA-C464-4B3D-B345-0B77B83F2122}"/>
    <cellStyle name="Normal 5 2 2 3 3 5 2 2 4" xfId="17033" xr:uid="{2813A942-4C72-4C62-83AA-CF25A29C9D92}"/>
    <cellStyle name="Normal 5 2 2 3 3 5 2 3" xfId="21256" xr:uid="{4507BEB6-23DA-409C-999E-78D2062DE5A9}"/>
    <cellStyle name="Normal 5 2 2 3 3 5 2 4" xfId="29703" xr:uid="{9652A327-D512-4F12-8E61-9F4BBEA42A00}"/>
    <cellStyle name="Normal 5 2 2 3 3 5 2 5" xfId="12815" xr:uid="{89D3778C-1C6A-40E7-A703-91811DB7F6E2}"/>
    <cellStyle name="Normal 5 2 2 3 3 5 3" xfId="6446" xr:uid="{00000000-0005-0000-0000-0000CF170000}"/>
    <cellStyle name="Normal 5 2 2 3 3 5 3 2" xfId="23329" xr:uid="{342DC9DA-93C5-420A-B3C0-575FF31D2300}"/>
    <cellStyle name="Normal 5 2 2 3 3 5 3 3" xfId="31775" xr:uid="{B647B54F-3F8C-42B0-A148-35474D6FB0DA}"/>
    <cellStyle name="Normal 5 2 2 3 3 5 3 4" xfId="14888" xr:uid="{71B34D3C-A539-40F0-B655-BAAFC9F00640}"/>
    <cellStyle name="Normal 5 2 2 3 3 5 4" xfId="19111" xr:uid="{27F3A543-F0C9-4D46-8E4E-D3759A425503}"/>
    <cellStyle name="Normal 5 2 2 3 3 5 5" xfId="27556" xr:uid="{8D174B0A-75EB-4694-91A9-5D2C228F9982}"/>
    <cellStyle name="Normal 5 2 2 3 3 5 6" xfId="10670" xr:uid="{7426BEC0-C3FA-4D78-8081-F4726F1FF1FA}"/>
    <cellStyle name="Normal 5 2 2 3 3 6" xfId="2575" xr:uid="{00000000-0005-0000-0000-0000D0170000}"/>
    <cellStyle name="Normal 5 2 2 3 3 6 2" xfId="6859" xr:uid="{00000000-0005-0000-0000-0000D1170000}"/>
    <cellStyle name="Normal 5 2 2 3 3 6 2 2" xfId="23742" xr:uid="{24A803F2-DF25-406E-A461-653FF65EA122}"/>
    <cellStyle name="Normal 5 2 2 3 3 6 2 3" xfId="32188" xr:uid="{F4C7F052-836D-4AEB-9392-09161911BBC2}"/>
    <cellStyle name="Normal 5 2 2 3 3 6 2 4" xfId="15301" xr:uid="{10339A37-7734-4B57-BB16-F528454F2774}"/>
    <cellStyle name="Normal 5 2 2 3 3 6 3" xfId="19524" xr:uid="{E552C28F-1197-4412-B4A1-A91482AFD80B}"/>
    <cellStyle name="Normal 5 2 2 3 3 6 4" xfId="27969" xr:uid="{E1F493C7-4FAB-47EB-98AD-C7A095EEE66D}"/>
    <cellStyle name="Normal 5 2 2 3 3 6 5" xfId="11083" xr:uid="{9A9B98B3-44F0-41FA-8CCB-D10E16596619}"/>
    <cellStyle name="Normal 5 2 2 3 3 7" xfId="4794" xr:uid="{00000000-0005-0000-0000-0000D2170000}"/>
    <cellStyle name="Normal 5 2 2 3 3 7 2" xfId="21677" xr:uid="{3E918D5B-5926-496F-8B18-A41A675AE0E8}"/>
    <cellStyle name="Normal 5 2 2 3 3 7 3" xfId="30123" xr:uid="{AA56849D-2F1D-42A2-A581-F25F92514130}"/>
    <cellStyle name="Normal 5 2 2 3 3 7 4" xfId="13236" xr:uid="{6F70C96F-10EE-48A3-942F-CC88350FAC6B}"/>
    <cellStyle name="Normal 5 2 2 3 3 8" xfId="17459" xr:uid="{2C5A2FAD-C663-4E82-8C7F-3E2002CC3992}"/>
    <cellStyle name="Normal 5 2 2 3 3 9" xfId="25903" xr:uid="{7D36F2C2-54F2-42A0-9F40-B3DB1B8603FC}"/>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24232" xr:uid="{634669EC-394D-4EA2-8A8F-21E0D5587367}"/>
    <cellStyle name="Normal 5 2 2 3 4 2 2 3" xfId="32678" xr:uid="{60553251-BF2B-4AB7-B84E-892ADA0291BA}"/>
    <cellStyle name="Normal 5 2 2 3 4 2 2 4" xfId="15791" xr:uid="{C9FA4CF6-9717-4FDA-A375-7510909FA220}"/>
    <cellStyle name="Normal 5 2 2 3 4 2 3" xfId="20014" xr:uid="{B16D5ED0-1B16-400E-B343-E7C644D984D3}"/>
    <cellStyle name="Normal 5 2 2 3 4 2 4" xfId="28461" xr:uid="{9BD9AE36-F4C2-47E4-88ED-16FCDB5100D5}"/>
    <cellStyle name="Normal 5 2 2 3 4 2 5" xfId="11573" xr:uid="{CD1B0B00-D7B9-4736-8724-BE65B4910A28}"/>
    <cellStyle name="Normal 5 2 2 3 4 3" xfId="5204" xr:uid="{00000000-0005-0000-0000-0000D6170000}"/>
    <cellStyle name="Normal 5 2 2 3 4 3 2" xfId="22087" xr:uid="{3ACB0C23-344B-4164-AB59-1BB3196A00C7}"/>
    <cellStyle name="Normal 5 2 2 3 4 3 3" xfId="30533" xr:uid="{2A7D47E8-13FD-48DA-AC5B-6575717C29CA}"/>
    <cellStyle name="Normal 5 2 2 3 4 3 4" xfId="13646" xr:uid="{AE3D45C0-0A73-423C-B74E-E45B8A254B8D}"/>
    <cellStyle name="Normal 5 2 2 3 4 4" xfId="17869" xr:uid="{BDDFE046-6373-4D27-B268-70444A2BE2B8}"/>
    <cellStyle name="Normal 5 2 2 3 4 5" xfId="26314" xr:uid="{6A8CCB75-3652-47BF-B8FC-17387B673AFA}"/>
    <cellStyle name="Normal 5 2 2 3 4 6" xfId="9428" xr:uid="{68F0C61C-7281-403F-B1FE-D60D4058313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24645" xr:uid="{BA5A9728-5E4D-465D-9AC3-6A1E3AA566D2}"/>
    <cellStyle name="Normal 5 2 2 3 5 2 2 3" xfId="33091" xr:uid="{038FE5B1-C686-4880-BAD9-534F8EA3B088}"/>
    <cellStyle name="Normal 5 2 2 3 5 2 2 4" xfId="16204" xr:uid="{58F8DB2E-F3C8-4D8B-9B6B-E5B968315EA3}"/>
    <cellStyle name="Normal 5 2 2 3 5 2 3" xfId="20427" xr:uid="{F39C2CEC-D937-4209-B113-A59607ED766D}"/>
    <cellStyle name="Normal 5 2 2 3 5 2 4" xfId="28874" xr:uid="{2F1959F1-E0EC-4450-9FAB-307D7F6F48E9}"/>
    <cellStyle name="Normal 5 2 2 3 5 2 5" xfId="11986" xr:uid="{B318C6E7-F3DF-4E66-903F-60CCFE200080}"/>
    <cellStyle name="Normal 5 2 2 3 5 3" xfId="5617" xr:uid="{00000000-0005-0000-0000-0000DA170000}"/>
    <cellStyle name="Normal 5 2 2 3 5 3 2" xfId="22500" xr:uid="{8AD0C969-5050-4C00-87E7-B87BEF07EFC5}"/>
    <cellStyle name="Normal 5 2 2 3 5 3 3" xfId="30946" xr:uid="{7983F6DF-AF27-4978-AF10-6790C95C11F4}"/>
    <cellStyle name="Normal 5 2 2 3 5 3 4" xfId="14059" xr:uid="{421187C1-FE10-4000-8DEB-6C3B6A317F2E}"/>
    <cellStyle name="Normal 5 2 2 3 5 4" xfId="18282" xr:uid="{BA982158-5987-4D31-8603-C6400034A378}"/>
    <cellStyle name="Normal 5 2 2 3 5 5" xfId="26727" xr:uid="{E6442E56-03B3-4EE7-8708-1CD166582633}"/>
    <cellStyle name="Normal 5 2 2 3 5 6" xfId="9841" xr:uid="{F9D1C9DB-CE77-407F-AA63-A515031718D7}"/>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25058" xr:uid="{7252D906-D344-49C8-BD65-600EFEC21FB5}"/>
    <cellStyle name="Normal 5 2 2 3 6 2 2 3" xfId="33504" xr:uid="{0C7DEF90-9761-4131-AB5D-FEFE519AF7D0}"/>
    <cellStyle name="Normal 5 2 2 3 6 2 2 4" xfId="16617" xr:uid="{67E9747F-E7CD-4ACA-8405-B192BE14281F}"/>
    <cellStyle name="Normal 5 2 2 3 6 2 3" xfId="20840" xr:uid="{2330038B-FFF8-466C-A090-A17C83F7784F}"/>
    <cellStyle name="Normal 5 2 2 3 6 2 4" xfId="29287" xr:uid="{F01285AA-1052-471A-B1DA-A4B11985660F}"/>
    <cellStyle name="Normal 5 2 2 3 6 2 5" xfId="12399" xr:uid="{AD2AE6A0-0C6B-45FE-AEC2-263AB748BCD3}"/>
    <cellStyle name="Normal 5 2 2 3 6 3" xfId="6030" xr:uid="{00000000-0005-0000-0000-0000DE170000}"/>
    <cellStyle name="Normal 5 2 2 3 6 3 2" xfId="22913" xr:uid="{AEAB5758-43B0-43F4-B446-2DEE7DE5D120}"/>
    <cellStyle name="Normal 5 2 2 3 6 3 3" xfId="31359" xr:uid="{ED3EFCA9-0059-41EA-BCA5-48029A072F07}"/>
    <cellStyle name="Normal 5 2 2 3 6 3 4" xfId="14472" xr:uid="{9AAC4774-D324-4917-89F1-C906BD45ED87}"/>
    <cellStyle name="Normal 5 2 2 3 6 4" xfId="18695" xr:uid="{207A078D-8A51-4EAD-90C1-DD38ABA90287}"/>
    <cellStyle name="Normal 5 2 2 3 6 5" xfId="27140" xr:uid="{282B27AA-B87B-4EEC-A4E9-4EBA2F7A5A41}"/>
    <cellStyle name="Normal 5 2 2 3 6 6" xfId="10254" xr:uid="{D9563A9A-F433-41E4-B3FB-5C11D9C7ADFF}"/>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25471" xr:uid="{492310A1-379A-4577-B8BA-8900B926666E}"/>
    <cellStyle name="Normal 5 2 2 3 7 2 2 3" xfId="33917" xr:uid="{AED1D885-C4DE-45A6-B320-4099EC074070}"/>
    <cellStyle name="Normal 5 2 2 3 7 2 2 4" xfId="17030" xr:uid="{CB730F56-8C49-443F-AA14-9E942DB09E89}"/>
    <cellStyle name="Normal 5 2 2 3 7 2 3" xfId="21253" xr:uid="{18AA38BC-8670-42D7-BD35-67A48E417129}"/>
    <cellStyle name="Normal 5 2 2 3 7 2 4" xfId="29700" xr:uid="{5467761F-500A-4168-94F7-92E4136F4BA0}"/>
    <cellStyle name="Normal 5 2 2 3 7 2 5" xfId="12812" xr:uid="{BF052640-85DD-4621-AA81-42FF6AF8F53D}"/>
    <cellStyle name="Normal 5 2 2 3 7 3" xfId="6443" xr:uid="{00000000-0005-0000-0000-0000E2170000}"/>
    <cellStyle name="Normal 5 2 2 3 7 3 2" xfId="23326" xr:uid="{FECA3147-EB83-424D-B4C1-0EE21F0358E1}"/>
    <cellStyle name="Normal 5 2 2 3 7 3 3" xfId="31772" xr:uid="{251871FE-EC7C-4417-AB76-535AD4D00559}"/>
    <cellStyle name="Normal 5 2 2 3 7 3 4" xfId="14885" xr:uid="{848AF7B6-0343-4659-9464-3CEC865E5861}"/>
    <cellStyle name="Normal 5 2 2 3 7 4" xfId="19108" xr:uid="{A49EE7D3-C43E-48F1-99C9-F3671ADD593A}"/>
    <cellStyle name="Normal 5 2 2 3 7 5" xfId="27553" xr:uid="{974F914B-2598-40BC-87CA-1A8835EA9DB4}"/>
    <cellStyle name="Normal 5 2 2 3 7 6" xfId="10667" xr:uid="{050B1F96-5751-4DD8-B13F-AB7BF5ACAECE}"/>
    <cellStyle name="Normal 5 2 2 3 8" xfId="2572" xr:uid="{00000000-0005-0000-0000-0000E3170000}"/>
    <cellStyle name="Normal 5 2 2 3 8 2" xfId="6856" xr:uid="{00000000-0005-0000-0000-0000E4170000}"/>
    <cellStyle name="Normal 5 2 2 3 8 2 2" xfId="23739" xr:uid="{3F7A935C-BCA9-44EA-9942-5A07F564B19F}"/>
    <cellStyle name="Normal 5 2 2 3 8 2 3" xfId="32185" xr:uid="{7A338DD4-8160-40EF-AABA-CA9C456E7DB0}"/>
    <cellStyle name="Normal 5 2 2 3 8 2 4" xfId="15298" xr:uid="{669B6CBE-7DEF-494B-9D57-4403442BB500}"/>
    <cellStyle name="Normal 5 2 2 3 8 3" xfId="19521" xr:uid="{F520C044-7F09-4580-88F2-B88B175E99A5}"/>
    <cellStyle name="Normal 5 2 2 3 8 4" xfId="27966" xr:uid="{87092D0E-F3E5-47BC-B4C3-3158A6D6D5FB}"/>
    <cellStyle name="Normal 5 2 2 3 8 5" xfId="11080" xr:uid="{5A77A065-DDD9-4AC5-9CF9-92594259F6AD}"/>
    <cellStyle name="Normal 5 2 2 3 9" xfId="4791" xr:uid="{00000000-0005-0000-0000-0000E5170000}"/>
    <cellStyle name="Normal 5 2 2 3 9 2" xfId="21674" xr:uid="{8CD12A9C-3AE1-49C8-962B-033FCF2BC76B}"/>
    <cellStyle name="Normal 5 2 2 3 9 3" xfId="30120" xr:uid="{404F5CB8-55E6-463B-AB4B-E13BC35F748F}"/>
    <cellStyle name="Normal 5 2 2 3 9 4" xfId="13233" xr:uid="{B09869DE-F13E-470B-BCE1-350D0CE2762C}"/>
    <cellStyle name="Normal 5 2 2 4" xfId="421" xr:uid="{00000000-0005-0000-0000-0000E6170000}"/>
    <cellStyle name="Normal 5 2 2 4 10" xfId="25904" xr:uid="{1D899D05-FDC2-4305-BFA7-F6F433AE1514}"/>
    <cellStyle name="Normal 5 2 2 4 11" xfId="9019" xr:uid="{639A5232-3202-404F-BC7A-E146F9D9BAB7}"/>
    <cellStyle name="Normal 5 2 2 4 2" xfId="422" xr:uid="{00000000-0005-0000-0000-0000E7170000}"/>
    <cellStyle name="Normal 5 2 2 4 2 10" xfId="9020" xr:uid="{3D3B00BB-24FD-498B-8468-BDCF976401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24237" xr:uid="{F9242E79-DEE1-456B-ACCD-D2A98C690056}"/>
    <cellStyle name="Normal 5 2 2 4 2 2 2 2 3" xfId="32683" xr:uid="{D85AFB61-92C0-4359-A166-C9BE74935504}"/>
    <cellStyle name="Normal 5 2 2 4 2 2 2 2 4" xfId="15796" xr:uid="{2B0A773B-94F5-4AAB-BEB8-000DA7F032E7}"/>
    <cellStyle name="Normal 5 2 2 4 2 2 2 3" xfId="20019" xr:uid="{EE10AE35-678B-4B0C-9D3E-B29FF53A7527}"/>
    <cellStyle name="Normal 5 2 2 4 2 2 2 4" xfId="28466" xr:uid="{9F81FAD3-68F1-4021-8205-42CEF0AA36BD}"/>
    <cellStyle name="Normal 5 2 2 4 2 2 2 5" xfId="11578" xr:uid="{041DDF78-E797-4FD3-A305-932D14C18759}"/>
    <cellStyle name="Normal 5 2 2 4 2 2 3" xfId="5209" xr:uid="{00000000-0005-0000-0000-0000EB170000}"/>
    <cellStyle name="Normal 5 2 2 4 2 2 3 2" xfId="22092" xr:uid="{1A383808-1411-4ACF-A27D-D0BE9756ACD1}"/>
    <cellStyle name="Normal 5 2 2 4 2 2 3 3" xfId="30538" xr:uid="{E010A692-9450-4E27-B83C-D61B3A3930F9}"/>
    <cellStyle name="Normal 5 2 2 4 2 2 3 4" xfId="13651" xr:uid="{1A0DDAC9-0879-49E0-ACFA-B057117C4D0F}"/>
    <cellStyle name="Normal 5 2 2 4 2 2 4" xfId="17874" xr:uid="{F36AC31F-E57D-4A4F-B4D4-FF63E07D4E96}"/>
    <cellStyle name="Normal 5 2 2 4 2 2 5" xfId="26319" xr:uid="{CCAA09B9-8F64-4FA5-A398-20BC9CBB0D12}"/>
    <cellStyle name="Normal 5 2 2 4 2 2 6" xfId="9433" xr:uid="{1934CA86-CD08-4FBC-8C44-98D460FE7256}"/>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24650" xr:uid="{CCD67378-8BC9-4CF8-B56E-4FC13A5126A1}"/>
    <cellStyle name="Normal 5 2 2 4 2 3 2 2 3" xfId="33096" xr:uid="{BE81A6EA-B3C2-470C-9DE1-3B181A171BB1}"/>
    <cellStyle name="Normal 5 2 2 4 2 3 2 2 4" xfId="16209" xr:uid="{22A08221-C1D4-4F39-82B0-C7832A2DDC6F}"/>
    <cellStyle name="Normal 5 2 2 4 2 3 2 3" xfId="20432" xr:uid="{5E5D445B-3097-4E14-9575-162B84F18231}"/>
    <cellStyle name="Normal 5 2 2 4 2 3 2 4" xfId="28879" xr:uid="{1B2AED4F-4824-4619-93B3-061B3729943C}"/>
    <cellStyle name="Normal 5 2 2 4 2 3 2 5" xfId="11991" xr:uid="{104030CB-A2D9-430F-AD21-1967FB0DBF76}"/>
    <cellStyle name="Normal 5 2 2 4 2 3 3" xfId="5622" xr:uid="{00000000-0005-0000-0000-0000EF170000}"/>
    <cellStyle name="Normal 5 2 2 4 2 3 3 2" xfId="22505" xr:uid="{0488F28B-17B2-4923-BDA5-6E17FAFB45D0}"/>
    <cellStyle name="Normal 5 2 2 4 2 3 3 3" xfId="30951" xr:uid="{7866A547-E9E0-4B91-939A-81879507FFF6}"/>
    <cellStyle name="Normal 5 2 2 4 2 3 3 4" xfId="14064" xr:uid="{CFA9021C-7560-4AE1-A649-EF8194C29060}"/>
    <cellStyle name="Normal 5 2 2 4 2 3 4" xfId="18287" xr:uid="{D27972CB-B299-4C41-BB83-BCE69B07BED9}"/>
    <cellStyle name="Normal 5 2 2 4 2 3 5" xfId="26732" xr:uid="{109A78D1-FDBE-422A-83A6-5752031132B5}"/>
    <cellStyle name="Normal 5 2 2 4 2 3 6" xfId="9846" xr:uid="{0F9C1FB3-2AE5-4EE5-A0D9-5C4AF34B30B6}"/>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25063" xr:uid="{98104F50-C615-4090-B119-A1759FA89308}"/>
    <cellStyle name="Normal 5 2 2 4 2 4 2 2 3" xfId="33509" xr:uid="{B0BFD380-CDE1-4701-A936-9126EFA804F1}"/>
    <cellStyle name="Normal 5 2 2 4 2 4 2 2 4" xfId="16622" xr:uid="{69B616AD-AA69-4716-989C-70B089C39C85}"/>
    <cellStyle name="Normal 5 2 2 4 2 4 2 3" xfId="20845" xr:uid="{27FD8D43-A5F0-42EE-B285-4CEB51634AFB}"/>
    <cellStyle name="Normal 5 2 2 4 2 4 2 4" xfId="29292" xr:uid="{17B73C1B-4458-44A3-AB25-6C36176F58D9}"/>
    <cellStyle name="Normal 5 2 2 4 2 4 2 5" xfId="12404" xr:uid="{25B66B7F-4CEA-4B3D-A15D-AC8A772D0BA8}"/>
    <cellStyle name="Normal 5 2 2 4 2 4 3" xfId="6035" xr:uid="{00000000-0005-0000-0000-0000F3170000}"/>
    <cellStyle name="Normal 5 2 2 4 2 4 3 2" xfId="22918" xr:uid="{E1EABD29-F186-49F0-A15E-21681914C64B}"/>
    <cellStyle name="Normal 5 2 2 4 2 4 3 3" xfId="31364" xr:uid="{65A62194-75CF-4FEC-8F78-F120018F47B6}"/>
    <cellStyle name="Normal 5 2 2 4 2 4 3 4" xfId="14477" xr:uid="{BA80C02B-4E7B-4ED8-8919-A64AFE2E39BC}"/>
    <cellStyle name="Normal 5 2 2 4 2 4 4" xfId="18700" xr:uid="{6273EC05-8A09-457D-A41A-8093D191CD28}"/>
    <cellStyle name="Normal 5 2 2 4 2 4 5" xfId="27145" xr:uid="{E0BC744D-EEE5-42AE-B2B4-820B3AD73EC3}"/>
    <cellStyle name="Normal 5 2 2 4 2 4 6" xfId="10259" xr:uid="{3A8773A6-A2D2-49B0-A347-1A2DDF7FADF8}"/>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25476" xr:uid="{D5D3F768-F2E3-4B83-A1D0-AE3DF9769604}"/>
    <cellStyle name="Normal 5 2 2 4 2 5 2 2 3" xfId="33922" xr:uid="{6B5C8946-85F7-4826-B565-F75E70641266}"/>
    <cellStyle name="Normal 5 2 2 4 2 5 2 2 4" xfId="17035" xr:uid="{3B6826AF-B1A2-4DE1-9D6A-06223B48BBEA}"/>
    <cellStyle name="Normal 5 2 2 4 2 5 2 3" xfId="21258" xr:uid="{CCDB3B1C-E8AA-4B89-824C-CFE4F6F8CB53}"/>
    <cellStyle name="Normal 5 2 2 4 2 5 2 4" xfId="29705" xr:uid="{AD5D2CAA-70AD-46BE-B6E0-2643C32BF2AE}"/>
    <cellStyle name="Normal 5 2 2 4 2 5 2 5" xfId="12817" xr:uid="{A2D3ADF9-D9AE-4A03-8A87-4B37DD40A98F}"/>
    <cellStyle name="Normal 5 2 2 4 2 5 3" xfId="6448" xr:uid="{00000000-0005-0000-0000-0000F7170000}"/>
    <cellStyle name="Normal 5 2 2 4 2 5 3 2" xfId="23331" xr:uid="{1AA26DD0-7DDE-46B5-A28B-AB56049A38F0}"/>
    <cellStyle name="Normal 5 2 2 4 2 5 3 3" xfId="31777" xr:uid="{04882AA1-E41A-48F9-A070-64A052DC5C29}"/>
    <cellStyle name="Normal 5 2 2 4 2 5 3 4" xfId="14890" xr:uid="{862EE50D-6743-461A-AB7E-BF5165B6CD06}"/>
    <cellStyle name="Normal 5 2 2 4 2 5 4" xfId="19113" xr:uid="{FC883341-CF4C-4069-BDA6-6B4A573191D9}"/>
    <cellStyle name="Normal 5 2 2 4 2 5 5" xfId="27558" xr:uid="{E9D17396-EE49-4D00-8E03-DC7144258B23}"/>
    <cellStyle name="Normal 5 2 2 4 2 5 6" xfId="10672" xr:uid="{04A95873-95C9-425A-8A67-93FA55F62B8F}"/>
    <cellStyle name="Normal 5 2 2 4 2 6" xfId="2577" xr:uid="{00000000-0005-0000-0000-0000F8170000}"/>
    <cellStyle name="Normal 5 2 2 4 2 6 2" xfId="6861" xr:uid="{00000000-0005-0000-0000-0000F9170000}"/>
    <cellStyle name="Normal 5 2 2 4 2 6 2 2" xfId="23744" xr:uid="{9700183E-90E7-48BB-AE28-4653D41063B2}"/>
    <cellStyle name="Normal 5 2 2 4 2 6 2 3" xfId="32190" xr:uid="{9B7BE22D-E349-4D60-A85A-0DFEC7040540}"/>
    <cellStyle name="Normal 5 2 2 4 2 6 2 4" xfId="15303" xr:uid="{2E30879B-7133-4CD7-A783-E0282A812D76}"/>
    <cellStyle name="Normal 5 2 2 4 2 6 3" xfId="19526" xr:uid="{54A5E6D0-DC9E-4E56-92D3-CF91671FF78F}"/>
    <cellStyle name="Normal 5 2 2 4 2 6 4" xfId="27971" xr:uid="{B83FCA36-3C1E-435E-A782-16601FA707D7}"/>
    <cellStyle name="Normal 5 2 2 4 2 6 5" xfId="11085" xr:uid="{4E75CF4B-3BE7-4C3C-8D64-F0CE4B2F8D61}"/>
    <cellStyle name="Normal 5 2 2 4 2 7" xfId="4796" xr:uid="{00000000-0005-0000-0000-0000FA170000}"/>
    <cellStyle name="Normal 5 2 2 4 2 7 2" xfId="21679" xr:uid="{6C22D694-8027-4271-9A23-03C90977D0EF}"/>
    <cellStyle name="Normal 5 2 2 4 2 7 3" xfId="30125" xr:uid="{EF81A101-1EE9-42A7-988B-822402F86778}"/>
    <cellStyle name="Normal 5 2 2 4 2 7 4" xfId="13238" xr:uid="{C1BEAB0D-DB96-4885-852E-6AFEF68A1618}"/>
    <cellStyle name="Normal 5 2 2 4 2 8" xfId="17461" xr:uid="{B37BEB80-EBDC-4C6F-89E2-7A94B525969A}"/>
    <cellStyle name="Normal 5 2 2 4 2 9" xfId="25905" xr:uid="{A5FBC589-A1D1-4D92-9DF2-8E92CBBC6845}"/>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24236" xr:uid="{93BCBAF7-7590-470E-8019-7F6E5ADE16BA}"/>
    <cellStyle name="Normal 5 2 2 4 3 2 2 3" xfId="32682" xr:uid="{67B4ED12-E226-423E-82EA-6C7421A6592E}"/>
    <cellStyle name="Normal 5 2 2 4 3 2 2 4" xfId="15795" xr:uid="{E54AB204-7459-4B50-BBA3-24F1565B7CF8}"/>
    <cellStyle name="Normal 5 2 2 4 3 2 3" xfId="20018" xr:uid="{20C14D4F-4CF0-4C08-AB3F-A0BFA323C623}"/>
    <cellStyle name="Normal 5 2 2 4 3 2 4" xfId="28465" xr:uid="{735D79C2-A543-481F-9C76-CBD66F5BE586}"/>
    <cellStyle name="Normal 5 2 2 4 3 2 5" xfId="11577" xr:uid="{4E8BD019-22B8-4FA4-863D-A67A64DDF72F}"/>
    <cellStyle name="Normal 5 2 2 4 3 3" xfId="5208" xr:uid="{00000000-0005-0000-0000-0000FE170000}"/>
    <cellStyle name="Normal 5 2 2 4 3 3 2" xfId="22091" xr:uid="{CE228A74-A1E5-44D7-AB4E-F0E7BDBA32E5}"/>
    <cellStyle name="Normal 5 2 2 4 3 3 3" xfId="30537" xr:uid="{F02B5140-91FE-4408-A5EF-7BF09222917D}"/>
    <cellStyle name="Normal 5 2 2 4 3 3 4" xfId="13650" xr:uid="{4CFC7E90-5B05-48A6-9281-31466C235262}"/>
    <cellStyle name="Normal 5 2 2 4 3 4" xfId="17873" xr:uid="{A1C86117-5D08-49E2-9E56-80E4144F534B}"/>
    <cellStyle name="Normal 5 2 2 4 3 5" xfId="26318" xr:uid="{E345DD5B-DE18-451B-80C8-07FEB923BCFF}"/>
    <cellStyle name="Normal 5 2 2 4 3 6" xfId="9432" xr:uid="{CF7A2738-55AB-4449-A584-F83172C5A10F}"/>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24649" xr:uid="{A58B1897-D880-4A01-B61D-C21850B42B41}"/>
    <cellStyle name="Normal 5 2 2 4 4 2 2 3" xfId="33095" xr:uid="{E1D4B3FE-A39F-4F29-8878-C19D940DAB88}"/>
    <cellStyle name="Normal 5 2 2 4 4 2 2 4" xfId="16208" xr:uid="{33192856-A489-4B26-A005-41B10D26A1BC}"/>
    <cellStyle name="Normal 5 2 2 4 4 2 3" xfId="20431" xr:uid="{59F65AF2-BB40-4BC4-B986-02E967B7A182}"/>
    <cellStyle name="Normal 5 2 2 4 4 2 4" xfId="28878" xr:uid="{FAE8331E-96E3-4673-B3A9-F48DADB2C10F}"/>
    <cellStyle name="Normal 5 2 2 4 4 2 5" xfId="11990" xr:uid="{FC690AE1-F5AD-4314-83CF-BC00B33EACD5}"/>
    <cellStyle name="Normal 5 2 2 4 4 3" xfId="5621" xr:uid="{00000000-0005-0000-0000-000002180000}"/>
    <cellStyle name="Normal 5 2 2 4 4 3 2" xfId="22504" xr:uid="{373717CE-3174-49E7-A522-5EC3AC1A3265}"/>
    <cellStyle name="Normal 5 2 2 4 4 3 3" xfId="30950" xr:uid="{BF59444B-4ADC-49A0-8375-19FCC0AF5E9C}"/>
    <cellStyle name="Normal 5 2 2 4 4 3 4" xfId="14063" xr:uid="{4DB339F3-5191-40C4-868A-6918B0799B35}"/>
    <cellStyle name="Normal 5 2 2 4 4 4" xfId="18286" xr:uid="{D38917A8-2F73-4A6E-B754-0D7B3242158C}"/>
    <cellStyle name="Normal 5 2 2 4 4 5" xfId="26731" xr:uid="{8F31A53C-193A-42DE-8797-D9AEECCCF1B3}"/>
    <cellStyle name="Normal 5 2 2 4 4 6" xfId="9845" xr:uid="{E0EE89C5-5C4C-430F-A365-497D6AA3F48F}"/>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25062" xr:uid="{FA4BC6EF-5E00-49B6-953E-39F9957FD682}"/>
    <cellStyle name="Normal 5 2 2 4 5 2 2 3" xfId="33508" xr:uid="{D86E680B-AD7C-44FD-B978-9C96AF8FC5ED}"/>
    <cellStyle name="Normal 5 2 2 4 5 2 2 4" xfId="16621" xr:uid="{36DDBD61-FB7C-4C80-B853-02CCDD565844}"/>
    <cellStyle name="Normal 5 2 2 4 5 2 3" xfId="20844" xr:uid="{6E60A191-7BC6-42AC-8007-A6B725A69A0F}"/>
    <cellStyle name="Normal 5 2 2 4 5 2 4" xfId="29291" xr:uid="{9E8F9EC4-60F8-4184-A351-0367A4BF4042}"/>
    <cellStyle name="Normal 5 2 2 4 5 2 5" xfId="12403" xr:uid="{283078EF-D16A-4B94-93F9-CF9146BF1BBD}"/>
    <cellStyle name="Normal 5 2 2 4 5 3" xfId="6034" xr:uid="{00000000-0005-0000-0000-000006180000}"/>
    <cellStyle name="Normal 5 2 2 4 5 3 2" xfId="22917" xr:uid="{55036B7F-59AA-4014-8B0E-FA6AA632DD78}"/>
    <cellStyle name="Normal 5 2 2 4 5 3 3" xfId="31363" xr:uid="{2AEEB260-555D-44BB-83A0-5BA7D60F4EB5}"/>
    <cellStyle name="Normal 5 2 2 4 5 3 4" xfId="14476" xr:uid="{5274D4CF-6F52-4587-A905-4C954F9B2469}"/>
    <cellStyle name="Normal 5 2 2 4 5 4" xfId="18699" xr:uid="{7654DCF3-0664-47A0-834A-DB282524AB07}"/>
    <cellStyle name="Normal 5 2 2 4 5 5" xfId="27144" xr:uid="{4EEC330D-376D-4258-803B-C6754C532D4F}"/>
    <cellStyle name="Normal 5 2 2 4 5 6" xfId="10258" xr:uid="{D9043170-F268-4420-A9F2-06D77DF21E1E}"/>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25475" xr:uid="{7F7B4B08-610E-4E08-8A7C-1A6951234706}"/>
    <cellStyle name="Normal 5 2 2 4 6 2 2 3" xfId="33921" xr:uid="{58B1066B-E9D1-4C31-B951-C88007595FE8}"/>
    <cellStyle name="Normal 5 2 2 4 6 2 2 4" xfId="17034" xr:uid="{E6E108A8-7D35-4410-B597-2B67E30729E5}"/>
    <cellStyle name="Normal 5 2 2 4 6 2 3" xfId="21257" xr:uid="{56F47B9B-C877-43A3-AA59-4FCD2ED3F098}"/>
    <cellStyle name="Normal 5 2 2 4 6 2 4" xfId="29704" xr:uid="{3B61B76C-C477-46D2-9FD8-7DE414B5B022}"/>
    <cellStyle name="Normal 5 2 2 4 6 2 5" xfId="12816" xr:uid="{67A9DC91-C8A4-41E1-9E18-05CF090FD7D9}"/>
    <cellStyle name="Normal 5 2 2 4 6 3" xfId="6447" xr:uid="{00000000-0005-0000-0000-00000A180000}"/>
    <cellStyle name="Normal 5 2 2 4 6 3 2" xfId="23330" xr:uid="{2C82B325-1BB9-4355-9EE2-498C42492D63}"/>
    <cellStyle name="Normal 5 2 2 4 6 3 3" xfId="31776" xr:uid="{A96689AC-D1C6-42A6-9322-80F1F7BCB379}"/>
    <cellStyle name="Normal 5 2 2 4 6 3 4" xfId="14889" xr:uid="{5255A315-858F-4C26-9B3E-14773C96FBE9}"/>
    <cellStyle name="Normal 5 2 2 4 6 4" xfId="19112" xr:uid="{4F65FF7F-89C8-431C-A643-A040ABE3FE03}"/>
    <cellStyle name="Normal 5 2 2 4 6 5" xfId="27557" xr:uid="{D9AA411F-E715-4358-83CF-EF8471A4FE02}"/>
    <cellStyle name="Normal 5 2 2 4 6 6" xfId="10671" xr:uid="{48860888-798E-4528-B2D1-0137315C06CD}"/>
    <cellStyle name="Normal 5 2 2 4 7" xfId="2576" xr:uid="{00000000-0005-0000-0000-00000B180000}"/>
    <cellStyle name="Normal 5 2 2 4 7 2" xfId="6860" xr:uid="{00000000-0005-0000-0000-00000C180000}"/>
    <cellStyle name="Normal 5 2 2 4 7 2 2" xfId="23743" xr:uid="{ECF7F71A-E587-4B63-A752-684430B964BE}"/>
    <cellStyle name="Normal 5 2 2 4 7 2 3" xfId="32189" xr:uid="{C7A409E3-5C5E-4F8C-A3E7-1FB5325D904E}"/>
    <cellStyle name="Normal 5 2 2 4 7 2 4" xfId="15302" xr:uid="{00417BF0-90FE-45FE-98AC-69C15A25F672}"/>
    <cellStyle name="Normal 5 2 2 4 7 3" xfId="19525" xr:uid="{7399223C-DB32-4D00-A6CB-C3C2B4314602}"/>
    <cellStyle name="Normal 5 2 2 4 7 4" xfId="27970" xr:uid="{14380B14-7B03-4E08-A61C-E030BD0ADE35}"/>
    <cellStyle name="Normal 5 2 2 4 7 5" xfId="11084" xr:uid="{29815535-9D71-4111-9ACB-4D47C70F7E1A}"/>
    <cellStyle name="Normal 5 2 2 4 8" xfId="4795" xr:uid="{00000000-0005-0000-0000-00000D180000}"/>
    <cellStyle name="Normal 5 2 2 4 8 2" xfId="21678" xr:uid="{27BBDDC6-6F22-4AA7-B500-0317F873684D}"/>
    <cellStyle name="Normal 5 2 2 4 8 3" xfId="30124" xr:uid="{4FC3F4FA-C56C-4231-B298-3FC0AF5330A5}"/>
    <cellStyle name="Normal 5 2 2 4 8 4" xfId="13237" xr:uid="{C834AFBF-BA33-4BC7-BF89-6C377ACAF55E}"/>
    <cellStyle name="Normal 5 2 2 4 9" xfId="17460" xr:uid="{8055AD9B-969B-431D-8077-1771CA8199C1}"/>
    <cellStyle name="Normal 5 2 2 5" xfId="423" xr:uid="{00000000-0005-0000-0000-00000E180000}"/>
    <cellStyle name="Normal 5 2 2 5 10" xfId="9021" xr:uid="{CA607DA1-B127-4AB2-9E18-1C63BDA72284}"/>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24238" xr:uid="{EFA26A94-255C-4EBA-AC1E-C3280CB54CAD}"/>
    <cellStyle name="Normal 5 2 2 5 2 2 2 3" xfId="32684" xr:uid="{FAE490AF-66A7-4BB7-BADE-63006C9915F2}"/>
    <cellStyle name="Normal 5 2 2 5 2 2 2 4" xfId="15797" xr:uid="{2AFF9BC6-FD2A-4B3D-BF74-3A163F1CD265}"/>
    <cellStyle name="Normal 5 2 2 5 2 2 3" xfId="20020" xr:uid="{9A10030A-1C7C-460C-8E0A-1F6D6847D9E8}"/>
    <cellStyle name="Normal 5 2 2 5 2 2 4" xfId="28467" xr:uid="{11034ED3-6F16-45A2-BD3D-620674D5430C}"/>
    <cellStyle name="Normal 5 2 2 5 2 2 5" xfId="11579" xr:uid="{10DDE906-2600-4518-AFF5-C49AA8F83044}"/>
    <cellStyle name="Normal 5 2 2 5 2 3" xfId="5210" xr:uid="{00000000-0005-0000-0000-000012180000}"/>
    <cellStyle name="Normal 5 2 2 5 2 3 2" xfId="22093" xr:uid="{58AEEC95-4975-4B1F-9AA3-E1F303A9540E}"/>
    <cellStyle name="Normal 5 2 2 5 2 3 3" xfId="30539" xr:uid="{24AAD481-E016-4D07-AE8C-107DB6CB213D}"/>
    <cellStyle name="Normal 5 2 2 5 2 3 4" xfId="13652" xr:uid="{48CEA580-2C15-446B-B272-72DAA7C3311A}"/>
    <cellStyle name="Normal 5 2 2 5 2 4" xfId="17875" xr:uid="{DB2D5C80-418E-4C8A-84C9-DD4F3C9BBB4E}"/>
    <cellStyle name="Normal 5 2 2 5 2 5" xfId="26320" xr:uid="{7229D525-5575-4E23-BBAD-B716604FF8AB}"/>
    <cellStyle name="Normal 5 2 2 5 2 6" xfId="9434" xr:uid="{ABC67024-BBFA-4258-B9B0-E56E60FBF75B}"/>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24651" xr:uid="{F4D1A7F3-790F-4026-A13D-6043CB40FA80}"/>
    <cellStyle name="Normal 5 2 2 5 3 2 2 3" xfId="33097" xr:uid="{93501F9A-CEE6-40F0-992E-0CD1654B4F90}"/>
    <cellStyle name="Normal 5 2 2 5 3 2 2 4" xfId="16210" xr:uid="{1123905D-2F35-439B-A846-A8707B398409}"/>
    <cellStyle name="Normal 5 2 2 5 3 2 3" xfId="20433" xr:uid="{548109F5-AE93-4CB6-A662-F0D761443CD4}"/>
    <cellStyle name="Normal 5 2 2 5 3 2 4" xfId="28880" xr:uid="{278A0762-995F-465C-AB2E-86D34EC291FF}"/>
    <cellStyle name="Normal 5 2 2 5 3 2 5" xfId="11992" xr:uid="{BA7928AE-DA55-462B-A0ED-D160B6F010AC}"/>
    <cellStyle name="Normal 5 2 2 5 3 3" xfId="5623" xr:uid="{00000000-0005-0000-0000-000016180000}"/>
    <cellStyle name="Normal 5 2 2 5 3 3 2" xfId="22506" xr:uid="{6EFDECA6-1396-486E-84BC-13E176322C84}"/>
    <cellStyle name="Normal 5 2 2 5 3 3 3" xfId="30952" xr:uid="{92D42862-057C-4262-99C3-0356E98A05E3}"/>
    <cellStyle name="Normal 5 2 2 5 3 3 4" xfId="14065" xr:uid="{52EF8960-9077-4C05-9314-D4C386C464B1}"/>
    <cellStyle name="Normal 5 2 2 5 3 4" xfId="18288" xr:uid="{359B1430-5C51-4F6F-8B4D-03F609B2E14B}"/>
    <cellStyle name="Normal 5 2 2 5 3 5" xfId="26733" xr:uid="{03E66D7E-2EB9-4D43-8B7F-A65599E37821}"/>
    <cellStyle name="Normal 5 2 2 5 3 6" xfId="9847" xr:uid="{A98EF9F6-3482-45AB-A877-AB169428806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25064" xr:uid="{02006134-1040-4A10-8706-B1446277C088}"/>
    <cellStyle name="Normal 5 2 2 5 4 2 2 3" xfId="33510" xr:uid="{0185D092-DFC3-43E3-9A7A-B90306934CB6}"/>
    <cellStyle name="Normal 5 2 2 5 4 2 2 4" xfId="16623" xr:uid="{462C499E-2FE3-4D1F-94A3-7868E192D141}"/>
    <cellStyle name="Normal 5 2 2 5 4 2 3" xfId="20846" xr:uid="{F4074506-1628-4A2D-9929-63C871D5D1EF}"/>
    <cellStyle name="Normal 5 2 2 5 4 2 4" xfId="29293" xr:uid="{E81C0A6C-269E-47E3-A149-6E51F8E44745}"/>
    <cellStyle name="Normal 5 2 2 5 4 2 5" xfId="12405" xr:uid="{7C84F558-F576-44E5-AF87-C54ED6F638E1}"/>
    <cellStyle name="Normal 5 2 2 5 4 3" xfId="6036" xr:uid="{00000000-0005-0000-0000-00001A180000}"/>
    <cellStyle name="Normal 5 2 2 5 4 3 2" xfId="22919" xr:uid="{524F29CE-EF4F-47BB-8A6D-325B0BEE7477}"/>
    <cellStyle name="Normal 5 2 2 5 4 3 3" xfId="31365" xr:uid="{D144F020-AFFC-4128-BD0B-A86C479B7F9F}"/>
    <cellStyle name="Normal 5 2 2 5 4 3 4" xfId="14478" xr:uid="{2E0C7369-ECE9-42D4-AB25-080AD15D8E6A}"/>
    <cellStyle name="Normal 5 2 2 5 4 4" xfId="18701" xr:uid="{55166B02-2CA4-428F-B031-86F6AF49E45D}"/>
    <cellStyle name="Normal 5 2 2 5 4 5" xfId="27146" xr:uid="{7C6EE0A8-23A0-48D7-B1F9-DFB326C9B499}"/>
    <cellStyle name="Normal 5 2 2 5 4 6" xfId="10260" xr:uid="{E1EE64F0-4375-467D-936A-EAB2DD6AC9D3}"/>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25477" xr:uid="{7A371631-CEA2-4E89-B02A-C9A315D6E0F6}"/>
    <cellStyle name="Normal 5 2 2 5 5 2 2 3" xfId="33923" xr:uid="{597E9179-9E2A-47B0-8311-E090AEAF66BE}"/>
    <cellStyle name="Normal 5 2 2 5 5 2 2 4" xfId="17036" xr:uid="{1F1FD8BD-55B2-429F-BDDF-B4867D5CD731}"/>
    <cellStyle name="Normal 5 2 2 5 5 2 3" xfId="21259" xr:uid="{8D716AF9-D947-4692-90B3-13D611A6094D}"/>
    <cellStyle name="Normal 5 2 2 5 5 2 4" xfId="29706" xr:uid="{1BB9FE0B-B383-4F4D-BFB0-B31A1E280282}"/>
    <cellStyle name="Normal 5 2 2 5 5 2 5" xfId="12818" xr:uid="{E6199D2F-D8EF-4081-84AE-599CE986E34C}"/>
    <cellStyle name="Normal 5 2 2 5 5 3" xfId="6449" xr:uid="{00000000-0005-0000-0000-00001E180000}"/>
    <cellStyle name="Normal 5 2 2 5 5 3 2" xfId="23332" xr:uid="{D4C6D46E-E3DB-477F-BD8F-8A34D4E911A0}"/>
    <cellStyle name="Normal 5 2 2 5 5 3 3" xfId="31778" xr:uid="{FE8E1B08-32DF-4566-B8C5-2240B97262E0}"/>
    <cellStyle name="Normal 5 2 2 5 5 3 4" xfId="14891" xr:uid="{B1B45647-E7E9-43B6-B53D-383D38FFF1D8}"/>
    <cellStyle name="Normal 5 2 2 5 5 4" xfId="19114" xr:uid="{FDCAA4CE-8CC5-4F8C-A313-C2B21AD124CD}"/>
    <cellStyle name="Normal 5 2 2 5 5 5" xfId="27559" xr:uid="{2110F23A-1933-4004-826C-5F4FF94FF9E8}"/>
    <cellStyle name="Normal 5 2 2 5 5 6" xfId="10673" xr:uid="{AFA33E3E-F511-4EAE-9854-0E8D6EF95FDB}"/>
    <cellStyle name="Normal 5 2 2 5 6" xfId="2578" xr:uid="{00000000-0005-0000-0000-00001F180000}"/>
    <cellStyle name="Normal 5 2 2 5 6 2" xfId="6862" xr:uid="{00000000-0005-0000-0000-000020180000}"/>
    <cellStyle name="Normal 5 2 2 5 6 2 2" xfId="23745" xr:uid="{5749E7D2-2A95-4C2E-9457-34FD1432894E}"/>
    <cellStyle name="Normal 5 2 2 5 6 2 3" xfId="32191" xr:uid="{CFE48579-AD3C-4522-82CF-340B8505DC1B}"/>
    <cellStyle name="Normal 5 2 2 5 6 2 4" xfId="15304" xr:uid="{D0A666FE-4AFA-4336-A2E4-F650635EBCBD}"/>
    <cellStyle name="Normal 5 2 2 5 6 3" xfId="19527" xr:uid="{1E7D8F03-DD95-4F2E-A85D-06B216EB45C0}"/>
    <cellStyle name="Normal 5 2 2 5 6 4" xfId="27972" xr:uid="{58DCD030-510D-4E4B-9C03-B2986E8F6585}"/>
    <cellStyle name="Normal 5 2 2 5 6 5" xfId="11086" xr:uid="{721167A6-E73A-477A-86D1-4CA51057F615}"/>
    <cellStyle name="Normal 5 2 2 5 7" xfId="4797" xr:uid="{00000000-0005-0000-0000-000021180000}"/>
    <cellStyle name="Normal 5 2 2 5 7 2" xfId="21680" xr:uid="{8675EF5E-0A1E-46D4-9722-4B1A91F6CC29}"/>
    <cellStyle name="Normal 5 2 2 5 7 3" xfId="30126" xr:uid="{22310A1D-73A9-4FF4-8CC1-4FB9DECFAA75}"/>
    <cellStyle name="Normal 5 2 2 5 7 4" xfId="13239" xr:uid="{5E6CBF8B-DF9F-415A-8712-C22874581EE7}"/>
    <cellStyle name="Normal 5 2 2 5 8" xfId="17462" xr:uid="{F3CE58C1-4D43-4D23-A6A5-31E13892BCA7}"/>
    <cellStyle name="Normal 5 2 2 5 9" xfId="25906" xr:uid="{80545387-89F3-4407-B962-02A0B6915CE6}"/>
    <cellStyle name="Normal 5 2 2 6" xfId="882" xr:uid="{00000000-0005-0000-0000-000022180000}"/>
    <cellStyle name="Normal 5 2 2 6 2" xfId="3117" xr:uid="{00000000-0005-0000-0000-000023180000}"/>
    <cellStyle name="Normal 5 2 2 6 2 2" xfId="7340" xr:uid="{00000000-0005-0000-0000-000024180000}"/>
    <cellStyle name="Normal 5 2 2 6 2 2 2" xfId="24223" xr:uid="{C3607E8D-4439-4B36-934D-ABEE4DDDFCAA}"/>
    <cellStyle name="Normal 5 2 2 6 2 2 3" xfId="32669" xr:uid="{C88240C5-1CC7-4415-B44E-4A529A25D203}"/>
    <cellStyle name="Normal 5 2 2 6 2 2 4" xfId="15782" xr:uid="{11CECF78-4B06-4C78-B5E4-22A1F5D7B716}"/>
    <cellStyle name="Normal 5 2 2 6 2 3" xfId="20005" xr:uid="{B3DFE937-DE91-40FB-A690-05B85691EAC5}"/>
    <cellStyle name="Normal 5 2 2 6 2 4" xfId="28452" xr:uid="{F91865DA-EE24-41FC-8149-4A7FD60F200E}"/>
    <cellStyle name="Normal 5 2 2 6 2 5" xfId="11564" xr:uid="{75C4DA77-6663-4673-B87B-C472398E9F44}"/>
    <cellStyle name="Normal 5 2 2 6 3" xfId="5195" xr:uid="{00000000-0005-0000-0000-000025180000}"/>
    <cellStyle name="Normal 5 2 2 6 3 2" xfId="22078" xr:uid="{D83FC08D-87B0-484B-B7FD-8C2359109751}"/>
    <cellStyle name="Normal 5 2 2 6 3 3" xfId="30524" xr:uid="{BA4B78F0-71C5-4BA1-A1F0-B34738C16B3E}"/>
    <cellStyle name="Normal 5 2 2 6 3 4" xfId="13637" xr:uid="{19D4BCF5-D6CC-4E97-BBE9-C7F93E9D0233}"/>
    <cellStyle name="Normal 5 2 2 6 4" xfId="17860" xr:uid="{15F52F44-4CAC-4D12-B13E-2C33FE395D9C}"/>
    <cellStyle name="Normal 5 2 2 6 5" xfId="26305" xr:uid="{3748C9F0-15D6-4722-A02E-30DDE83F3B25}"/>
    <cellStyle name="Normal 5 2 2 6 6" xfId="9419" xr:uid="{543B1414-618D-4464-8675-F56AA3690A78}"/>
    <cellStyle name="Normal 5 2 2 7" xfId="1300" xr:uid="{00000000-0005-0000-0000-000026180000}"/>
    <cellStyle name="Normal 5 2 2 7 2" xfId="3530" xr:uid="{00000000-0005-0000-0000-000027180000}"/>
    <cellStyle name="Normal 5 2 2 7 2 2" xfId="7753" xr:uid="{00000000-0005-0000-0000-000028180000}"/>
    <cellStyle name="Normal 5 2 2 7 2 2 2" xfId="24636" xr:uid="{79CB1003-7386-465A-9344-E64EFD45B17D}"/>
    <cellStyle name="Normal 5 2 2 7 2 2 3" xfId="33082" xr:uid="{86627A03-2B5E-46B4-A20F-F8341AE627E5}"/>
    <cellStyle name="Normal 5 2 2 7 2 2 4" xfId="16195" xr:uid="{9D680197-9003-4411-8AF4-1C2169F6680F}"/>
    <cellStyle name="Normal 5 2 2 7 2 3" xfId="20418" xr:uid="{0175837E-CC85-4486-B0CF-6BA6EAAE8AD0}"/>
    <cellStyle name="Normal 5 2 2 7 2 4" xfId="28865" xr:uid="{62B01B2A-E711-4154-9DC5-EC3145F7A42B}"/>
    <cellStyle name="Normal 5 2 2 7 2 5" xfId="11977" xr:uid="{A3A771A9-8BEC-4531-8D24-8C61544A7788}"/>
    <cellStyle name="Normal 5 2 2 7 3" xfId="5608" xr:uid="{00000000-0005-0000-0000-000029180000}"/>
    <cellStyle name="Normal 5 2 2 7 3 2" xfId="22491" xr:uid="{AA0E7E7A-8D40-4660-ABB7-CAE91D7D5809}"/>
    <cellStyle name="Normal 5 2 2 7 3 3" xfId="30937" xr:uid="{1CB9B227-04CF-4FE6-B6EF-A5581ACCD5F7}"/>
    <cellStyle name="Normal 5 2 2 7 3 4" xfId="14050" xr:uid="{2D5E4654-EC41-44A0-B879-77D3BB81CA84}"/>
    <cellStyle name="Normal 5 2 2 7 4" xfId="18273" xr:uid="{115658CE-51E2-46DB-A6E0-23C6A863B608}"/>
    <cellStyle name="Normal 5 2 2 7 5" xfId="26718" xr:uid="{D1E1D91D-424D-4DFD-B168-977C6C6CF07E}"/>
    <cellStyle name="Normal 5 2 2 7 6" xfId="9832" xr:uid="{CD0CF76D-E921-4B71-9875-A34408B69714}"/>
    <cellStyle name="Normal 5 2 2 8" xfId="1713" xr:uid="{00000000-0005-0000-0000-00002A180000}"/>
    <cellStyle name="Normal 5 2 2 8 2" xfId="3943" xr:uid="{00000000-0005-0000-0000-00002B180000}"/>
    <cellStyle name="Normal 5 2 2 8 2 2" xfId="8166" xr:uid="{00000000-0005-0000-0000-00002C180000}"/>
    <cellStyle name="Normal 5 2 2 8 2 2 2" xfId="25049" xr:uid="{F241882A-7F47-4832-BEAC-4342F66F1C26}"/>
    <cellStyle name="Normal 5 2 2 8 2 2 3" xfId="33495" xr:uid="{A03EDBAB-907E-4567-B006-E8205A1A7D90}"/>
    <cellStyle name="Normal 5 2 2 8 2 2 4" xfId="16608" xr:uid="{7C893612-F874-4A3A-992F-79D66629C6DB}"/>
    <cellStyle name="Normal 5 2 2 8 2 3" xfId="20831" xr:uid="{86ADEBA1-E9C7-471D-958E-19034B3A325B}"/>
    <cellStyle name="Normal 5 2 2 8 2 4" xfId="29278" xr:uid="{59D566D5-0142-420C-A981-ACD37B9D71D2}"/>
    <cellStyle name="Normal 5 2 2 8 2 5" xfId="12390" xr:uid="{3ED366F3-C3F3-4869-9798-575232697A09}"/>
    <cellStyle name="Normal 5 2 2 8 3" xfId="6021" xr:uid="{00000000-0005-0000-0000-00002D180000}"/>
    <cellStyle name="Normal 5 2 2 8 3 2" xfId="22904" xr:uid="{4FB654C8-F484-4E8D-82DB-4457B013C738}"/>
    <cellStyle name="Normal 5 2 2 8 3 3" xfId="31350" xr:uid="{B31D1F5C-0F3A-44F3-9918-0128AB94541C}"/>
    <cellStyle name="Normal 5 2 2 8 3 4" xfId="14463" xr:uid="{4A69B22A-3E32-40E6-8187-76F710F9CE74}"/>
    <cellStyle name="Normal 5 2 2 8 4" xfId="18686" xr:uid="{5F5AD4C0-5BC7-4F16-9CD9-08736482499D}"/>
    <cellStyle name="Normal 5 2 2 8 5" xfId="27131" xr:uid="{7CD6158E-366C-47DB-A18F-BD4F914E786B}"/>
    <cellStyle name="Normal 5 2 2 8 6" xfId="10245" xr:uid="{78DCD4EC-C70C-49AA-A3CC-F50EDAAB69DB}"/>
    <cellStyle name="Normal 5 2 2 9" xfId="2127" xr:uid="{00000000-0005-0000-0000-00002E180000}"/>
    <cellStyle name="Normal 5 2 2 9 2" xfId="4356" xr:uid="{00000000-0005-0000-0000-00002F180000}"/>
    <cellStyle name="Normal 5 2 2 9 2 2" xfId="8579" xr:uid="{00000000-0005-0000-0000-000030180000}"/>
    <cellStyle name="Normal 5 2 2 9 2 2 2" xfId="25462" xr:uid="{3EA3F028-935D-4580-8451-84DF49644A73}"/>
    <cellStyle name="Normal 5 2 2 9 2 2 3" xfId="33908" xr:uid="{27D86829-4E58-424D-B88E-6C6DF9BABF61}"/>
    <cellStyle name="Normal 5 2 2 9 2 2 4" xfId="17021" xr:uid="{968129DD-A95D-4D24-9E11-8D5DBC9C0021}"/>
    <cellStyle name="Normal 5 2 2 9 2 3" xfId="21244" xr:uid="{1A892A28-730B-45BC-88DD-9BECD0CC7FE2}"/>
    <cellStyle name="Normal 5 2 2 9 2 4" xfId="29691" xr:uid="{FF230E13-261F-4BF1-A986-D64792727DC4}"/>
    <cellStyle name="Normal 5 2 2 9 2 5" xfId="12803" xr:uid="{E5682409-1AF5-4CC6-B1C8-F75585082DB8}"/>
    <cellStyle name="Normal 5 2 2 9 3" xfId="6434" xr:uid="{00000000-0005-0000-0000-000031180000}"/>
    <cellStyle name="Normal 5 2 2 9 3 2" xfId="23317" xr:uid="{E1A43B15-E4E5-4257-B8C2-F382B0FA5CFA}"/>
    <cellStyle name="Normal 5 2 2 9 3 3" xfId="31763" xr:uid="{F4E4A365-1C6C-43B4-AEFF-7D21A67C95E5}"/>
    <cellStyle name="Normal 5 2 2 9 3 4" xfId="14876" xr:uid="{57C40CCC-2637-48E8-9824-A222EE11A18E}"/>
    <cellStyle name="Normal 5 2 2 9 4" xfId="19099" xr:uid="{68BA9299-F9F5-4872-BD1E-7C3AF4BDF19E}"/>
    <cellStyle name="Normal 5 2 2 9 5" xfId="27544" xr:uid="{466CAEEF-BD33-4897-9DED-16652CAD5DC8}"/>
    <cellStyle name="Normal 5 2 2 9 6" xfId="10658" xr:uid="{A739B0AD-D0FD-4BC9-AE08-F41CB4A3C4B5}"/>
    <cellStyle name="Normal 5 2 3" xfId="424" xr:uid="{00000000-0005-0000-0000-000032180000}"/>
    <cellStyle name="Normal 5 2 3 10" xfId="4798" xr:uid="{00000000-0005-0000-0000-000033180000}"/>
    <cellStyle name="Normal 5 2 3 10 2" xfId="21681" xr:uid="{6DC30CC5-607F-445F-8B84-013F1C7AAE75}"/>
    <cellStyle name="Normal 5 2 3 10 3" xfId="30127" xr:uid="{FD69A2B4-4F69-4AA8-BC9F-B52690C85813}"/>
    <cellStyle name="Normal 5 2 3 10 4" xfId="13240" xr:uid="{46E19D5C-0BEE-4E5E-B50B-EACE8066A320}"/>
    <cellStyle name="Normal 5 2 3 11" xfId="17463" xr:uid="{5A2D8FC9-CA47-4A9B-A112-7066A367C062}"/>
    <cellStyle name="Normal 5 2 3 12" xfId="25907" xr:uid="{F147BA85-EDF2-4875-B353-DD2379574102}"/>
    <cellStyle name="Normal 5 2 3 13" xfId="9022" xr:uid="{C3AC5787-3A49-4705-BFAC-079F243B585A}"/>
    <cellStyle name="Normal 5 2 3 2" xfId="425" xr:uid="{00000000-0005-0000-0000-000034180000}"/>
    <cellStyle name="Normal 5 2 3 2 10" xfId="17464" xr:uid="{7B5BD98B-249D-45D5-94DD-2556AFEFCFA2}"/>
    <cellStyle name="Normal 5 2 3 2 11" xfId="25908" xr:uid="{BB73060F-DD68-4EA1-B73A-6D6AAB96C1DD}"/>
    <cellStyle name="Normal 5 2 3 2 12" xfId="9023" xr:uid="{EC692C5F-25EC-4D14-B491-1F1CA15D45B4}"/>
    <cellStyle name="Normal 5 2 3 2 2" xfId="426" xr:uid="{00000000-0005-0000-0000-000035180000}"/>
    <cellStyle name="Normal 5 2 3 2 2 10" xfId="25909" xr:uid="{B161D833-7C16-4708-A251-52475B154855}"/>
    <cellStyle name="Normal 5 2 3 2 2 11" xfId="9024" xr:uid="{61D71413-AE39-44BF-AD20-0B27F7EFD2F1}"/>
    <cellStyle name="Normal 5 2 3 2 2 2" xfId="427" xr:uid="{00000000-0005-0000-0000-000036180000}"/>
    <cellStyle name="Normal 5 2 3 2 2 2 10" xfId="9025" xr:uid="{68976488-AEFC-409A-AEE8-AAD100A438BA}"/>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24242" xr:uid="{FF998B18-9989-4239-8561-5CEFB6D2543B}"/>
    <cellStyle name="Normal 5 2 3 2 2 2 2 2 2 3" xfId="32688" xr:uid="{1C92DAD8-7EF9-4D6C-9DC9-0F761F2B8833}"/>
    <cellStyle name="Normal 5 2 3 2 2 2 2 2 2 4" xfId="15801" xr:uid="{C92677A6-0555-4368-B2AA-DB069C8DA4EC}"/>
    <cellStyle name="Normal 5 2 3 2 2 2 2 2 3" xfId="20024" xr:uid="{152D6BBE-6857-46F6-BA20-8420A75A6A2B}"/>
    <cellStyle name="Normal 5 2 3 2 2 2 2 2 4" xfId="28471" xr:uid="{D95103C8-4F68-42BB-BAAC-3D34DE89E958}"/>
    <cellStyle name="Normal 5 2 3 2 2 2 2 2 5" xfId="11583" xr:uid="{DDA33DAE-C5D8-4555-8552-9163C4418DF6}"/>
    <cellStyle name="Normal 5 2 3 2 2 2 2 3" xfId="5214" xr:uid="{00000000-0005-0000-0000-00003A180000}"/>
    <cellStyle name="Normal 5 2 3 2 2 2 2 3 2" xfId="22097" xr:uid="{8DF1B0D2-6AA2-4FAC-AC55-25EACF35BBDD}"/>
    <cellStyle name="Normal 5 2 3 2 2 2 2 3 3" xfId="30543" xr:uid="{293D0862-3F77-4004-935C-C7EA87E70AB1}"/>
    <cellStyle name="Normal 5 2 3 2 2 2 2 3 4" xfId="13656" xr:uid="{D7D64BE8-8164-40AF-8FA5-910219322159}"/>
    <cellStyle name="Normal 5 2 3 2 2 2 2 4" xfId="17879" xr:uid="{3AA5F702-25DE-4163-8290-2BEE87513E2F}"/>
    <cellStyle name="Normal 5 2 3 2 2 2 2 5" xfId="26324" xr:uid="{7E78F7C2-C114-49EE-97B8-CF92317D8B0A}"/>
    <cellStyle name="Normal 5 2 3 2 2 2 2 6" xfId="9438" xr:uid="{B194D7B6-5E19-417C-BBED-918F88740B1D}"/>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24655" xr:uid="{981FBE3C-E6E5-4AE9-8B3E-25E65444C368}"/>
    <cellStyle name="Normal 5 2 3 2 2 2 3 2 2 3" xfId="33101" xr:uid="{225F04C4-9DE0-410C-AB8B-8511DDE93971}"/>
    <cellStyle name="Normal 5 2 3 2 2 2 3 2 2 4" xfId="16214" xr:uid="{7940FA7E-30F7-4BF4-A75C-018D30650653}"/>
    <cellStyle name="Normal 5 2 3 2 2 2 3 2 3" xfId="20437" xr:uid="{6B74D8A0-BC3E-4E02-BCEE-2EFA66AF5533}"/>
    <cellStyle name="Normal 5 2 3 2 2 2 3 2 4" xfId="28884" xr:uid="{275B64D2-6106-4DCF-BC29-0D041987F2CD}"/>
    <cellStyle name="Normal 5 2 3 2 2 2 3 2 5" xfId="11996" xr:uid="{F48D03AA-9E68-4730-B4BA-F7FF9142A640}"/>
    <cellStyle name="Normal 5 2 3 2 2 2 3 3" xfId="5627" xr:uid="{00000000-0005-0000-0000-00003E180000}"/>
    <cellStyle name="Normal 5 2 3 2 2 2 3 3 2" xfId="22510" xr:uid="{742171F1-DFF4-46AA-A3AE-19E0081EA601}"/>
    <cellStyle name="Normal 5 2 3 2 2 2 3 3 3" xfId="30956" xr:uid="{A2CEB542-8F84-4362-B577-BD8BE3AD934C}"/>
    <cellStyle name="Normal 5 2 3 2 2 2 3 3 4" xfId="14069" xr:uid="{463546F2-1C48-4319-AF7D-C2BAC34DF6A2}"/>
    <cellStyle name="Normal 5 2 3 2 2 2 3 4" xfId="18292" xr:uid="{13C16DDA-8926-4FF4-85B7-6791A739AA4A}"/>
    <cellStyle name="Normal 5 2 3 2 2 2 3 5" xfId="26737" xr:uid="{62173D6C-5A1D-4571-A75F-21A4D091FC6F}"/>
    <cellStyle name="Normal 5 2 3 2 2 2 3 6" xfId="9851" xr:uid="{C1C84C0C-B26D-424F-9A7F-13E0FCA447C7}"/>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25068" xr:uid="{DD97CDDD-6BA0-41AE-A634-B1EE7D1217B8}"/>
    <cellStyle name="Normal 5 2 3 2 2 2 4 2 2 3" xfId="33514" xr:uid="{1D84F35E-EB8B-4D05-A440-D8382BE897B7}"/>
    <cellStyle name="Normal 5 2 3 2 2 2 4 2 2 4" xfId="16627" xr:uid="{80938D88-9864-4072-AEB7-AEF188414EA4}"/>
    <cellStyle name="Normal 5 2 3 2 2 2 4 2 3" xfId="20850" xr:uid="{F795AACD-4780-46D5-A38D-6D1B3F088308}"/>
    <cellStyle name="Normal 5 2 3 2 2 2 4 2 4" xfId="29297" xr:uid="{F4A0658B-B2C4-478B-8809-6E470AC300B1}"/>
    <cellStyle name="Normal 5 2 3 2 2 2 4 2 5" xfId="12409" xr:uid="{02A8D25B-C481-4242-AEFC-94A94D36E152}"/>
    <cellStyle name="Normal 5 2 3 2 2 2 4 3" xfId="6040" xr:uid="{00000000-0005-0000-0000-000042180000}"/>
    <cellStyle name="Normal 5 2 3 2 2 2 4 3 2" xfId="22923" xr:uid="{0E6F59DF-0DAC-4B96-BF74-588709EDCC69}"/>
    <cellStyle name="Normal 5 2 3 2 2 2 4 3 3" xfId="31369" xr:uid="{129E6307-F006-4E13-96B6-93B0E7BE310A}"/>
    <cellStyle name="Normal 5 2 3 2 2 2 4 3 4" xfId="14482" xr:uid="{0C600B31-5FFE-43B6-A3FF-6CABCDD491EE}"/>
    <cellStyle name="Normal 5 2 3 2 2 2 4 4" xfId="18705" xr:uid="{A5BDC6A6-2A7F-4C47-AD31-10DE685A30C2}"/>
    <cellStyle name="Normal 5 2 3 2 2 2 4 5" xfId="27150" xr:uid="{5EE747F6-87EC-4542-82A6-497304AA5435}"/>
    <cellStyle name="Normal 5 2 3 2 2 2 4 6" xfId="10264" xr:uid="{5887B32E-6388-462A-81F0-023C4250792C}"/>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25481" xr:uid="{38E1A567-8B03-42E0-8838-6982C28BB240}"/>
    <cellStyle name="Normal 5 2 3 2 2 2 5 2 2 3" xfId="33927" xr:uid="{FC3EC008-5100-4B36-A699-C63D4094CF13}"/>
    <cellStyle name="Normal 5 2 3 2 2 2 5 2 2 4" xfId="17040" xr:uid="{049BCEF2-A954-46CD-B6AA-1E7006908E82}"/>
    <cellStyle name="Normal 5 2 3 2 2 2 5 2 3" xfId="21263" xr:uid="{180A5C8D-1164-439C-B87E-579307128FFC}"/>
    <cellStyle name="Normal 5 2 3 2 2 2 5 2 4" xfId="29710" xr:uid="{97E9C86F-156C-4C43-93D6-97A628E3CA5E}"/>
    <cellStyle name="Normal 5 2 3 2 2 2 5 2 5" xfId="12822" xr:uid="{E2740152-2FD3-45DE-8708-BADC818155BC}"/>
    <cellStyle name="Normal 5 2 3 2 2 2 5 3" xfId="6453" xr:uid="{00000000-0005-0000-0000-000046180000}"/>
    <cellStyle name="Normal 5 2 3 2 2 2 5 3 2" xfId="23336" xr:uid="{215335B9-6BC8-4F90-A9C8-1E86180C98B0}"/>
    <cellStyle name="Normal 5 2 3 2 2 2 5 3 3" xfId="31782" xr:uid="{1CCD429D-02CC-4FAF-9E25-337D01B9EA58}"/>
    <cellStyle name="Normal 5 2 3 2 2 2 5 3 4" xfId="14895" xr:uid="{2A0C65D1-AAF1-4BAD-9F53-6F448933714F}"/>
    <cellStyle name="Normal 5 2 3 2 2 2 5 4" xfId="19118" xr:uid="{2A58DD20-AB29-4DB4-BCB1-F61ADA69251E}"/>
    <cellStyle name="Normal 5 2 3 2 2 2 5 5" xfId="27563" xr:uid="{7E224FAF-A604-43C0-B114-D97DDC28D6AD}"/>
    <cellStyle name="Normal 5 2 3 2 2 2 5 6" xfId="10677" xr:uid="{513ECE3D-081A-4EDE-9825-F2FFD497E463}"/>
    <cellStyle name="Normal 5 2 3 2 2 2 6" xfId="2582" xr:uid="{00000000-0005-0000-0000-000047180000}"/>
    <cellStyle name="Normal 5 2 3 2 2 2 6 2" xfId="6866" xr:uid="{00000000-0005-0000-0000-000048180000}"/>
    <cellStyle name="Normal 5 2 3 2 2 2 6 2 2" xfId="23749" xr:uid="{887984D8-08B9-4C8B-B973-8E73F4AD676C}"/>
    <cellStyle name="Normal 5 2 3 2 2 2 6 2 3" xfId="32195" xr:uid="{78A21EC8-FE94-44A5-8F48-79692F05991C}"/>
    <cellStyle name="Normal 5 2 3 2 2 2 6 2 4" xfId="15308" xr:uid="{76057ECC-2880-41D5-A679-79CD181206B8}"/>
    <cellStyle name="Normal 5 2 3 2 2 2 6 3" xfId="19531" xr:uid="{B4D334C3-5645-44F1-9A7B-55649AFAE564}"/>
    <cellStyle name="Normal 5 2 3 2 2 2 6 4" xfId="27976" xr:uid="{045CAA30-99BE-47DA-BB36-00009833D513}"/>
    <cellStyle name="Normal 5 2 3 2 2 2 6 5" xfId="11090" xr:uid="{2570AB67-0E4D-4BCB-BD77-5EA93DBE2017}"/>
    <cellStyle name="Normal 5 2 3 2 2 2 7" xfId="4801" xr:uid="{00000000-0005-0000-0000-000049180000}"/>
    <cellStyle name="Normal 5 2 3 2 2 2 7 2" xfId="21684" xr:uid="{AC99EB17-A38C-4A8B-9D6D-3B375FE952C9}"/>
    <cellStyle name="Normal 5 2 3 2 2 2 7 3" xfId="30130" xr:uid="{DE1729B7-BEED-4041-86AF-8B526127F0E3}"/>
    <cellStyle name="Normal 5 2 3 2 2 2 7 4" xfId="13243" xr:uid="{6251CDD2-8D70-48F3-93CA-4B8403BD4259}"/>
    <cellStyle name="Normal 5 2 3 2 2 2 8" xfId="17466" xr:uid="{2CE18ED7-606F-4C1B-AB2D-80A880D95B3E}"/>
    <cellStyle name="Normal 5 2 3 2 2 2 9" xfId="25910" xr:uid="{5A34D61E-92FE-489B-ACD4-88A3ED48BA1B}"/>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24241" xr:uid="{C5C28673-7EE6-4B99-83AD-F7C78548BC3B}"/>
    <cellStyle name="Normal 5 2 3 2 2 3 2 2 3" xfId="32687" xr:uid="{1B8340C1-B2C5-4B80-B9F2-C8C7DBEBEC7A}"/>
    <cellStyle name="Normal 5 2 3 2 2 3 2 2 4" xfId="15800" xr:uid="{E8EE92A2-BA52-470D-BCE5-B7365A4AD68B}"/>
    <cellStyle name="Normal 5 2 3 2 2 3 2 3" xfId="20023" xr:uid="{8E831E42-332D-4BCC-B325-7823D7E11D32}"/>
    <cellStyle name="Normal 5 2 3 2 2 3 2 4" xfId="28470" xr:uid="{242094B3-0D3E-4ABA-A4AB-A8F218E6B25A}"/>
    <cellStyle name="Normal 5 2 3 2 2 3 2 5" xfId="11582" xr:uid="{2732FA4A-0C68-4472-8CAD-E835AB29C628}"/>
    <cellStyle name="Normal 5 2 3 2 2 3 3" xfId="5213" xr:uid="{00000000-0005-0000-0000-00004D180000}"/>
    <cellStyle name="Normal 5 2 3 2 2 3 3 2" xfId="22096" xr:uid="{C56DF238-EE4E-4D0C-AC74-F9890C547AD6}"/>
    <cellStyle name="Normal 5 2 3 2 2 3 3 3" xfId="30542" xr:uid="{57D9C5F3-F56B-4593-85DA-47E540499BFC}"/>
    <cellStyle name="Normal 5 2 3 2 2 3 3 4" xfId="13655" xr:uid="{AD1ACC2F-69E3-45A6-ABDD-7613265D5138}"/>
    <cellStyle name="Normal 5 2 3 2 2 3 4" xfId="17878" xr:uid="{A2EECE0D-8E6C-46C9-95B4-D882C3058E21}"/>
    <cellStyle name="Normal 5 2 3 2 2 3 5" xfId="26323" xr:uid="{0DF3BBD6-A5A6-47D8-8526-174D42D1458F}"/>
    <cellStyle name="Normal 5 2 3 2 2 3 6" xfId="9437" xr:uid="{898368FC-B494-438E-8FC6-7ADBFA489A97}"/>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24654" xr:uid="{F978C312-D3A8-4404-965F-3C8CD01211A7}"/>
    <cellStyle name="Normal 5 2 3 2 2 4 2 2 3" xfId="33100" xr:uid="{73C14DEE-E35B-4BE4-B9B6-2A9F9BABD95C}"/>
    <cellStyle name="Normal 5 2 3 2 2 4 2 2 4" xfId="16213" xr:uid="{24053D18-0AE3-4BCA-9038-4DC9B41452A4}"/>
    <cellStyle name="Normal 5 2 3 2 2 4 2 3" xfId="20436" xr:uid="{6E97917A-69AE-463F-8E62-BB9EA1512AAE}"/>
    <cellStyle name="Normal 5 2 3 2 2 4 2 4" xfId="28883" xr:uid="{A982BECE-596F-4970-AF22-9DC75D370E54}"/>
    <cellStyle name="Normal 5 2 3 2 2 4 2 5" xfId="11995" xr:uid="{7E9E9CEC-8594-4973-B04F-4E09D4B0AFCD}"/>
    <cellStyle name="Normal 5 2 3 2 2 4 3" xfId="5626" xr:uid="{00000000-0005-0000-0000-000051180000}"/>
    <cellStyle name="Normal 5 2 3 2 2 4 3 2" xfId="22509" xr:uid="{9CBCC242-BC77-4BB6-BC67-08818DFFD009}"/>
    <cellStyle name="Normal 5 2 3 2 2 4 3 3" xfId="30955" xr:uid="{228BD0BE-D72C-4629-B878-692B964AB85A}"/>
    <cellStyle name="Normal 5 2 3 2 2 4 3 4" xfId="14068" xr:uid="{610B18A9-EC50-4D9E-A46D-08315E610EE8}"/>
    <cellStyle name="Normal 5 2 3 2 2 4 4" xfId="18291" xr:uid="{BA7CE2C0-7553-42F4-84ED-E6EBE5BCE383}"/>
    <cellStyle name="Normal 5 2 3 2 2 4 5" xfId="26736" xr:uid="{1CAC5FD1-C436-45F9-94BA-38C68C183C4B}"/>
    <cellStyle name="Normal 5 2 3 2 2 4 6" xfId="9850" xr:uid="{4CE84DEC-B9F2-4996-A7EC-6600B0E3D361}"/>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25067" xr:uid="{F8BC90BA-FCEF-4DE9-AB55-7827E4A17A25}"/>
    <cellStyle name="Normal 5 2 3 2 2 5 2 2 3" xfId="33513" xr:uid="{C2AE6599-7824-4348-916F-FA7C92040864}"/>
    <cellStyle name="Normal 5 2 3 2 2 5 2 2 4" xfId="16626" xr:uid="{EFCBB338-6E65-4AF2-B3DF-986636C56450}"/>
    <cellStyle name="Normal 5 2 3 2 2 5 2 3" xfId="20849" xr:uid="{8F3FBEA6-A527-4859-919A-051580C9C584}"/>
    <cellStyle name="Normal 5 2 3 2 2 5 2 4" xfId="29296" xr:uid="{EC175292-22F3-4DE3-BEFC-0BCD8B3AF860}"/>
    <cellStyle name="Normal 5 2 3 2 2 5 2 5" xfId="12408" xr:uid="{0699BF91-6A67-499A-8819-C89C43199706}"/>
    <cellStyle name="Normal 5 2 3 2 2 5 3" xfId="6039" xr:uid="{00000000-0005-0000-0000-000055180000}"/>
    <cellStyle name="Normal 5 2 3 2 2 5 3 2" xfId="22922" xr:uid="{53337D64-ED22-4BC2-A038-28FA7380176D}"/>
    <cellStyle name="Normal 5 2 3 2 2 5 3 3" xfId="31368" xr:uid="{5163FEA2-C0D6-43F6-AC6C-A58CB6E1E1E5}"/>
    <cellStyle name="Normal 5 2 3 2 2 5 3 4" xfId="14481" xr:uid="{64A189BA-FC2E-439C-9E2C-16EC8A869D4C}"/>
    <cellStyle name="Normal 5 2 3 2 2 5 4" xfId="18704" xr:uid="{45A61EDF-3189-430C-A2B6-5E1D75EA5199}"/>
    <cellStyle name="Normal 5 2 3 2 2 5 5" xfId="27149" xr:uid="{F66C3251-AA73-4876-83D5-F2586A6F630D}"/>
    <cellStyle name="Normal 5 2 3 2 2 5 6" xfId="10263" xr:uid="{C7BEED84-523C-4049-9F80-AA783959860D}"/>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25480" xr:uid="{0697A0AB-E96B-4914-8E2C-513CED620687}"/>
    <cellStyle name="Normal 5 2 3 2 2 6 2 2 3" xfId="33926" xr:uid="{ECD06D27-C26A-47FF-80FB-857E3C8D34E5}"/>
    <cellStyle name="Normal 5 2 3 2 2 6 2 2 4" xfId="17039" xr:uid="{3D922597-B52B-41BB-9F13-D232D713A175}"/>
    <cellStyle name="Normal 5 2 3 2 2 6 2 3" xfId="21262" xr:uid="{DFD427D7-B2F0-4E91-A299-292912186135}"/>
    <cellStyle name="Normal 5 2 3 2 2 6 2 4" xfId="29709" xr:uid="{8A12EE6F-E471-4777-A35F-F2A03F5E9EC7}"/>
    <cellStyle name="Normal 5 2 3 2 2 6 2 5" xfId="12821" xr:uid="{D92B4D2C-261B-47D5-A9BD-546C6613E714}"/>
    <cellStyle name="Normal 5 2 3 2 2 6 3" xfId="6452" xr:uid="{00000000-0005-0000-0000-000059180000}"/>
    <cellStyle name="Normal 5 2 3 2 2 6 3 2" xfId="23335" xr:uid="{05E63E80-34D1-4BBF-B491-D57B0662DDE3}"/>
    <cellStyle name="Normal 5 2 3 2 2 6 3 3" xfId="31781" xr:uid="{CBB886E9-753B-4140-9EAA-5377F0386E57}"/>
    <cellStyle name="Normal 5 2 3 2 2 6 3 4" xfId="14894" xr:uid="{98300691-5E58-445B-9E38-E83C54FA555C}"/>
    <cellStyle name="Normal 5 2 3 2 2 6 4" xfId="19117" xr:uid="{161C6268-F9FC-4217-96BB-69CC9D9E3569}"/>
    <cellStyle name="Normal 5 2 3 2 2 6 5" xfId="27562" xr:uid="{9F763366-5FBE-4FE5-814E-20E2890C58CD}"/>
    <cellStyle name="Normal 5 2 3 2 2 6 6" xfId="10676" xr:uid="{677EAA9F-D12D-401F-8AFD-4416BEA7909F}"/>
    <cellStyle name="Normal 5 2 3 2 2 7" xfId="2581" xr:uid="{00000000-0005-0000-0000-00005A180000}"/>
    <cellStyle name="Normal 5 2 3 2 2 7 2" xfId="6865" xr:uid="{00000000-0005-0000-0000-00005B180000}"/>
    <cellStyle name="Normal 5 2 3 2 2 7 2 2" xfId="23748" xr:uid="{781CA387-72CA-4268-A355-6CA63BB95E57}"/>
    <cellStyle name="Normal 5 2 3 2 2 7 2 3" xfId="32194" xr:uid="{4E2D8C50-9D5A-484E-B674-9160F0BED8A2}"/>
    <cellStyle name="Normal 5 2 3 2 2 7 2 4" xfId="15307" xr:uid="{BD591C21-E588-41A8-8012-7AC21DD7EE63}"/>
    <cellStyle name="Normal 5 2 3 2 2 7 3" xfId="19530" xr:uid="{76E121F3-C7A2-4286-A19B-A8F901A67980}"/>
    <cellStyle name="Normal 5 2 3 2 2 7 4" xfId="27975" xr:uid="{03F1A97B-7AE4-4A07-835C-7F28A4B74954}"/>
    <cellStyle name="Normal 5 2 3 2 2 7 5" xfId="11089" xr:uid="{6D6E2D20-9971-4628-9C17-89445DFE7D35}"/>
    <cellStyle name="Normal 5 2 3 2 2 8" xfId="4800" xr:uid="{00000000-0005-0000-0000-00005C180000}"/>
    <cellStyle name="Normal 5 2 3 2 2 8 2" xfId="21683" xr:uid="{1F2052E2-91D2-4220-B3D1-797845EDBD93}"/>
    <cellStyle name="Normal 5 2 3 2 2 8 3" xfId="30129" xr:uid="{670C95E2-37D0-4EBA-A03C-4DF3B9DB2F7B}"/>
    <cellStyle name="Normal 5 2 3 2 2 8 4" xfId="13242" xr:uid="{7F9ADCE6-D699-4D67-BE17-37463B9D7998}"/>
    <cellStyle name="Normal 5 2 3 2 2 9" xfId="17465" xr:uid="{AAA1D8BE-20AB-4752-B1AE-B311633968FD}"/>
    <cellStyle name="Normal 5 2 3 2 3" xfId="428" xr:uid="{00000000-0005-0000-0000-00005D180000}"/>
    <cellStyle name="Normal 5 2 3 2 3 10" xfId="9026" xr:uid="{07B0B64F-1CC5-46E0-9086-D3A8CA806C3A}"/>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24243" xr:uid="{0A66F32A-ACB1-46E1-AEFD-F9A1042C4E57}"/>
    <cellStyle name="Normal 5 2 3 2 3 2 2 2 3" xfId="32689" xr:uid="{9F8A8F41-4085-4C8E-92A3-632A85CF0279}"/>
    <cellStyle name="Normal 5 2 3 2 3 2 2 2 4" xfId="15802" xr:uid="{56CF37E0-8FA7-4C80-BEFC-BAA831AA247C}"/>
    <cellStyle name="Normal 5 2 3 2 3 2 2 3" xfId="20025" xr:uid="{7FCE21AF-091B-4B47-ADB6-F7E7733ABB47}"/>
    <cellStyle name="Normal 5 2 3 2 3 2 2 4" xfId="28472" xr:uid="{477287BC-AA5C-46C5-B4F1-6E115F9E5ECA}"/>
    <cellStyle name="Normal 5 2 3 2 3 2 2 5" xfId="11584" xr:uid="{57BBD257-DD54-46C7-972E-D6C6988AC413}"/>
    <cellStyle name="Normal 5 2 3 2 3 2 3" xfId="5215" xr:uid="{00000000-0005-0000-0000-000061180000}"/>
    <cellStyle name="Normal 5 2 3 2 3 2 3 2" xfId="22098" xr:uid="{EF2ECF2E-C583-4507-952B-9E2E47DBF976}"/>
    <cellStyle name="Normal 5 2 3 2 3 2 3 3" xfId="30544" xr:uid="{396A776B-8F95-4779-8E47-E814EB3AA939}"/>
    <cellStyle name="Normal 5 2 3 2 3 2 3 4" xfId="13657" xr:uid="{A21DF52E-9853-4550-B03A-0C269FA0ADCA}"/>
    <cellStyle name="Normal 5 2 3 2 3 2 4" xfId="17880" xr:uid="{6BC2D96D-8DE2-41B2-8B83-AEE25BE85010}"/>
    <cellStyle name="Normal 5 2 3 2 3 2 5" xfId="26325" xr:uid="{3283C741-0242-4D15-9974-0C35E2709C3C}"/>
    <cellStyle name="Normal 5 2 3 2 3 2 6" xfId="9439" xr:uid="{2AC0C7B4-F4E2-4BA6-BC36-C1E403AB9A0E}"/>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24656" xr:uid="{6C0498F7-DDDC-432E-9BEE-34699C3AA9A9}"/>
    <cellStyle name="Normal 5 2 3 2 3 3 2 2 3" xfId="33102" xr:uid="{BF36D95B-5DEC-4546-994F-24B5979B610A}"/>
    <cellStyle name="Normal 5 2 3 2 3 3 2 2 4" xfId="16215" xr:uid="{B810A7D2-CF11-4716-BA43-B5ECB46AD19F}"/>
    <cellStyle name="Normal 5 2 3 2 3 3 2 3" xfId="20438" xr:uid="{A77B5678-48D4-4B70-9EE4-A846827F568F}"/>
    <cellStyle name="Normal 5 2 3 2 3 3 2 4" xfId="28885" xr:uid="{0187AF1D-D58C-4B2A-9591-C53082E67A2C}"/>
    <cellStyle name="Normal 5 2 3 2 3 3 2 5" xfId="11997" xr:uid="{E1847CF7-813D-4E2D-870A-F76B245DD199}"/>
    <cellStyle name="Normal 5 2 3 2 3 3 3" xfId="5628" xr:uid="{00000000-0005-0000-0000-000065180000}"/>
    <cellStyle name="Normal 5 2 3 2 3 3 3 2" xfId="22511" xr:uid="{15807223-CCF9-4A3F-ADCF-AB5C861F0DB9}"/>
    <cellStyle name="Normal 5 2 3 2 3 3 3 3" xfId="30957" xr:uid="{CCD57ECF-3D92-4B55-81EE-D6C9EF57C646}"/>
    <cellStyle name="Normal 5 2 3 2 3 3 3 4" xfId="14070" xr:uid="{6C8F8874-C1C9-4EA3-A548-A0AD6B6C681D}"/>
    <cellStyle name="Normal 5 2 3 2 3 3 4" xfId="18293" xr:uid="{660CC4AE-86F3-4903-95B8-CCA4CACE4D62}"/>
    <cellStyle name="Normal 5 2 3 2 3 3 5" xfId="26738" xr:uid="{5C4CFAE3-9709-4C7C-A959-673B729D9326}"/>
    <cellStyle name="Normal 5 2 3 2 3 3 6" xfId="9852" xr:uid="{82BF3D79-02B1-4F83-A525-A87EC0396853}"/>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25069" xr:uid="{DCC2DFEB-CFD5-44F9-BFBC-112F16701812}"/>
    <cellStyle name="Normal 5 2 3 2 3 4 2 2 3" xfId="33515" xr:uid="{F8BCAD20-2D7E-48AA-BFE7-39BFFFD6BC68}"/>
    <cellStyle name="Normal 5 2 3 2 3 4 2 2 4" xfId="16628" xr:uid="{7508AB88-F6BD-4BA9-904F-E0C25465EC6A}"/>
    <cellStyle name="Normal 5 2 3 2 3 4 2 3" xfId="20851" xr:uid="{35675F06-F581-4D63-9B97-0511F40083BB}"/>
    <cellStyle name="Normal 5 2 3 2 3 4 2 4" xfId="29298" xr:uid="{FD52EDF4-BCB9-4014-8566-B53792DCA900}"/>
    <cellStyle name="Normal 5 2 3 2 3 4 2 5" xfId="12410" xr:uid="{60094E4F-BA39-428D-97FF-465AD2A77C15}"/>
    <cellStyle name="Normal 5 2 3 2 3 4 3" xfId="6041" xr:uid="{00000000-0005-0000-0000-000069180000}"/>
    <cellStyle name="Normal 5 2 3 2 3 4 3 2" xfId="22924" xr:uid="{17886172-118C-4D6F-BBF6-34AA8AF498E4}"/>
    <cellStyle name="Normal 5 2 3 2 3 4 3 3" xfId="31370" xr:uid="{9DA170C9-6A65-4D6C-9084-A9A7DC4049CF}"/>
    <cellStyle name="Normal 5 2 3 2 3 4 3 4" xfId="14483" xr:uid="{EBD02E46-6B05-4994-8BDC-9F071F480882}"/>
    <cellStyle name="Normal 5 2 3 2 3 4 4" xfId="18706" xr:uid="{78B1C272-6D35-44F8-B022-97D5B77C92F8}"/>
    <cellStyle name="Normal 5 2 3 2 3 4 5" xfId="27151" xr:uid="{62C3D41B-88ED-4B65-B9C4-CE4640AC97E9}"/>
    <cellStyle name="Normal 5 2 3 2 3 4 6" xfId="10265" xr:uid="{EC6E5BD6-C553-440A-BD35-13802497F4A3}"/>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25482" xr:uid="{1AFBC955-D850-44E1-BAE5-85CE6C84D74F}"/>
    <cellStyle name="Normal 5 2 3 2 3 5 2 2 3" xfId="33928" xr:uid="{E18F5B29-6604-406C-A653-36F7933F32F9}"/>
    <cellStyle name="Normal 5 2 3 2 3 5 2 2 4" xfId="17041" xr:uid="{DD4B398C-494A-4077-A1B3-2203DBC21881}"/>
    <cellStyle name="Normal 5 2 3 2 3 5 2 3" xfId="21264" xr:uid="{40B1B952-4938-4000-941B-18D862935E77}"/>
    <cellStyle name="Normal 5 2 3 2 3 5 2 4" xfId="29711" xr:uid="{F58343BE-B784-4BB6-954F-CEFEA25698FC}"/>
    <cellStyle name="Normal 5 2 3 2 3 5 2 5" xfId="12823" xr:uid="{54715511-E203-4507-93CC-E5590B693176}"/>
    <cellStyle name="Normal 5 2 3 2 3 5 3" xfId="6454" xr:uid="{00000000-0005-0000-0000-00006D180000}"/>
    <cellStyle name="Normal 5 2 3 2 3 5 3 2" xfId="23337" xr:uid="{3DC04B60-87BB-4174-8202-BABAF1A270BE}"/>
    <cellStyle name="Normal 5 2 3 2 3 5 3 3" xfId="31783" xr:uid="{1F148443-3B94-45D9-9ACD-3283DBFE3F70}"/>
    <cellStyle name="Normal 5 2 3 2 3 5 3 4" xfId="14896" xr:uid="{F8C92252-90CF-4476-A42E-8A56284D5855}"/>
    <cellStyle name="Normal 5 2 3 2 3 5 4" xfId="19119" xr:uid="{CF9E4F4C-370C-4332-93B4-778E3A8C3BB4}"/>
    <cellStyle name="Normal 5 2 3 2 3 5 5" xfId="27564" xr:uid="{D4D6EC71-FAD5-41A0-9388-BEB71AE6AFD6}"/>
    <cellStyle name="Normal 5 2 3 2 3 5 6" xfId="10678" xr:uid="{087B4F42-9DC9-4F26-8B55-AF758F1D3456}"/>
    <cellStyle name="Normal 5 2 3 2 3 6" xfId="2583" xr:uid="{00000000-0005-0000-0000-00006E180000}"/>
    <cellStyle name="Normal 5 2 3 2 3 6 2" xfId="6867" xr:uid="{00000000-0005-0000-0000-00006F180000}"/>
    <cellStyle name="Normal 5 2 3 2 3 6 2 2" xfId="23750" xr:uid="{4B8B1655-BF65-4E28-BC05-FBE889A67D9C}"/>
    <cellStyle name="Normal 5 2 3 2 3 6 2 3" xfId="32196" xr:uid="{6CFEBA2D-10E3-4B18-9F63-F442D6AEC84D}"/>
    <cellStyle name="Normal 5 2 3 2 3 6 2 4" xfId="15309" xr:uid="{F9AD4584-B932-452A-87B2-E59AF18FFA8C}"/>
    <cellStyle name="Normal 5 2 3 2 3 6 3" xfId="19532" xr:uid="{66C88EAB-285F-4F4B-B562-1870D3ADF388}"/>
    <cellStyle name="Normal 5 2 3 2 3 6 4" xfId="27977" xr:uid="{64037DC5-FC1E-47AF-94BC-90689259A6CA}"/>
    <cellStyle name="Normal 5 2 3 2 3 6 5" xfId="11091" xr:uid="{47FE3F58-5C07-42E4-8BFE-043B0D1C3A37}"/>
    <cellStyle name="Normal 5 2 3 2 3 7" xfId="4802" xr:uid="{00000000-0005-0000-0000-000070180000}"/>
    <cellStyle name="Normal 5 2 3 2 3 7 2" xfId="21685" xr:uid="{8B3E2997-70BC-40C6-B44B-CF5CDB3CAB7D}"/>
    <cellStyle name="Normal 5 2 3 2 3 7 3" xfId="30131" xr:uid="{7190FB2C-1277-45BF-BA77-F05F28D9C3EA}"/>
    <cellStyle name="Normal 5 2 3 2 3 7 4" xfId="13244" xr:uid="{67AC9506-F99F-4879-AD70-0D2217FF0871}"/>
    <cellStyle name="Normal 5 2 3 2 3 8" xfId="17467" xr:uid="{DC81F8AF-4743-4D28-8CFD-913660D7CA07}"/>
    <cellStyle name="Normal 5 2 3 2 3 9" xfId="25911" xr:uid="{8B778358-2941-4712-9584-085950D45034}"/>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24240" xr:uid="{00A2FA8A-8187-4A85-9935-ADA03804B5B4}"/>
    <cellStyle name="Normal 5 2 3 2 4 2 2 3" xfId="32686" xr:uid="{3E71BB58-235E-4DDF-82A5-53E3A52774B2}"/>
    <cellStyle name="Normal 5 2 3 2 4 2 2 4" xfId="15799" xr:uid="{98CBA050-487F-4B7D-8C94-C9964DEF5712}"/>
    <cellStyle name="Normal 5 2 3 2 4 2 3" xfId="20022" xr:uid="{7AD6214E-D4BE-4858-B2B9-464ED2508CBE}"/>
    <cellStyle name="Normal 5 2 3 2 4 2 4" xfId="28469" xr:uid="{2E1CE342-AAA8-466E-A992-1E18F98332FA}"/>
    <cellStyle name="Normal 5 2 3 2 4 2 5" xfId="11581" xr:uid="{BE9451BF-8B98-4659-89DF-E4EF19D4F3AB}"/>
    <cellStyle name="Normal 5 2 3 2 4 3" xfId="5212" xr:uid="{00000000-0005-0000-0000-000074180000}"/>
    <cellStyle name="Normal 5 2 3 2 4 3 2" xfId="22095" xr:uid="{B7020C49-35B3-4965-800B-86A5570F4028}"/>
    <cellStyle name="Normal 5 2 3 2 4 3 3" xfId="30541" xr:uid="{E1542B26-F98E-4858-A6D5-5581F5C58251}"/>
    <cellStyle name="Normal 5 2 3 2 4 3 4" xfId="13654" xr:uid="{8EE23207-1E86-4409-81D4-12671C26287E}"/>
    <cellStyle name="Normal 5 2 3 2 4 4" xfId="17877" xr:uid="{05483C17-B2ED-4179-A5C6-FE3D7C723961}"/>
    <cellStyle name="Normal 5 2 3 2 4 5" xfId="26322" xr:uid="{92AB427C-493B-43BA-8D39-390CEC1938DF}"/>
    <cellStyle name="Normal 5 2 3 2 4 6" xfId="9436" xr:uid="{CB254F3C-2888-4E25-803E-D0B08B8481BF}"/>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24653" xr:uid="{8687BE64-C28C-4CC8-BF1D-DCC286E713FD}"/>
    <cellStyle name="Normal 5 2 3 2 5 2 2 3" xfId="33099" xr:uid="{C80A9E6E-E7CE-40A4-BEE8-2AC5235B0BAD}"/>
    <cellStyle name="Normal 5 2 3 2 5 2 2 4" xfId="16212" xr:uid="{E3C0DC2D-E817-4FAD-81AF-FB003C4FC3EB}"/>
    <cellStyle name="Normal 5 2 3 2 5 2 3" xfId="20435" xr:uid="{7667F328-90A6-4026-9ABA-24D11E73F2C8}"/>
    <cellStyle name="Normal 5 2 3 2 5 2 4" xfId="28882" xr:uid="{C0D98478-140E-42A0-A862-217263561E98}"/>
    <cellStyle name="Normal 5 2 3 2 5 2 5" xfId="11994" xr:uid="{AD39D177-9456-4243-BBC8-FC3912B0D0CB}"/>
    <cellStyle name="Normal 5 2 3 2 5 3" xfId="5625" xr:uid="{00000000-0005-0000-0000-000078180000}"/>
    <cellStyle name="Normal 5 2 3 2 5 3 2" xfId="22508" xr:uid="{FD6F8F92-89EE-4284-8667-AD1E4C91404B}"/>
    <cellStyle name="Normal 5 2 3 2 5 3 3" xfId="30954" xr:uid="{B006ECAE-363E-46C8-A006-D5716F918DA0}"/>
    <cellStyle name="Normal 5 2 3 2 5 3 4" xfId="14067" xr:uid="{1C388C9C-3FF2-4190-9B96-4AFF4AA9D57B}"/>
    <cellStyle name="Normal 5 2 3 2 5 4" xfId="18290" xr:uid="{D6FEF858-4779-4FA1-B303-B3B1A36CECB7}"/>
    <cellStyle name="Normal 5 2 3 2 5 5" xfId="26735" xr:uid="{D2760D65-8542-4E14-BE72-2149D7694AEE}"/>
    <cellStyle name="Normal 5 2 3 2 5 6" xfId="9849" xr:uid="{AB40EB2B-DBF1-44C2-AC3C-1CD3B778BB1A}"/>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25066" xr:uid="{E71548A5-A301-4479-91FA-FE507F0D7DA9}"/>
    <cellStyle name="Normal 5 2 3 2 6 2 2 3" xfId="33512" xr:uid="{2B7AB28B-C704-45AC-A239-2A1F640BA0C2}"/>
    <cellStyle name="Normal 5 2 3 2 6 2 2 4" xfId="16625" xr:uid="{959C3CE3-1C37-49DB-8191-4B75FC73C7CC}"/>
    <cellStyle name="Normal 5 2 3 2 6 2 3" xfId="20848" xr:uid="{AD068CBA-A860-462B-BBDE-9C3329FC6F87}"/>
    <cellStyle name="Normal 5 2 3 2 6 2 4" xfId="29295" xr:uid="{51739BDE-672C-4360-A4B4-98CA269ED05F}"/>
    <cellStyle name="Normal 5 2 3 2 6 2 5" xfId="12407" xr:uid="{99B2AE66-A11C-4758-BF47-6C1C019CAA7D}"/>
    <cellStyle name="Normal 5 2 3 2 6 3" xfId="6038" xr:uid="{00000000-0005-0000-0000-00007C180000}"/>
    <cellStyle name="Normal 5 2 3 2 6 3 2" xfId="22921" xr:uid="{CAFBF9BB-1021-49DE-BB81-AD64F3EFDC7D}"/>
    <cellStyle name="Normal 5 2 3 2 6 3 3" xfId="31367" xr:uid="{BDFDA20B-15DE-4EF8-9DB8-3F084E859C88}"/>
    <cellStyle name="Normal 5 2 3 2 6 3 4" xfId="14480" xr:uid="{B65DEF6C-ED3E-4D1D-B454-9CAD0A48D144}"/>
    <cellStyle name="Normal 5 2 3 2 6 4" xfId="18703" xr:uid="{F8413D5A-E461-430A-B611-03C9A4A65C7A}"/>
    <cellStyle name="Normal 5 2 3 2 6 5" xfId="27148" xr:uid="{D9340E11-F729-437F-94AF-D1CCDEF7E62F}"/>
    <cellStyle name="Normal 5 2 3 2 6 6" xfId="10262" xr:uid="{6FABF2E0-DDCA-463C-9D41-BD459A12C4F7}"/>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25479" xr:uid="{D31C9353-263A-4117-B6A6-BE3797712DAD}"/>
    <cellStyle name="Normal 5 2 3 2 7 2 2 3" xfId="33925" xr:uid="{792944B8-ADAD-4E3E-A4DE-0D9C40B606B9}"/>
    <cellStyle name="Normal 5 2 3 2 7 2 2 4" xfId="17038" xr:uid="{85DBF84A-4CBC-498A-9CB1-8A8686B68100}"/>
    <cellStyle name="Normal 5 2 3 2 7 2 3" xfId="21261" xr:uid="{72FBBFC4-87B8-4870-8423-1EE8EC233D98}"/>
    <cellStyle name="Normal 5 2 3 2 7 2 4" xfId="29708" xr:uid="{B261B933-8E0E-4E1B-AFF1-3ECB863CD3A8}"/>
    <cellStyle name="Normal 5 2 3 2 7 2 5" xfId="12820" xr:uid="{94019E3E-F734-4BA6-8839-F5FB896CF091}"/>
    <cellStyle name="Normal 5 2 3 2 7 3" xfId="6451" xr:uid="{00000000-0005-0000-0000-000080180000}"/>
    <cellStyle name="Normal 5 2 3 2 7 3 2" xfId="23334" xr:uid="{93504DB8-8862-4E61-A908-ABF57446938D}"/>
    <cellStyle name="Normal 5 2 3 2 7 3 3" xfId="31780" xr:uid="{CF48D2F4-26F1-4E56-AD6F-6651324EDAF8}"/>
    <cellStyle name="Normal 5 2 3 2 7 3 4" xfId="14893" xr:uid="{CFA7C6D8-D2B5-40DD-8C0D-600E43E9C4AC}"/>
    <cellStyle name="Normal 5 2 3 2 7 4" xfId="19116" xr:uid="{176875D4-E39F-464A-A9AD-5C77F0248C85}"/>
    <cellStyle name="Normal 5 2 3 2 7 5" xfId="27561" xr:uid="{B44B15ED-E496-4BD5-A50F-8560A5575CBC}"/>
    <cellStyle name="Normal 5 2 3 2 7 6" xfId="10675" xr:uid="{2A3A5557-55EF-474C-A5A2-06403BE65130}"/>
    <cellStyle name="Normal 5 2 3 2 8" xfId="2580" xr:uid="{00000000-0005-0000-0000-000081180000}"/>
    <cellStyle name="Normal 5 2 3 2 8 2" xfId="6864" xr:uid="{00000000-0005-0000-0000-000082180000}"/>
    <cellStyle name="Normal 5 2 3 2 8 2 2" xfId="23747" xr:uid="{5BF43CE7-E8F1-4AFC-82C4-B88A47A5FB42}"/>
    <cellStyle name="Normal 5 2 3 2 8 2 3" xfId="32193" xr:uid="{7329FF35-EA1C-4699-8F1F-902E2C680574}"/>
    <cellStyle name="Normal 5 2 3 2 8 2 4" xfId="15306" xr:uid="{B8CE88EA-B990-4B12-88BA-78F8EA88CF52}"/>
    <cellStyle name="Normal 5 2 3 2 8 3" xfId="19529" xr:uid="{4A5A41D5-32DD-4378-A7DD-7E9334720690}"/>
    <cellStyle name="Normal 5 2 3 2 8 4" xfId="27974" xr:uid="{D066C536-435A-4E60-94FF-6464E7BD8F5E}"/>
    <cellStyle name="Normal 5 2 3 2 8 5" xfId="11088" xr:uid="{78763798-0790-45BC-A28F-9D84C51217BF}"/>
    <cellStyle name="Normal 5 2 3 2 9" xfId="4799" xr:uid="{00000000-0005-0000-0000-000083180000}"/>
    <cellStyle name="Normal 5 2 3 2 9 2" xfId="21682" xr:uid="{513B6CE6-6813-4D57-B309-7FC35129C896}"/>
    <cellStyle name="Normal 5 2 3 2 9 3" xfId="30128" xr:uid="{0442EDC9-6423-487A-B74D-61B05B8E2416}"/>
    <cellStyle name="Normal 5 2 3 2 9 4" xfId="13241" xr:uid="{E66D90D0-E6D6-4BAD-AFAD-7C4065C8634C}"/>
    <cellStyle name="Normal 5 2 3 3" xfId="429" xr:uid="{00000000-0005-0000-0000-000084180000}"/>
    <cellStyle name="Normal 5 2 3 3 10" xfId="25912" xr:uid="{AAC29FE4-A309-4365-B4ED-A52E0485B223}"/>
    <cellStyle name="Normal 5 2 3 3 11" xfId="9027" xr:uid="{BAA4DEBF-1ED1-45B5-9AE4-26797D3ECB07}"/>
    <cellStyle name="Normal 5 2 3 3 2" xfId="430" xr:uid="{00000000-0005-0000-0000-000085180000}"/>
    <cellStyle name="Normal 5 2 3 3 2 10" xfId="9028" xr:uid="{553B23E3-198B-49A2-B94A-DC549B636772}"/>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24245" xr:uid="{EE02579B-2C70-473D-A3B3-E2733B3611F7}"/>
    <cellStyle name="Normal 5 2 3 3 2 2 2 2 3" xfId="32691" xr:uid="{209E9FB9-6015-46BC-8D8A-260C539BC842}"/>
    <cellStyle name="Normal 5 2 3 3 2 2 2 2 4" xfId="15804" xr:uid="{C61C0526-F9CA-4B76-A4F9-A61184C575D2}"/>
    <cellStyle name="Normal 5 2 3 3 2 2 2 3" xfId="20027" xr:uid="{F61A9A95-6E8C-422C-BC95-3AD9A3789A22}"/>
    <cellStyle name="Normal 5 2 3 3 2 2 2 4" xfId="28474" xr:uid="{2202C9EF-C7A5-4CA8-B314-DFAEC8F0DB4B}"/>
    <cellStyle name="Normal 5 2 3 3 2 2 2 5" xfId="11586" xr:uid="{D046E257-C6F9-473F-9774-CC619C2C84A6}"/>
    <cellStyle name="Normal 5 2 3 3 2 2 3" xfId="5217" xr:uid="{00000000-0005-0000-0000-000089180000}"/>
    <cellStyle name="Normal 5 2 3 3 2 2 3 2" xfId="22100" xr:uid="{639DD3BA-3360-4BDB-A3F6-EDBBF3A716F8}"/>
    <cellStyle name="Normal 5 2 3 3 2 2 3 3" xfId="30546" xr:uid="{C72CD960-5838-4C9D-A390-38656391F8DA}"/>
    <cellStyle name="Normal 5 2 3 3 2 2 3 4" xfId="13659" xr:uid="{404FD22D-AC0B-4BD8-8385-C450A9B9DADF}"/>
    <cellStyle name="Normal 5 2 3 3 2 2 4" xfId="17882" xr:uid="{11C586C5-97A9-4547-A3E3-47AEB06DAC88}"/>
    <cellStyle name="Normal 5 2 3 3 2 2 5" xfId="26327" xr:uid="{84B62172-ABDD-4108-A8CD-66E992AB53C3}"/>
    <cellStyle name="Normal 5 2 3 3 2 2 6" xfId="9441" xr:uid="{06C07FDA-2CB9-4646-B4F6-6012215ABEC3}"/>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24658" xr:uid="{5B7477C8-BD64-4099-9B28-74B0EA694D59}"/>
    <cellStyle name="Normal 5 2 3 3 2 3 2 2 3" xfId="33104" xr:uid="{2784C342-DD04-4F56-B594-90DBC6D686F9}"/>
    <cellStyle name="Normal 5 2 3 3 2 3 2 2 4" xfId="16217" xr:uid="{0B938ED2-F8F3-4B8B-A441-77C7B673A0FB}"/>
    <cellStyle name="Normal 5 2 3 3 2 3 2 3" xfId="20440" xr:uid="{4BE76A3E-DA7D-4F04-B9B3-EEF62FC339CC}"/>
    <cellStyle name="Normal 5 2 3 3 2 3 2 4" xfId="28887" xr:uid="{AC2EAF09-59BF-43D7-BD93-F5B21C254616}"/>
    <cellStyle name="Normal 5 2 3 3 2 3 2 5" xfId="11999" xr:uid="{66FD941D-ADC0-4382-94EE-8009E513D163}"/>
    <cellStyle name="Normal 5 2 3 3 2 3 3" xfId="5630" xr:uid="{00000000-0005-0000-0000-00008D180000}"/>
    <cellStyle name="Normal 5 2 3 3 2 3 3 2" xfId="22513" xr:uid="{A1140DD0-3B85-4C82-9D76-C944DF363D16}"/>
    <cellStyle name="Normal 5 2 3 3 2 3 3 3" xfId="30959" xr:uid="{04184885-2433-4F68-8C33-326ACFC6406D}"/>
    <cellStyle name="Normal 5 2 3 3 2 3 3 4" xfId="14072" xr:uid="{3CE06E49-C3C3-4DA7-B9FC-5C212EE7D2F3}"/>
    <cellStyle name="Normal 5 2 3 3 2 3 4" xfId="18295" xr:uid="{81503A52-6F22-4345-8651-E932F762E3F5}"/>
    <cellStyle name="Normal 5 2 3 3 2 3 5" xfId="26740" xr:uid="{D6F00499-BD28-41DE-B48E-969DECE0299A}"/>
    <cellStyle name="Normal 5 2 3 3 2 3 6" xfId="9854" xr:uid="{F20EC0FF-4B1D-40C7-9683-E59EFB849B24}"/>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25071" xr:uid="{F7B918C1-C4FC-45CF-A1D7-DE32FA8CB56A}"/>
    <cellStyle name="Normal 5 2 3 3 2 4 2 2 3" xfId="33517" xr:uid="{26427BC6-23C9-48E8-9CB6-C7C172FF0DAA}"/>
    <cellStyle name="Normal 5 2 3 3 2 4 2 2 4" xfId="16630" xr:uid="{167BA790-A182-40C1-AC9C-F4E7F6AE38F0}"/>
    <cellStyle name="Normal 5 2 3 3 2 4 2 3" xfId="20853" xr:uid="{1EB9C065-E724-4F89-A0DB-556D164029C0}"/>
    <cellStyle name="Normal 5 2 3 3 2 4 2 4" xfId="29300" xr:uid="{AA85B39A-B93A-4B86-BED0-4EBAE4418CB8}"/>
    <cellStyle name="Normal 5 2 3 3 2 4 2 5" xfId="12412" xr:uid="{343A22B0-780E-4AD6-8E26-A13F34F7997E}"/>
    <cellStyle name="Normal 5 2 3 3 2 4 3" xfId="6043" xr:uid="{00000000-0005-0000-0000-000091180000}"/>
    <cellStyle name="Normal 5 2 3 3 2 4 3 2" xfId="22926" xr:uid="{32069160-E2B7-4789-AA6E-28CA943DB354}"/>
    <cellStyle name="Normal 5 2 3 3 2 4 3 3" xfId="31372" xr:uid="{2CE780A1-0D57-44EA-B18C-4606D2250DE7}"/>
    <cellStyle name="Normal 5 2 3 3 2 4 3 4" xfId="14485" xr:uid="{433B0D9D-8949-4101-AECC-039B4FCD895A}"/>
    <cellStyle name="Normal 5 2 3 3 2 4 4" xfId="18708" xr:uid="{FB5B7871-84DC-43FA-A225-9B5F6976442C}"/>
    <cellStyle name="Normal 5 2 3 3 2 4 5" xfId="27153" xr:uid="{C1473A84-0D1B-4E50-8BAE-3A5C0F37B1A8}"/>
    <cellStyle name="Normal 5 2 3 3 2 4 6" xfId="10267" xr:uid="{23EA72BE-0C9D-4694-A2FA-CDDA6DE16D46}"/>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25484" xr:uid="{6776E996-D184-43AE-83D5-FBB3B294F77D}"/>
    <cellStyle name="Normal 5 2 3 3 2 5 2 2 3" xfId="33930" xr:uid="{A5E277FC-1B4C-4C7C-81F2-40F854866D11}"/>
    <cellStyle name="Normal 5 2 3 3 2 5 2 2 4" xfId="17043" xr:uid="{12450E3D-7C44-405E-A39C-28948A35D5E2}"/>
    <cellStyle name="Normal 5 2 3 3 2 5 2 3" xfId="21266" xr:uid="{A91F0DC2-80EB-4172-BC45-DE2383DD2B5C}"/>
    <cellStyle name="Normal 5 2 3 3 2 5 2 4" xfId="29713" xr:uid="{ADA8833C-1BBB-4732-920B-899F1FD5DBC1}"/>
    <cellStyle name="Normal 5 2 3 3 2 5 2 5" xfId="12825" xr:uid="{965B8782-81CA-4D5F-80AB-8D0E656E5AB4}"/>
    <cellStyle name="Normal 5 2 3 3 2 5 3" xfId="6456" xr:uid="{00000000-0005-0000-0000-000095180000}"/>
    <cellStyle name="Normal 5 2 3 3 2 5 3 2" xfId="23339" xr:uid="{BF7D38EE-8F03-46FA-A05A-98CF9BA175BC}"/>
    <cellStyle name="Normal 5 2 3 3 2 5 3 3" xfId="31785" xr:uid="{55D09793-826F-4CC1-8951-2C171D9AFB73}"/>
    <cellStyle name="Normal 5 2 3 3 2 5 3 4" xfId="14898" xr:uid="{37B72CD4-9D65-496A-9AB5-A1E2D9F92606}"/>
    <cellStyle name="Normal 5 2 3 3 2 5 4" xfId="19121" xr:uid="{3604E040-2620-41BD-8ECA-CD1D6E61DED0}"/>
    <cellStyle name="Normal 5 2 3 3 2 5 5" xfId="27566" xr:uid="{A8E496BA-0FD3-4AF9-A4AF-DE0AF73C0CF5}"/>
    <cellStyle name="Normal 5 2 3 3 2 5 6" xfId="10680" xr:uid="{7B080204-ADB8-4F42-A524-A85473FA150F}"/>
    <cellStyle name="Normal 5 2 3 3 2 6" xfId="2585" xr:uid="{00000000-0005-0000-0000-000096180000}"/>
    <cellStyle name="Normal 5 2 3 3 2 6 2" xfId="6869" xr:uid="{00000000-0005-0000-0000-000097180000}"/>
    <cellStyle name="Normal 5 2 3 3 2 6 2 2" xfId="23752" xr:uid="{1E84FB9F-18A6-4F1D-99AD-CF67911B811C}"/>
    <cellStyle name="Normal 5 2 3 3 2 6 2 3" xfId="32198" xr:uid="{638B2C3E-753D-4BC7-8E6C-E044E7028720}"/>
    <cellStyle name="Normal 5 2 3 3 2 6 2 4" xfId="15311" xr:uid="{5BCDDB3A-1E54-464F-B506-D3A4BAE348B0}"/>
    <cellStyle name="Normal 5 2 3 3 2 6 3" xfId="19534" xr:uid="{F55DEE60-4E2A-432E-B614-1D02E2580A47}"/>
    <cellStyle name="Normal 5 2 3 3 2 6 4" xfId="27979" xr:uid="{53EA1919-F8E6-469C-B500-674F1157553B}"/>
    <cellStyle name="Normal 5 2 3 3 2 6 5" xfId="11093" xr:uid="{0DD25DF5-AB09-4183-B7A9-9B78F9E814B4}"/>
    <cellStyle name="Normal 5 2 3 3 2 7" xfId="4804" xr:uid="{00000000-0005-0000-0000-000098180000}"/>
    <cellStyle name="Normal 5 2 3 3 2 7 2" xfId="21687" xr:uid="{79F7CC04-70FC-4E43-B3E0-C40EE9E318C6}"/>
    <cellStyle name="Normal 5 2 3 3 2 7 3" xfId="30133" xr:uid="{321ADCC8-BFAE-45D5-8592-A325DBEE63CC}"/>
    <cellStyle name="Normal 5 2 3 3 2 7 4" xfId="13246" xr:uid="{D193A311-10D2-4D0E-961D-BC6FD1AC67E1}"/>
    <cellStyle name="Normal 5 2 3 3 2 8" xfId="17469" xr:uid="{A5150481-6673-444D-A9EA-93D1E5D0BEF6}"/>
    <cellStyle name="Normal 5 2 3 3 2 9" xfId="25913" xr:uid="{78190DDD-9843-4CDE-9D6F-4ABE12234444}"/>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24244" xr:uid="{187C7DA0-F2CE-4151-92B6-4150F416CDC4}"/>
    <cellStyle name="Normal 5 2 3 3 3 2 2 3" xfId="32690" xr:uid="{63F9C067-4647-452C-9E57-2B684EA2D1B8}"/>
    <cellStyle name="Normal 5 2 3 3 3 2 2 4" xfId="15803" xr:uid="{D91A3DB8-4E2D-4DE7-95CB-5BA12A8EB290}"/>
    <cellStyle name="Normal 5 2 3 3 3 2 3" xfId="20026" xr:uid="{ECB7D29E-5960-4334-8482-94B9259F567A}"/>
    <cellStyle name="Normal 5 2 3 3 3 2 4" xfId="28473" xr:uid="{33D6BDA8-0DC5-49DD-AC37-4C3DD7DE3E5F}"/>
    <cellStyle name="Normal 5 2 3 3 3 2 5" xfId="11585" xr:uid="{E9DAD85B-1AA1-4BB1-8181-4BD3934C026A}"/>
    <cellStyle name="Normal 5 2 3 3 3 3" xfId="5216" xr:uid="{00000000-0005-0000-0000-00009C180000}"/>
    <cellStyle name="Normal 5 2 3 3 3 3 2" xfId="22099" xr:uid="{2847E286-90CB-4D09-B8F3-69DBC48426FD}"/>
    <cellStyle name="Normal 5 2 3 3 3 3 3" xfId="30545" xr:uid="{1F7EF1F0-9EF1-4612-A8CC-A71D67CEF859}"/>
    <cellStyle name="Normal 5 2 3 3 3 3 4" xfId="13658" xr:uid="{D21F5759-A146-4C6D-BC31-F10DEB8AA5A3}"/>
    <cellStyle name="Normal 5 2 3 3 3 4" xfId="17881" xr:uid="{3F8B88EC-1D4B-4FAC-93D3-D45ECD2B84E3}"/>
    <cellStyle name="Normal 5 2 3 3 3 5" xfId="26326" xr:uid="{4043DB19-A114-44AF-917D-8528F4D60C05}"/>
    <cellStyle name="Normal 5 2 3 3 3 6" xfId="9440" xr:uid="{0707EA2E-3D8B-49B2-A1D0-662FF31D0C88}"/>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24657" xr:uid="{48895651-4770-4141-84C9-F9FEB7EA0991}"/>
    <cellStyle name="Normal 5 2 3 3 4 2 2 3" xfId="33103" xr:uid="{51DF5329-F657-4D86-986F-FB44389CC717}"/>
    <cellStyle name="Normal 5 2 3 3 4 2 2 4" xfId="16216" xr:uid="{23A18A5F-0C29-4538-974A-7DFF2DFB313F}"/>
    <cellStyle name="Normal 5 2 3 3 4 2 3" xfId="20439" xr:uid="{DD7BD3FF-33BB-4C4C-A684-1CA9212EEF55}"/>
    <cellStyle name="Normal 5 2 3 3 4 2 4" xfId="28886" xr:uid="{ED91FD80-BF43-4F3B-B7E2-CECD2938AD67}"/>
    <cellStyle name="Normal 5 2 3 3 4 2 5" xfId="11998" xr:uid="{C61723AC-1C25-4FD3-9499-8D90960F522F}"/>
    <cellStyle name="Normal 5 2 3 3 4 3" xfId="5629" xr:uid="{00000000-0005-0000-0000-0000A0180000}"/>
    <cellStyle name="Normal 5 2 3 3 4 3 2" xfId="22512" xr:uid="{3394AC9B-1D76-4E5E-929E-EDC0F9FC1065}"/>
    <cellStyle name="Normal 5 2 3 3 4 3 3" xfId="30958" xr:uid="{86571837-1CAA-4A93-BA9A-CA4AC60FEC5D}"/>
    <cellStyle name="Normal 5 2 3 3 4 3 4" xfId="14071" xr:uid="{970B7C5A-2F31-4F29-8004-3A5201CBAF2E}"/>
    <cellStyle name="Normal 5 2 3 3 4 4" xfId="18294" xr:uid="{2BDD7775-207B-4932-BB85-0589309974D2}"/>
    <cellStyle name="Normal 5 2 3 3 4 5" xfId="26739" xr:uid="{09379F04-AAC8-43B8-8056-ADE3B132732D}"/>
    <cellStyle name="Normal 5 2 3 3 4 6" xfId="9853" xr:uid="{ADB6CA69-6967-4EA6-9008-98CC100FC0D5}"/>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25070" xr:uid="{0D920EA9-B675-4320-BA7F-04D031A9F9C5}"/>
    <cellStyle name="Normal 5 2 3 3 5 2 2 3" xfId="33516" xr:uid="{850A9937-1E45-4047-9A54-B6E1B16C7CFE}"/>
    <cellStyle name="Normal 5 2 3 3 5 2 2 4" xfId="16629" xr:uid="{6D871C2D-E0A5-4B77-AEC6-C07859801306}"/>
    <cellStyle name="Normal 5 2 3 3 5 2 3" xfId="20852" xr:uid="{22A37C87-B2C9-418B-9704-290F4BC99AE4}"/>
    <cellStyle name="Normal 5 2 3 3 5 2 4" xfId="29299" xr:uid="{A9361F99-CC0F-4FEB-8203-9E5D6DEBC287}"/>
    <cellStyle name="Normal 5 2 3 3 5 2 5" xfId="12411" xr:uid="{9C46CE24-E3B4-4473-A572-9BF18CF0E606}"/>
    <cellStyle name="Normal 5 2 3 3 5 3" xfId="6042" xr:uid="{00000000-0005-0000-0000-0000A4180000}"/>
    <cellStyle name="Normal 5 2 3 3 5 3 2" xfId="22925" xr:uid="{CF320FCB-BDA0-407E-9510-23B5C6E49FA8}"/>
    <cellStyle name="Normal 5 2 3 3 5 3 3" xfId="31371" xr:uid="{8F48C593-8CAD-4386-AE24-FD009B74E435}"/>
    <cellStyle name="Normal 5 2 3 3 5 3 4" xfId="14484" xr:uid="{3B3161D8-2F13-48AC-81A7-D7C976A13366}"/>
    <cellStyle name="Normal 5 2 3 3 5 4" xfId="18707" xr:uid="{C64DBFBE-FDF6-4AA6-8C5D-530E8385CBDA}"/>
    <cellStyle name="Normal 5 2 3 3 5 5" xfId="27152" xr:uid="{6589EC7D-7BE2-4894-AF36-71749FC6929C}"/>
    <cellStyle name="Normal 5 2 3 3 5 6" xfId="10266" xr:uid="{E695B428-51B0-448A-B6E5-BE5F5C24B5F3}"/>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25483" xr:uid="{D0DC8C67-785C-44D2-9F80-1C2DE438895D}"/>
    <cellStyle name="Normal 5 2 3 3 6 2 2 3" xfId="33929" xr:uid="{8B58C9D6-021E-40BF-8B46-106735AE9159}"/>
    <cellStyle name="Normal 5 2 3 3 6 2 2 4" xfId="17042" xr:uid="{BFBCE46F-74C8-4F59-BAF2-2A2D1706B44B}"/>
    <cellStyle name="Normal 5 2 3 3 6 2 3" xfId="21265" xr:uid="{91E35FE7-0DA2-4A24-846D-DE27C5C3E43E}"/>
    <cellStyle name="Normal 5 2 3 3 6 2 4" xfId="29712" xr:uid="{3F9CA86A-30FA-4EBA-B788-4B0D63222E26}"/>
    <cellStyle name="Normal 5 2 3 3 6 2 5" xfId="12824" xr:uid="{EDEC8F89-EAEB-49F4-B0F6-284FCAE0CE77}"/>
    <cellStyle name="Normal 5 2 3 3 6 3" xfId="6455" xr:uid="{00000000-0005-0000-0000-0000A8180000}"/>
    <cellStyle name="Normal 5 2 3 3 6 3 2" xfId="23338" xr:uid="{CA3592AD-105C-498C-A25A-468F8A5A29F7}"/>
    <cellStyle name="Normal 5 2 3 3 6 3 3" xfId="31784" xr:uid="{F7187ED0-C636-4A7E-91F2-2B64183966ED}"/>
    <cellStyle name="Normal 5 2 3 3 6 3 4" xfId="14897" xr:uid="{C3822423-D773-4022-AB24-58950C784640}"/>
    <cellStyle name="Normal 5 2 3 3 6 4" xfId="19120" xr:uid="{B7B2EC72-1143-4852-89B9-29951D5ABDAC}"/>
    <cellStyle name="Normal 5 2 3 3 6 5" xfId="27565" xr:uid="{700E9EE3-8EDE-46A4-B755-3352C8D86E47}"/>
    <cellStyle name="Normal 5 2 3 3 6 6" xfId="10679" xr:uid="{065E8C90-842A-4ABD-A76C-262F0C556A2A}"/>
    <cellStyle name="Normal 5 2 3 3 7" xfId="2584" xr:uid="{00000000-0005-0000-0000-0000A9180000}"/>
    <cellStyle name="Normal 5 2 3 3 7 2" xfId="6868" xr:uid="{00000000-0005-0000-0000-0000AA180000}"/>
    <cellStyle name="Normal 5 2 3 3 7 2 2" xfId="23751" xr:uid="{BB311585-8DBA-4527-8A43-D7578B1E18E5}"/>
    <cellStyle name="Normal 5 2 3 3 7 2 3" xfId="32197" xr:uid="{C780A99E-E539-462D-AB97-5916D63E3FE3}"/>
    <cellStyle name="Normal 5 2 3 3 7 2 4" xfId="15310" xr:uid="{3371F4E9-5AA2-4D43-97AF-6C610BBC92D9}"/>
    <cellStyle name="Normal 5 2 3 3 7 3" xfId="19533" xr:uid="{8FC7CA00-F3B6-4A23-845A-68B83EC740A8}"/>
    <cellStyle name="Normal 5 2 3 3 7 4" xfId="27978" xr:uid="{4E07F5DA-834D-44DC-B8DB-4FC216BE5931}"/>
    <cellStyle name="Normal 5 2 3 3 7 5" xfId="11092" xr:uid="{799BB819-823A-47C1-9BC4-C76D9FF1CAFB}"/>
    <cellStyle name="Normal 5 2 3 3 8" xfId="4803" xr:uid="{00000000-0005-0000-0000-0000AB180000}"/>
    <cellStyle name="Normal 5 2 3 3 8 2" xfId="21686" xr:uid="{56B21E36-3025-4491-806C-0AEA02CD2D7C}"/>
    <cellStyle name="Normal 5 2 3 3 8 3" xfId="30132" xr:uid="{DFE4F4A6-F130-4F54-A6B7-4AD1C234A75F}"/>
    <cellStyle name="Normal 5 2 3 3 8 4" xfId="13245" xr:uid="{159605D8-6E83-4CE7-B122-F3A55680A626}"/>
    <cellStyle name="Normal 5 2 3 3 9" xfId="17468" xr:uid="{A72A35CF-CD17-42C7-BA2E-A1C61B49D915}"/>
    <cellStyle name="Normal 5 2 3 4" xfId="431" xr:uid="{00000000-0005-0000-0000-0000AC180000}"/>
    <cellStyle name="Normal 5 2 3 4 10" xfId="9029" xr:uid="{2E3B0F31-FD82-4397-8164-846804335A2A}"/>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24246" xr:uid="{8184FA7D-D07F-4353-B4C8-39E498FC409B}"/>
    <cellStyle name="Normal 5 2 3 4 2 2 2 3" xfId="32692" xr:uid="{CA41DEA7-5B4F-4452-A303-28D59F38EC70}"/>
    <cellStyle name="Normal 5 2 3 4 2 2 2 4" xfId="15805" xr:uid="{865FD16F-FE63-4A8F-B571-CA1280A81D95}"/>
    <cellStyle name="Normal 5 2 3 4 2 2 3" xfId="20028" xr:uid="{38F5FBA9-2DFD-438A-9D4C-E09FA1F30763}"/>
    <cellStyle name="Normal 5 2 3 4 2 2 4" xfId="28475" xr:uid="{149A44B8-F918-4CB6-89CA-30B5EE22887D}"/>
    <cellStyle name="Normal 5 2 3 4 2 2 5" xfId="11587" xr:uid="{357C3056-F612-408B-A289-5C2751DBB5BE}"/>
    <cellStyle name="Normal 5 2 3 4 2 3" xfId="5218" xr:uid="{00000000-0005-0000-0000-0000B0180000}"/>
    <cellStyle name="Normal 5 2 3 4 2 3 2" xfId="22101" xr:uid="{8574C8F2-F4D0-4058-ABDA-9DB98286367E}"/>
    <cellStyle name="Normal 5 2 3 4 2 3 3" xfId="30547" xr:uid="{22815612-0FE2-47C2-AD52-58CF45510B81}"/>
    <cellStyle name="Normal 5 2 3 4 2 3 4" xfId="13660" xr:uid="{352FD7CC-9597-4D7F-A642-3B9B47BF2F2A}"/>
    <cellStyle name="Normal 5 2 3 4 2 4" xfId="17883" xr:uid="{A41889CF-B4ED-408D-B26B-E2786A0BF71D}"/>
    <cellStyle name="Normal 5 2 3 4 2 5" xfId="26328" xr:uid="{5558A450-521B-43BF-8414-DAE6F8DD3AE5}"/>
    <cellStyle name="Normal 5 2 3 4 2 6" xfId="9442" xr:uid="{2BC46B6C-484A-4877-8EAF-DBEF3296E178}"/>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24659" xr:uid="{854833E2-267A-4B74-B3A6-5F6145989386}"/>
    <cellStyle name="Normal 5 2 3 4 3 2 2 3" xfId="33105" xr:uid="{C22E62A5-78F8-4E86-B976-F4C39CF1433E}"/>
    <cellStyle name="Normal 5 2 3 4 3 2 2 4" xfId="16218" xr:uid="{A352371C-4414-410E-8E2B-BC3234349BD0}"/>
    <cellStyle name="Normal 5 2 3 4 3 2 3" xfId="20441" xr:uid="{03344346-83ED-4C90-A1E2-D37555AF11AE}"/>
    <cellStyle name="Normal 5 2 3 4 3 2 4" xfId="28888" xr:uid="{5EB54CA6-25B6-463F-B067-2016A2BB8BEE}"/>
    <cellStyle name="Normal 5 2 3 4 3 2 5" xfId="12000" xr:uid="{95A19018-E9F4-4BEE-8A14-D7E80842907C}"/>
    <cellStyle name="Normal 5 2 3 4 3 3" xfId="5631" xr:uid="{00000000-0005-0000-0000-0000B4180000}"/>
    <cellStyle name="Normal 5 2 3 4 3 3 2" xfId="22514" xr:uid="{C464AB4E-7A4D-440A-A8D2-C9111242630E}"/>
    <cellStyle name="Normal 5 2 3 4 3 3 3" xfId="30960" xr:uid="{F5DE99C9-3ED8-44EF-8B78-95B1CA7F6C1D}"/>
    <cellStyle name="Normal 5 2 3 4 3 3 4" xfId="14073" xr:uid="{FCC9EC85-4A5E-41E8-B5CD-236D5C97F79D}"/>
    <cellStyle name="Normal 5 2 3 4 3 4" xfId="18296" xr:uid="{1F43E1F9-FD8D-43B7-AFFC-ED560651ED31}"/>
    <cellStyle name="Normal 5 2 3 4 3 5" xfId="26741" xr:uid="{A80FCB8A-84A9-480E-9063-9B0F33C83B1F}"/>
    <cellStyle name="Normal 5 2 3 4 3 6" xfId="9855" xr:uid="{DF08DA4B-1568-4FA7-A858-6AA4D1D89B40}"/>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25072" xr:uid="{0C8A31E6-2312-47D3-A4AC-9B16AAE6E330}"/>
    <cellStyle name="Normal 5 2 3 4 4 2 2 3" xfId="33518" xr:uid="{F6D56985-6B45-4DE5-AEEA-88F999520F76}"/>
    <cellStyle name="Normal 5 2 3 4 4 2 2 4" xfId="16631" xr:uid="{BB5E8425-F7F5-4310-85B9-005C6C8F045A}"/>
    <cellStyle name="Normal 5 2 3 4 4 2 3" xfId="20854" xr:uid="{B3D17251-FA40-4B16-87B2-81CAA7030345}"/>
    <cellStyle name="Normal 5 2 3 4 4 2 4" xfId="29301" xr:uid="{C3BDF2FD-0984-4B18-86BF-B930C8791087}"/>
    <cellStyle name="Normal 5 2 3 4 4 2 5" xfId="12413" xr:uid="{5D4E32D6-F489-413F-962B-2565A1A338CD}"/>
    <cellStyle name="Normal 5 2 3 4 4 3" xfId="6044" xr:uid="{00000000-0005-0000-0000-0000B8180000}"/>
    <cellStyle name="Normal 5 2 3 4 4 3 2" xfId="22927" xr:uid="{C2EEF1B6-5DCA-45E5-B60D-1E0A044E97B9}"/>
    <cellStyle name="Normal 5 2 3 4 4 3 3" xfId="31373" xr:uid="{D3F19D8A-F05B-45A3-AEA3-2B40E337EFB3}"/>
    <cellStyle name="Normal 5 2 3 4 4 3 4" xfId="14486" xr:uid="{245C5220-AC3E-491F-B2E7-5336DA6E029C}"/>
    <cellStyle name="Normal 5 2 3 4 4 4" xfId="18709" xr:uid="{78C4F77A-B598-4724-B3C5-B16E60300BB4}"/>
    <cellStyle name="Normal 5 2 3 4 4 5" xfId="27154" xr:uid="{BDBA1ED8-8627-40F5-BB4B-B08863D0C6DD}"/>
    <cellStyle name="Normal 5 2 3 4 4 6" xfId="10268" xr:uid="{7881592F-87EC-4BD6-9659-68B8A0DB7F8D}"/>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25485" xr:uid="{0488494E-F581-423A-A7A0-948A370AB1D0}"/>
    <cellStyle name="Normal 5 2 3 4 5 2 2 3" xfId="33931" xr:uid="{D0910B87-3A59-4E70-9253-BC34E60424FC}"/>
    <cellStyle name="Normal 5 2 3 4 5 2 2 4" xfId="17044" xr:uid="{09CD60DF-7E2D-4DCA-BF8A-0A2DD5374DB2}"/>
    <cellStyle name="Normal 5 2 3 4 5 2 3" xfId="21267" xr:uid="{DDE8F597-FB28-4ED3-9D21-B2E4AB67A341}"/>
    <cellStyle name="Normal 5 2 3 4 5 2 4" xfId="29714" xr:uid="{93903181-E9F9-42C5-A5AD-491AEF0CDBED}"/>
    <cellStyle name="Normal 5 2 3 4 5 2 5" xfId="12826" xr:uid="{7A7F9905-4981-43D2-B510-53DCB248BCC0}"/>
    <cellStyle name="Normal 5 2 3 4 5 3" xfId="6457" xr:uid="{00000000-0005-0000-0000-0000BC180000}"/>
    <cellStyle name="Normal 5 2 3 4 5 3 2" xfId="23340" xr:uid="{09D6A977-DCA9-4A68-93F8-57298F9ACEA4}"/>
    <cellStyle name="Normal 5 2 3 4 5 3 3" xfId="31786" xr:uid="{7C91206F-BCC1-4B30-8259-B2ACCD12387B}"/>
    <cellStyle name="Normal 5 2 3 4 5 3 4" xfId="14899" xr:uid="{8BF89B79-1C13-476B-9A41-5E929A230033}"/>
    <cellStyle name="Normal 5 2 3 4 5 4" xfId="19122" xr:uid="{9DFB73EF-4BD2-47BB-899E-767BCD4F2387}"/>
    <cellStyle name="Normal 5 2 3 4 5 5" xfId="27567" xr:uid="{67D49114-601F-48E5-9F90-090C38D2DBFC}"/>
    <cellStyle name="Normal 5 2 3 4 5 6" xfId="10681" xr:uid="{79C0209C-F855-448B-93F0-8F831DC76749}"/>
    <cellStyle name="Normal 5 2 3 4 6" xfId="2586" xr:uid="{00000000-0005-0000-0000-0000BD180000}"/>
    <cellStyle name="Normal 5 2 3 4 6 2" xfId="6870" xr:uid="{00000000-0005-0000-0000-0000BE180000}"/>
    <cellStyle name="Normal 5 2 3 4 6 2 2" xfId="23753" xr:uid="{E2F771E4-A99E-4EF7-BEF9-CEF4549835A8}"/>
    <cellStyle name="Normal 5 2 3 4 6 2 3" xfId="32199" xr:uid="{F01E6C58-F7E4-4A0D-8045-466FEF1C2759}"/>
    <cellStyle name="Normal 5 2 3 4 6 2 4" xfId="15312" xr:uid="{5D1BD11D-23BB-4648-B022-E41BF63A3430}"/>
    <cellStyle name="Normal 5 2 3 4 6 3" xfId="19535" xr:uid="{03386D6E-272C-4E89-AB4E-02BFECF6B6F8}"/>
    <cellStyle name="Normal 5 2 3 4 6 4" xfId="27980" xr:uid="{84A8B768-1785-4ADD-9EB8-37902EF91F4F}"/>
    <cellStyle name="Normal 5 2 3 4 6 5" xfId="11094" xr:uid="{B666A413-5C58-43BA-86FE-59A619D718DF}"/>
    <cellStyle name="Normal 5 2 3 4 7" xfId="4805" xr:uid="{00000000-0005-0000-0000-0000BF180000}"/>
    <cellStyle name="Normal 5 2 3 4 7 2" xfId="21688" xr:uid="{2267E332-3986-4E34-8AAA-24715C238F23}"/>
    <cellStyle name="Normal 5 2 3 4 7 3" xfId="30134" xr:uid="{2E6F2988-E587-40A5-8033-32212A14C301}"/>
    <cellStyle name="Normal 5 2 3 4 7 4" xfId="13247" xr:uid="{DD264CF3-7989-4E8B-8D93-26A5CD21EB91}"/>
    <cellStyle name="Normal 5 2 3 4 8" xfId="17470" xr:uid="{092C7335-4809-494D-9383-04A0A625DA9D}"/>
    <cellStyle name="Normal 5 2 3 4 9" xfId="25914" xr:uid="{ED8C25E3-E0D1-433C-A188-BB2FAC934847}"/>
    <cellStyle name="Normal 5 2 3 5" xfId="898" xr:uid="{00000000-0005-0000-0000-0000C0180000}"/>
    <cellStyle name="Normal 5 2 3 5 2" xfId="3133" xr:uid="{00000000-0005-0000-0000-0000C1180000}"/>
    <cellStyle name="Normal 5 2 3 5 2 2" xfId="7356" xr:uid="{00000000-0005-0000-0000-0000C2180000}"/>
    <cellStyle name="Normal 5 2 3 5 2 2 2" xfId="24239" xr:uid="{4385B321-92F9-42D4-895A-562C53D896D6}"/>
    <cellStyle name="Normal 5 2 3 5 2 2 3" xfId="32685" xr:uid="{1D12B4D3-F1EF-4176-A426-15D98C1904B8}"/>
    <cellStyle name="Normal 5 2 3 5 2 2 4" xfId="15798" xr:uid="{24D06EB1-909A-4EC2-B7E8-90494DC568D9}"/>
    <cellStyle name="Normal 5 2 3 5 2 3" xfId="20021" xr:uid="{5CCED07F-F806-49F4-B18C-37ADCDC1D114}"/>
    <cellStyle name="Normal 5 2 3 5 2 4" xfId="28468" xr:uid="{41DB52F0-049D-4770-A01E-102C427565DF}"/>
    <cellStyle name="Normal 5 2 3 5 2 5" xfId="11580" xr:uid="{18D6CB51-A61B-441E-B5C0-874A5ABE3302}"/>
    <cellStyle name="Normal 5 2 3 5 3" xfId="5211" xr:uid="{00000000-0005-0000-0000-0000C3180000}"/>
    <cellStyle name="Normal 5 2 3 5 3 2" xfId="22094" xr:uid="{6A44E586-EE5D-4ED1-A302-803DE89ED56B}"/>
    <cellStyle name="Normal 5 2 3 5 3 3" xfId="30540" xr:uid="{19C4366E-FB48-479F-B2A4-E326ACD5EAC6}"/>
    <cellStyle name="Normal 5 2 3 5 3 4" xfId="13653" xr:uid="{1BEBE12A-BC2E-4029-9828-ED5B2C63FB6D}"/>
    <cellStyle name="Normal 5 2 3 5 4" xfId="17876" xr:uid="{C2D75F15-A75A-4906-AC61-B9C63515BAE8}"/>
    <cellStyle name="Normal 5 2 3 5 5" xfId="26321" xr:uid="{62643DE0-E5E5-4776-8800-78C891E0F873}"/>
    <cellStyle name="Normal 5 2 3 5 6" xfId="9435" xr:uid="{DFAB8D7F-A261-497C-B7DC-B2858940D18C}"/>
    <cellStyle name="Normal 5 2 3 6" xfId="1316" xr:uid="{00000000-0005-0000-0000-0000C4180000}"/>
    <cellStyle name="Normal 5 2 3 6 2" xfId="3546" xr:uid="{00000000-0005-0000-0000-0000C5180000}"/>
    <cellStyle name="Normal 5 2 3 6 2 2" xfId="7769" xr:uid="{00000000-0005-0000-0000-0000C6180000}"/>
    <cellStyle name="Normal 5 2 3 6 2 2 2" xfId="24652" xr:uid="{1C4798A7-2871-4CBE-BDB8-4FDEB3A0DCAC}"/>
    <cellStyle name="Normal 5 2 3 6 2 2 3" xfId="33098" xr:uid="{F372E539-9618-416F-8794-F18A9302D7BC}"/>
    <cellStyle name="Normal 5 2 3 6 2 2 4" xfId="16211" xr:uid="{5CE4ACE8-92DC-4D89-B188-06D474DDF86E}"/>
    <cellStyle name="Normal 5 2 3 6 2 3" xfId="20434" xr:uid="{8B3D9BCF-EE3E-49F0-8EB4-349B0BF27388}"/>
    <cellStyle name="Normal 5 2 3 6 2 4" xfId="28881" xr:uid="{762FDA48-ED35-40FC-BE6F-179BCD99F24B}"/>
    <cellStyle name="Normal 5 2 3 6 2 5" xfId="11993" xr:uid="{56856274-7B5E-4BE0-9B77-2355159FB0E5}"/>
    <cellStyle name="Normal 5 2 3 6 3" xfId="5624" xr:uid="{00000000-0005-0000-0000-0000C7180000}"/>
    <cellStyle name="Normal 5 2 3 6 3 2" xfId="22507" xr:uid="{54E8D3FA-5709-4041-B2A9-3723A463C842}"/>
    <cellStyle name="Normal 5 2 3 6 3 3" xfId="30953" xr:uid="{E782B56C-B431-4A0D-A989-BF05FE47BDD3}"/>
    <cellStyle name="Normal 5 2 3 6 3 4" xfId="14066" xr:uid="{2E26ACD5-409D-4880-8186-BF551C29A54C}"/>
    <cellStyle name="Normal 5 2 3 6 4" xfId="18289" xr:uid="{16DD26E7-40EA-4DCA-A937-4ADD7D9A269C}"/>
    <cellStyle name="Normal 5 2 3 6 5" xfId="26734" xr:uid="{1AB80951-45B7-4245-8D4B-F41E883B01E2}"/>
    <cellStyle name="Normal 5 2 3 6 6" xfId="9848" xr:uid="{575ACA8C-C59F-4F39-A990-7BA5803126D6}"/>
    <cellStyle name="Normal 5 2 3 7" xfId="1729" xr:uid="{00000000-0005-0000-0000-0000C8180000}"/>
    <cellStyle name="Normal 5 2 3 7 2" xfId="3959" xr:uid="{00000000-0005-0000-0000-0000C9180000}"/>
    <cellStyle name="Normal 5 2 3 7 2 2" xfId="8182" xr:uid="{00000000-0005-0000-0000-0000CA180000}"/>
    <cellStyle name="Normal 5 2 3 7 2 2 2" xfId="25065" xr:uid="{503BDD56-4D82-4F34-BE28-F02414BF5EF0}"/>
    <cellStyle name="Normal 5 2 3 7 2 2 3" xfId="33511" xr:uid="{72B5DABC-C709-480D-B454-82ADF1BE9C4B}"/>
    <cellStyle name="Normal 5 2 3 7 2 2 4" xfId="16624" xr:uid="{B4FDF673-9A83-4CBD-BBB0-589B1FE960A3}"/>
    <cellStyle name="Normal 5 2 3 7 2 3" xfId="20847" xr:uid="{9C08F2EC-1CF9-4F91-8138-49A06F86D66E}"/>
    <cellStyle name="Normal 5 2 3 7 2 4" xfId="29294" xr:uid="{73D4E6F8-8022-40DE-A599-8E60249EBAF8}"/>
    <cellStyle name="Normal 5 2 3 7 2 5" xfId="12406" xr:uid="{144AEC8B-2382-436A-A4D3-BEC4B1B3661E}"/>
    <cellStyle name="Normal 5 2 3 7 3" xfId="6037" xr:uid="{00000000-0005-0000-0000-0000CB180000}"/>
    <cellStyle name="Normal 5 2 3 7 3 2" xfId="22920" xr:uid="{F3994F87-1C41-4115-B5D9-3E623B8B4CA5}"/>
    <cellStyle name="Normal 5 2 3 7 3 3" xfId="31366" xr:uid="{94B1B3A9-C1F2-41E4-87EE-416BFA06E7B8}"/>
    <cellStyle name="Normal 5 2 3 7 3 4" xfId="14479" xr:uid="{30C77E54-7871-4453-ADDD-51CBF2386FB9}"/>
    <cellStyle name="Normal 5 2 3 7 4" xfId="18702" xr:uid="{1B69CAF9-FEFD-4FB3-B949-AC65A2637128}"/>
    <cellStyle name="Normal 5 2 3 7 5" xfId="27147" xr:uid="{734CF40F-BEE9-4AFA-92B1-E93D42662B8A}"/>
    <cellStyle name="Normal 5 2 3 7 6" xfId="10261" xr:uid="{C69F2339-DF5F-4EC0-B021-42714EB8B337}"/>
    <cellStyle name="Normal 5 2 3 8" xfId="2143" xr:uid="{00000000-0005-0000-0000-0000CC180000}"/>
    <cellStyle name="Normal 5 2 3 8 2" xfId="4372" xr:uid="{00000000-0005-0000-0000-0000CD180000}"/>
    <cellStyle name="Normal 5 2 3 8 2 2" xfId="8595" xr:uid="{00000000-0005-0000-0000-0000CE180000}"/>
    <cellStyle name="Normal 5 2 3 8 2 2 2" xfId="25478" xr:uid="{6AF37822-FA12-403F-B27C-1EB82EA06E86}"/>
    <cellStyle name="Normal 5 2 3 8 2 2 3" xfId="33924" xr:uid="{58CBE269-1D9F-4DE8-8227-65B0913B813B}"/>
    <cellStyle name="Normal 5 2 3 8 2 2 4" xfId="17037" xr:uid="{1C1ACA85-45FA-4B82-B0FF-90A0F731F116}"/>
    <cellStyle name="Normal 5 2 3 8 2 3" xfId="21260" xr:uid="{1EADF3E2-600C-45C2-AE2C-944E2A2B7806}"/>
    <cellStyle name="Normal 5 2 3 8 2 4" xfId="29707" xr:uid="{0FD8FA77-857C-4BCF-B2AF-A3EB928BDA97}"/>
    <cellStyle name="Normal 5 2 3 8 2 5" xfId="12819" xr:uid="{28819D15-ABA0-4A0A-B4EA-1F23CCFC42C5}"/>
    <cellStyle name="Normal 5 2 3 8 3" xfId="6450" xr:uid="{00000000-0005-0000-0000-0000CF180000}"/>
    <cellStyle name="Normal 5 2 3 8 3 2" xfId="23333" xr:uid="{D657DC02-96FE-4339-89D9-0399C536D8F8}"/>
    <cellStyle name="Normal 5 2 3 8 3 3" xfId="31779" xr:uid="{98F370BB-02EC-4BF1-B2FF-682D888AEBD4}"/>
    <cellStyle name="Normal 5 2 3 8 3 4" xfId="14892" xr:uid="{D9D11736-50F4-4F06-B4BA-007216DED178}"/>
    <cellStyle name="Normal 5 2 3 8 4" xfId="19115" xr:uid="{BB907558-4A04-42F1-907E-3D6DCA2B5A6A}"/>
    <cellStyle name="Normal 5 2 3 8 5" xfId="27560" xr:uid="{0D048E2A-852F-4333-9A26-3AA6FC3B1F10}"/>
    <cellStyle name="Normal 5 2 3 8 6" xfId="10674" xr:uid="{FA35E145-F18E-4C0B-9416-8E9CB0FB4C66}"/>
    <cellStyle name="Normal 5 2 3 9" xfId="2579" xr:uid="{00000000-0005-0000-0000-0000D0180000}"/>
    <cellStyle name="Normal 5 2 3 9 2" xfId="6863" xr:uid="{00000000-0005-0000-0000-0000D1180000}"/>
    <cellStyle name="Normal 5 2 3 9 2 2" xfId="23746" xr:uid="{7564204A-0626-451C-B69B-7B42A34C1E06}"/>
    <cellStyle name="Normal 5 2 3 9 2 3" xfId="32192" xr:uid="{F6AF499A-6AC2-4E20-B8BF-DCE77FA380C4}"/>
    <cellStyle name="Normal 5 2 3 9 2 4" xfId="15305" xr:uid="{13484916-E43F-4525-838A-B673EA03A840}"/>
    <cellStyle name="Normal 5 2 3 9 3" xfId="19528" xr:uid="{40513A9D-231D-4EF6-A4DD-9A7F5C185A16}"/>
    <cellStyle name="Normal 5 2 3 9 4" xfId="27973" xr:uid="{62E623C1-49DC-45B5-9327-482FDB699935}"/>
    <cellStyle name="Normal 5 2 3 9 5" xfId="11087" xr:uid="{24398859-2D46-4977-9F49-7A166728BB4C}"/>
    <cellStyle name="Normal 5 2 4" xfId="432" xr:uid="{00000000-0005-0000-0000-0000D2180000}"/>
    <cellStyle name="Normal 5 2 4 10" xfId="17471" xr:uid="{E983FA35-F6A6-4457-A875-E9100B9D04B9}"/>
    <cellStyle name="Normal 5 2 4 11" xfId="25915" xr:uid="{668D3220-2488-45F5-8E73-12D8D990A25B}"/>
    <cellStyle name="Normal 5 2 4 12" xfId="9030" xr:uid="{7EF22458-3FB9-426E-A206-8993D70B740B}"/>
    <cellStyle name="Normal 5 2 4 2" xfId="433" xr:uid="{00000000-0005-0000-0000-0000D3180000}"/>
    <cellStyle name="Normal 5 2 4 2 10" xfId="25916" xr:uid="{33CF28F2-2F42-4B52-A934-BDE02ACE5DDB}"/>
    <cellStyle name="Normal 5 2 4 2 11" xfId="9031" xr:uid="{5451B8C1-B7A5-4F7A-AD65-B1D57D5004FD}"/>
    <cellStyle name="Normal 5 2 4 2 2" xfId="434" xr:uid="{00000000-0005-0000-0000-0000D4180000}"/>
    <cellStyle name="Normal 5 2 4 2 2 10" xfId="9032" xr:uid="{2DA060B8-1EA2-4D3B-A453-1D8F43ECDB98}"/>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24249" xr:uid="{C05251F2-8E77-4AD2-A074-53EBC73C422E}"/>
    <cellStyle name="Normal 5 2 4 2 2 2 2 2 3" xfId="32695" xr:uid="{C553EBEB-45EB-4063-8B35-284522A77142}"/>
    <cellStyle name="Normal 5 2 4 2 2 2 2 2 4" xfId="15808" xr:uid="{25B98473-A4E4-4E88-9EFB-13D89B15835E}"/>
    <cellStyle name="Normal 5 2 4 2 2 2 2 3" xfId="20031" xr:uid="{9B08BE5D-0DBF-4118-A937-62A953331454}"/>
    <cellStyle name="Normal 5 2 4 2 2 2 2 4" xfId="28478" xr:uid="{9A827F96-D128-45D3-AD51-85E95CA70EAA}"/>
    <cellStyle name="Normal 5 2 4 2 2 2 2 5" xfId="11590" xr:uid="{433FFF2A-91A4-40DD-B768-A8205E1075A4}"/>
    <cellStyle name="Normal 5 2 4 2 2 2 3" xfId="5221" xr:uid="{00000000-0005-0000-0000-0000D8180000}"/>
    <cellStyle name="Normal 5 2 4 2 2 2 3 2" xfId="22104" xr:uid="{B22E6386-863B-4B6A-9CF3-4525CFA4EA9E}"/>
    <cellStyle name="Normal 5 2 4 2 2 2 3 3" xfId="30550" xr:uid="{BB35C132-2066-4485-BC34-056DAE1D1F0C}"/>
    <cellStyle name="Normal 5 2 4 2 2 2 3 4" xfId="13663" xr:uid="{B2E23AE1-A052-4137-98AA-0155127BAEC4}"/>
    <cellStyle name="Normal 5 2 4 2 2 2 4" xfId="17886" xr:uid="{00E20300-7227-453C-9547-320AF8F5624A}"/>
    <cellStyle name="Normal 5 2 4 2 2 2 5" xfId="26331" xr:uid="{4ACEF9D2-1B63-40DC-81F6-D7F81FFA3BC6}"/>
    <cellStyle name="Normal 5 2 4 2 2 2 6" xfId="9445" xr:uid="{B5D6B1F9-3D45-4E5D-A62E-D32B3B686FF9}"/>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24662" xr:uid="{39452E84-C798-4A81-A642-50B3052922AA}"/>
    <cellStyle name="Normal 5 2 4 2 2 3 2 2 3" xfId="33108" xr:uid="{BCED1833-E8E0-4D34-940A-1B53A4349961}"/>
    <cellStyle name="Normal 5 2 4 2 2 3 2 2 4" xfId="16221" xr:uid="{1B4B71EB-542B-4562-B7B9-5FDBC9F9AC44}"/>
    <cellStyle name="Normal 5 2 4 2 2 3 2 3" xfId="20444" xr:uid="{37A0E50A-15EF-403B-958A-9C10663FBB96}"/>
    <cellStyle name="Normal 5 2 4 2 2 3 2 4" xfId="28891" xr:uid="{28CED5DF-E251-4538-A1C6-8EBA47226A72}"/>
    <cellStyle name="Normal 5 2 4 2 2 3 2 5" xfId="12003" xr:uid="{EFE2FCEF-C273-460A-A0A4-9CC71C18D82A}"/>
    <cellStyle name="Normal 5 2 4 2 2 3 3" xfId="5634" xr:uid="{00000000-0005-0000-0000-0000DC180000}"/>
    <cellStyle name="Normal 5 2 4 2 2 3 3 2" xfId="22517" xr:uid="{3FF6C9EE-107E-4E42-9DFB-A919F7409250}"/>
    <cellStyle name="Normal 5 2 4 2 2 3 3 3" xfId="30963" xr:uid="{DBB78946-1A87-44EE-9E62-1D0D87151E2E}"/>
    <cellStyle name="Normal 5 2 4 2 2 3 3 4" xfId="14076" xr:uid="{344E0655-3F2E-4162-B2D6-5DE5A6717270}"/>
    <cellStyle name="Normal 5 2 4 2 2 3 4" xfId="18299" xr:uid="{8A1FD5FC-638E-457D-B17E-C653D75F4D31}"/>
    <cellStyle name="Normal 5 2 4 2 2 3 5" xfId="26744" xr:uid="{865F1846-DC6A-4F84-89C0-3C7E46647B6E}"/>
    <cellStyle name="Normal 5 2 4 2 2 3 6" xfId="9858" xr:uid="{B266C0EC-FECD-4721-85BE-8C14FFB6E21A}"/>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25075" xr:uid="{B8D6528C-F42F-4C9B-A604-847D6276783A}"/>
    <cellStyle name="Normal 5 2 4 2 2 4 2 2 3" xfId="33521" xr:uid="{D429A367-CF37-43A7-8355-A5A1209A7962}"/>
    <cellStyle name="Normal 5 2 4 2 2 4 2 2 4" xfId="16634" xr:uid="{402D91F8-7992-48B9-8613-676E0C84DF85}"/>
    <cellStyle name="Normal 5 2 4 2 2 4 2 3" xfId="20857" xr:uid="{5D11BF04-5DB3-462A-A503-32E3959EDAED}"/>
    <cellStyle name="Normal 5 2 4 2 2 4 2 4" xfId="29304" xr:uid="{87F51C69-734D-4D27-99BE-BFC6B5EF1FFB}"/>
    <cellStyle name="Normal 5 2 4 2 2 4 2 5" xfId="12416" xr:uid="{83344B24-B29E-46F4-B2B5-A79F7A81DEFF}"/>
    <cellStyle name="Normal 5 2 4 2 2 4 3" xfId="6047" xr:uid="{00000000-0005-0000-0000-0000E0180000}"/>
    <cellStyle name="Normal 5 2 4 2 2 4 3 2" xfId="22930" xr:uid="{B040BCF7-1DD4-4453-BD98-68E9D464B199}"/>
    <cellStyle name="Normal 5 2 4 2 2 4 3 3" xfId="31376" xr:uid="{58B888D2-A6AD-4D49-A0BC-8DE5400BE2D6}"/>
    <cellStyle name="Normal 5 2 4 2 2 4 3 4" xfId="14489" xr:uid="{364DAC07-701A-4BA3-B7FA-6B6718A08289}"/>
    <cellStyle name="Normal 5 2 4 2 2 4 4" xfId="18712" xr:uid="{A7E69AEE-D4B2-4D75-91A4-DE9A201D7E99}"/>
    <cellStyle name="Normal 5 2 4 2 2 4 5" xfId="27157" xr:uid="{72F8D323-E66B-4DA0-8DD4-F7539E0B08A6}"/>
    <cellStyle name="Normal 5 2 4 2 2 4 6" xfId="10271" xr:uid="{2E906B58-E932-41C6-B458-507ABD245AA9}"/>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25488" xr:uid="{F8DDD1F5-8410-4E44-95F8-1F36E16FD96E}"/>
    <cellStyle name="Normal 5 2 4 2 2 5 2 2 3" xfId="33934" xr:uid="{06600F31-117A-496C-A3CF-E383C0656ED4}"/>
    <cellStyle name="Normal 5 2 4 2 2 5 2 2 4" xfId="17047" xr:uid="{B9CB984B-8361-43B0-93B6-87B67AA4D60C}"/>
    <cellStyle name="Normal 5 2 4 2 2 5 2 3" xfId="21270" xr:uid="{8018C597-E072-4504-AFFE-ECFE93FFFA9B}"/>
    <cellStyle name="Normal 5 2 4 2 2 5 2 4" xfId="29717" xr:uid="{710F12C8-23E5-4A84-8E9D-DDA8C4E4609D}"/>
    <cellStyle name="Normal 5 2 4 2 2 5 2 5" xfId="12829" xr:uid="{F3850EB7-6560-4470-895B-F312806A78B6}"/>
    <cellStyle name="Normal 5 2 4 2 2 5 3" xfId="6460" xr:uid="{00000000-0005-0000-0000-0000E4180000}"/>
    <cellStyle name="Normal 5 2 4 2 2 5 3 2" xfId="23343" xr:uid="{0709EF42-F9DF-4C2C-B48C-422E20933A8D}"/>
    <cellStyle name="Normal 5 2 4 2 2 5 3 3" xfId="31789" xr:uid="{FDDB7F71-8776-46AC-BB40-3BCDF5191510}"/>
    <cellStyle name="Normal 5 2 4 2 2 5 3 4" xfId="14902" xr:uid="{68E7D1D9-7695-49D6-A15B-6B496C89CC2C}"/>
    <cellStyle name="Normal 5 2 4 2 2 5 4" xfId="19125" xr:uid="{37050AE5-7F0A-4DE1-BEB6-187EF72AADC6}"/>
    <cellStyle name="Normal 5 2 4 2 2 5 5" xfId="27570" xr:uid="{D66043BF-635B-41C0-AD5B-4E0F1847A81D}"/>
    <cellStyle name="Normal 5 2 4 2 2 5 6" xfId="10684" xr:uid="{F1ACE250-30E0-4D96-8604-22019B66AF4B}"/>
    <cellStyle name="Normal 5 2 4 2 2 6" xfId="2589" xr:uid="{00000000-0005-0000-0000-0000E5180000}"/>
    <cellStyle name="Normal 5 2 4 2 2 6 2" xfId="6873" xr:uid="{00000000-0005-0000-0000-0000E6180000}"/>
    <cellStyle name="Normal 5 2 4 2 2 6 2 2" xfId="23756" xr:uid="{F6610391-DDA3-4638-928F-CF2F4EB36CDB}"/>
    <cellStyle name="Normal 5 2 4 2 2 6 2 3" xfId="32202" xr:uid="{ED2942AF-DA60-4042-B69F-914920C2DA63}"/>
    <cellStyle name="Normal 5 2 4 2 2 6 2 4" xfId="15315" xr:uid="{0B4897DF-BBB6-42C2-B19A-CAF6F494141C}"/>
    <cellStyle name="Normal 5 2 4 2 2 6 3" xfId="19538" xr:uid="{049D6769-6C57-493C-9EF2-51ED85EFBC8A}"/>
    <cellStyle name="Normal 5 2 4 2 2 6 4" xfId="27983" xr:uid="{5467161D-3BB7-4137-ACF4-24C859B000A8}"/>
    <cellStyle name="Normal 5 2 4 2 2 6 5" xfId="11097" xr:uid="{E8E0CDCC-DCF4-451D-93F6-87768517F0DB}"/>
    <cellStyle name="Normal 5 2 4 2 2 7" xfId="4808" xr:uid="{00000000-0005-0000-0000-0000E7180000}"/>
    <cellStyle name="Normal 5 2 4 2 2 7 2" xfId="21691" xr:uid="{42BD80DF-381F-494E-86E8-8432E14C22DE}"/>
    <cellStyle name="Normal 5 2 4 2 2 7 3" xfId="30137" xr:uid="{ABD518A1-B52E-4A03-9B7F-57D8472396D7}"/>
    <cellStyle name="Normal 5 2 4 2 2 7 4" xfId="13250" xr:uid="{801D0CB6-B0EB-41D2-9C4B-37CA5476C1C1}"/>
    <cellStyle name="Normal 5 2 4 2 2 8" xfId="17473" xr:uid="{C8E23F54-C4E6-470B-AD65-61FDFA747F22}"/>
    <cellStyle name="Normal 5 2 4 2 2 9" xfId="25917" xr:uid="{01DBF74B-9995-484B-9192-211DD7E42C1D}"/>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24248" xr:uid="{E5A360B0-45B9-40CF-99C5-0E02158239B7}"/>
    <cellStyle name="Normal 5 2 4 2 3 2 2 3" xfId="32694" xr:uid="{AAA4FDC5-A249-417E-BE82-93F560840286}"/>
    <cellStyle name="Normal 5 2 4 2 3 2 2 4" xfId="15807" xr:uid="{E9AF249C-DB66-4012-BD9E-F1D9EF43B958}"/>
    <cellStyle name="Normal 5 2 4 2 3 2 3" xfId="20030" xr:uid="{C88C6B85-3A02-4A33-8AA4-E91E48A2255D}"/>
    <cellStyle name="Normal 5 2 4 2 3 2 4" xfId="28477" xr:uid="{E9BD9428-EEB6-416F-AC53-7130A4E06DCD}"/>
    <cellStyle name="Normal 5 2 4 2 3 2 5" xfId="11589" xr:uid="{8B3DD3A9-EFB0-417D-9695-887588C7C6DB}"/>
    <cellStyle name="Normal 5 2 4 2 3 3" xfId="5220" xr:uid="{00000000-0005-0000-0000-0000EB180000}"/>
    <cellStyle name="Normal 5 2 4 2 3 3 2" xfId="22103" xr:uid="{042F8364-99C9-45D7-BE34-8CE81E25755F}"/>
    <cellStyle name="Normal 5 2 4 2 3 3 3" xfId="30549" xr:uid="{83A1C31B-5276-46E7-8E8A-2FD75B7B736C}"/>
    <cellStyle name="Normal 5 2 4 2 3 3 4" xfId="13662" xr:uid="{3634D6A0-8DA3-452B-815F-9185FDAD428C}"/>
    <cellStyle name="Normal 5 2 4 2 3 4" xfId="17885" xr:uid="{F51508BD-D98F-4F9D-9F70-F9AD738893C0}"/>
    <cellStyle name="Normal 5 2 4 2 3 5" xfId="26330" xr:uid="{020DCDCD-98DE-4602-80EB-1CB4EFF43C81}"/>
    <cellStyle name="Normal 5 2 4 2 3 6" xfId="9444" xr:uid="{EF20E66F-C90A-4213-A837-FAD1B261DA9E}"/>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24661" xr:uid="{AEB0CE92-092A-467F-AABD-5B435A580FED}"/>
    <cellStyle name="Normal 5 2 4 2 4 2 2 3" xfId="33107" xr:uid="{EC81F14D-1F31-48D7-9984-B122BED01434}"/>
    <cellStyle name="Normal 5 2 4 2 4 2 2 4" xfId="16220" xr:uid="{FFBDBCDE-7517-4737-9C2D-4F1CEE894900}"/>
    <cellStyle name="Normal 5 2 4 2 4 2 3" xfId="20443" xr:uid="{7015154B-5639-4E84-B73B-D5304B2C4695}"/>
    <cellStyle name="Normal 5 2 4 2 4 2 4" xfId="28890" xr:uid="{BDAA7996-2033-4463-9E32-2184D35A7435}"/>
    <cellStyle name="Normal 5 2 4 2 4 2 5" xfId="12002" xr:uid="{BC56F42A-94EA-4373-BF03-501606C01B9D}"/>
    <cellStyle name="Normal 5 2 4 2 4 3" xfId="5633" xr:uid="{00000000-0005-0000-0000-0000EF180000}"/>
    <cellStyle name="Normal 5 2 4 2 4 3 2" xfId="22516" xr:uid="{C257E88A-BA46-4FFA-92C4-34704C7664E2}"/>
    <cellStyle name="Normal 5 2 4 2 4 3 3" xfId="30962" xr:uid="{2C72D4BE-07F9-431C-94DB-2489E2C9DDC8}"/>
    <cellStyle name="Normal 5 2 4 2 4 3 4" xfId="14075" xr:uid="{9CC5E328-60C5-44B1-8EBF-C5D472650660}"/>
    <cellStyle name="Normal 5 2 4 2 4 4" xfId="18298" xr:uid="{BE8AACFE-88AC-48E5-9397-D59343F76390}"/>
    <cellStyle name="Normal 5 2 4 2 4 5" xfId="26743" xr:uid="{F80342A5-7749-4821-AC66-F0FEF11A8EC1}"/>
    <cellStyle name="Normal 5 2 4 2 4 6" xfId="9857" xr:uid="{DD7F1B4F-AFD9-4B71-AD4C-F578DFF16799}"/>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25074" xr:uid="{ADF8CF07-41B0-4FAE-A9E6-8D38F1B9BE5B}"/>
    <cellStyle name="Normal 5 2 4 2 5 2 2 3" xfId="33520" xr:uid="{10D6FE41-641D-41D9-8FA8-881822984CC0}"/>
    <cellStyle name="Normal 5 2 4 2 5 2 2 4" xfId="16633" xr:uid="{C2A3159D-D55B-4314-9010-A78CF6F0F11C}"/>
    <cellStyle name="Normal 5 2 4 2 5 2 3" xfId="20856" xr:uid="{81225C9D-FFAA-49B1-89A9-8303A287090F}"/>
    <cellStyle name="Normal 5 2 4 2 5 2 4" xfId="29303" xr:uid="{A8AB42D4-65C9-48C4-AAFA-5D2D6B393C05}"/>
    <cellStyle name="Normal 5 2 4 2 5 2 5" xfId="12415" xr:uid="{7751735E-2F3D-432C-AABD-0EBD1DCD9816}"/>
    <cellStyle name="Normal 5 2 4 2 5 3" xfId="6046" xr:uid="{00000000-0005-0000-0000-0000F3180000}"/>
    <cellStyle name="Normal 5 2 4 2 5 3 2" xfId="22929" xr:uid="{97BEAAD7-7D70-404D-8BBB-9CF66DA5803D}"/>
    <cellStyle name="Normal 5 2 4 2 5 3 3" xfId="31375" xr:uid="{B7929845-3546-4129-96E6-4D93FDC1DE78}"/>
    <cellStyle name="Normal 5 2 4 2 5 3 4" xfId="14488" xr:uid="{0EA65B1B-9550-4584-80A7-7FF9E8E9C7F0}"/>
    <cellStyle name="Normal 5 2 4 2 5 4" xfId="18711" xr:uid="{CFE8162B-E2AD-4710-8A35-E8FB68ED21E4}"/>
    <cellStyle name="Normal 5 2 4 2 5 5" xfId="27156" xr:uid="{BBCAAF4F-005D-4C9A-B48C-4925E25C9E99}"/>
    <cellStyle name="Normal 5 2 4 2 5 6" xfId="10270" xr:uid="{FEE3D046-DE40-4A26-9072-6A2C91465D93}"/>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25487" xr:uid="{FAED9991-E80C-4933-BF2A-525ABF9455F3}"/>
    <cellStyle name="Normal 5 2 4 2 6 2 2 3" xfId="33933" xr:uid="{BF2C11D9-FA85-4873-A418-D237F2D481F4}"/>
    <cellStyle name="Normal 5 2 4 2 6 2 2 4" xfId="17046" xr:uid="{836D2FD6-DB2B-46E9-BCD1-FB95A191864C}"/>
    <cellStyle name="Normal 5 2 4 2 6 2 3" xfId="21269" xr:uid="{F2D0C704-FB02-42C3-B386-E70995072A13}"/>
    <cellStyle name="Normal 5 2 4 2 6 2 4" xfId="29716" xr:uid="{9D64284E-07E9-4FE0-B5FB-037108A8006E}"/>
    <cellStyle name="Normal 5 2 4 2 6 2 5" xfId="12828" xr:uid="{D48F9EC8-413E-4AEC-83EC-76958345E0D6}"/>
    <cellStyle name="Normal 5 2 4 2 6 3" xfId="6459" xr:uid="{00000000-0005-0000-0000-0000F7180000}"/>
    <cellStyle name="Normal 5 2 4 2 6 3 2" xfId="23342" xr:uid="{D42C9768-A5AA-4A6E-A08D-856AB4A79B39}"/>
    <cellStyle name="Normal 5 2 4 2 6 3 3" xfId="31788" xr:uid="{E7EDF8C4-A239-4773-88B1-192B82DFA98F}"/>
    <cellStyle name="Normal 5 2 4 2 6 3 4" xfId="14901" xr:uid="{601998B6-62F2-4929-B361-B0A621CE8ABB}"/>
    <cellStyle name="Normal 5 2 4 2 6 4" xfId="19124" xr:uid="{FFFBE8BF-8859-44AF-B1B3-C37357B99BE3}"/>
    <cellStyle name="Normal 5 2 4 2 6 5" xfId="27569" xr:uid="{845CB528-D09A-44F6-9FEA-0B0C5256E09E}"/>
    <cellStyle name="Normal 5 2 4 2 6 6" xfId="10683" xr:uid="{8B26B583-A2B1-440E-8029-E69AF7054B00}"/>
    <cellStyle name="Normal 5 2 4 2 7" xfId="2588" xr:uid="{00000000-0005-0000-0000-0000F8180000}"/>
    <cellStyle name="Normal 5 2 4 2 7 2" xfId="6872" xr:uid="{00000000-0005-0000-0000-0000F9180000}"/>
    <cellStyle name="Normal 5 2 4 2 7 2 2" xfId="23755" xr:uid="{BC071492-128A-4D66-8B26-5A10A3299915}"/>
    <cellStyle name="Normal 5 2 4 2 7 2 3" xfId="32201" xr:uid="{3611ECFC-DDF3-443B-8C7D-0547680344F3}"/>
    <cellStyle name="Normal 5 2 4 2 7 2 4" xfId="15314" xr:uid="{18FDC5B9-6068-4056-AA45-7C96E75C5B95}"/>
    <cellStyle name="Normal 5 2 4 2 7 3" xfId="19537" xr:uid="{C7CD63ED-D3B6-4F4F-87FC-E5F5BF1E9248}"/>
    <cellStyle name="Normal 5 2 4 2 7 4" xfId="27982" xr:uid="{447EEED8-35C7-4561-BCF9-1A3D4994E827}"/>
    <cellStyle name="Normal 5 2 4 2 7 5" xfId="11096" xr:uid="{AC791840-A5C1-4DF9-9DA1-B0F32B38A0C1}"/>
    <cellStyle name="Normal 5 2 4 2 8" xfId="4807" xr:uid="{00000000-0005-0000-0000-0000FA180000}"/>
    <cellStyle name="Normal 5 2 4 2 8 2" xfId="21690" xr:uid="{B387F759-5A4B-4016-96C8-5DCCAD2AD5FD}"/>
    <cellStyle name="Normal 5 2 4 2 8 3" xfId="30136" xr:uid="{E76FC210-F8C0-4D91-965B-D662BF981AB0}"/>
    <cellStyle name="Normal 5 2 4 2 8 4" xfId="13249" xr:uid="{41A2F09A-EE35-4BB1-9BD1-36CAA2E8599E}"/>
    <cellStyle name="Normal 5 2 4 2 9" xfId="17472" xr:uid="{77B3888B-8A45-4276-88ED-5E1B4212DD92}"/>
    <cellStyle name="Normal 5 2 4 3" xfId="435" xr:uid="{00000000-0005-0000-0000-0000FB180000}"/>
    <cellStyle name="Normal 5 2 4 3 10" xfId="9033" xr:uid="{F7D407F4-6E7B-433B-A82A-BD1D30749A2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24250" xr:uid="{0A2EDB1A-F6F7-46E9-81D9-A54361B1772C}"/>
    <cellStyle name="Normal 5 2 4 3 2 2 2 3" xfId="32696" xr:uid="{EB02D6F8-5804-40E4-83CE-5BD2F8C97C93}"/>
    <cellStyle name="Normal 5 2 4 3 2 2 2 4" xfId="15809" xr:uid="{075C797D-CC7B-4CDC-86B6-F245197B8FEF}"/>
    <cellStyle name="Normal 5 2 4 3 2 2 3" xfId="20032" xr:uid="{D07FA04C-6628-41F8-A54C-08BA73618C84}"/>
    <cellStyle name="Normal 5 2 4 3 2 2 4" xfId="28479" xr:uid="{E8521F6A-1197-4B29-B6A7-1A5730A27835}"/>
    <cellStyle name="Normal 5 2 4 3 2 2 5" xfId="11591" xr:uid="{A439779E-209F-47AA-82A3-3D72574D8F11}"/>
    <cellStyle name="Normal 5 2 4 3 2 3" xfId="5222" xr:uid="{00000000-0005-0000-0000-0000FF180000}"/>
    <cellStyle name="Normal 5 2 4 3 2 3 2" xfId="22105" xr:uid="{5689A614-DF65-46B7-968B-7ECABCB069FD}"/>
    <cellStyle name="Normal 5 2 4 3 2 3 3" xfId="30551" xr:uid="{E2653FD2-5F08-4761-9AAC-C7B886610534}"/>
    <cellStyle name="Normal 5 2 4 3 2 3 4" xfId="13664" xr:uid="{05A1073B-0BC9-42C3-9F50-6DFDC668B271}"/>
    <cellStyle name="Normal 5 2 4 3 2 4" xfId="17887" xr:uid="{62F3582B-3170-4CFF-B49A-F57B180C53BA}"/>
    <cellStyle name="Normal 5 2 4 3 2 5" xfId="26332" xr:uid="{6F1AF00D-7A6C-4DE4-8D3C-C269F382AB30}"/>
    <cellStyle name="Normal 5 2 4 3 2 6" xfId="9446" xr:uid="{2ACAA9E1-39C4-4530-AF0A-7E7A0A53D9C9}"/>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24663" xr:uid="{2665FC3E-C968-407C-A36D-67A891031FBD}"/>
    <cellStyle name="Normal 5 2 4 3 3 2 2 3" xfId="33109" xr:uid="{717D8385-314D-424B-A9A1-8F4FFA6F1D09}"/>
    <cellStyle name="Normal 5 2 4 3 3 2 2 4" xfId="16222" xr:uid="{59E52469-1C24-499B-90A8-13639E40C083}"/>
    <cellStyle name="Normal 5 2 4 3 3 2 3" xfId="20445" xr:uid="{2474E804-4CF0-451C-B521-AE75C6E29D8D}"/>
    <cellStyle name="Normal 5 2 4 3 3 2 4" xfId="28892" xr:uid="{2E287C09-6838-4DF7-9B71-D9F88DEC6139}"/>
    <cellStyle name="Normal 5 2 4 3 3 2 5" xfId="12004" xr:uid="{8F60303B-BA73-41F3-8FCE-E23A5F4D0776}"/>
    <cellStyle name="Normal 5 2 4 3 3 3" xfId="5635" xr:uid="{00000000-0005-0000-0000-000003190000}"/>
    <cellStyle name="Normal 5 2 4 3 3 3 2" xfId="22518" xr:uid="{9149745A-2781-4691-AAEF-B062A5B99C6B}"/>
    <cellStyle name="Normal 5 2 4 3 3 3 3" xfId="30964" xr:uid="{ED9003E6-1817-407E-8B1B-150F9EB64B72}"/>
    <cellStyle name="Normal 5 2 4 3 3 3 4" xfId="14077" xr:uid="{FC5EFAE2-78AD-40C7-85D5-8CF376DB86A9}"/>
    <cellStyle name="Normal 5 2 4 3 3 4" xfId="18300" xr:uid="{5C4A13A4-EDFB-47D6-944E-3B21967E959E}"/>
    <cellStyle name="Normal 5 2 4 3 3 5" xfId="26745" xr:uid="{0AF9D6C1-5437-497B-99BF-3D22DEF675DC}"/>
    <cellStyle name="Normal 5 2 4 3 3 6" xfId="9859" xr:uid="{9D02AC17-3C97-4DAA-AE94-79C0C1A6092F}"/>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25076" xr:uid="{83DAE3FA-FC0D-4440-9133-F788B1858114}"/>
    <cellStyle name="Normal 5 2 4 3 4 2 2 3" xfId="33522" xr:uid="{E935F86D-030D-40A4-AD86-94AB03B8C21F}"/>
    <cellStyle name="Normal 5 2 4 3 4 2 2 4" xfId="16635" xr:uid="{9C238F0F-5F6C-4E21-B269-185671920AA4}"/>
    <cellStyle name="Normal 5 2 4 3 4 2 3" xfId="20858" xr:uid="{DA2227E9-6496-480A-B58E-B48246432197}"/>
    <cellStyle name="Normal 5 2 4 3 4 2 4" xfId="29305" xr:uid="{5E72BBE9-7C9A-4F58-8B0A-DC16EBD99F6F}"/>
    <cellStyle name="Normal 5 2 4 3 4 2 5" xfId="12417" xr:uid="{BD9DF2A9-F4A1-4B34-B138-E95762C3DC24}"/>
    <cellStyle name="Normal 5 2 4 3 4 3" xfId="6048" xr:uid="{00000000-0005-0000-0000-000007190000}"/>
    <cellStyle name="Normal 5 2 4 3 4 3 2" xfId="22931" xr:uid="{5A49B518-2B18-452F-B98A-5CAD0F004782}"/>
    <cellStyle name="Normal 5 2 4 3 4 3 3" xfId="31377" xr:uid="{256EF9F5-8993-4EEF-A80C-8316ED420AFF}"/>
    <cellStyle name="Normal 5 2 4 3 4 3 4" xfId="14490" xr:uid="{D2141CD2-693A-4D22-AF19-249CE3919C2B}"/>
    <cellStyle name="Normal 5 2 4 3 4 4" xfId="18713" xr:uid="{CC679314-4C40-484E-A5D1-FE59F72A0DD0}"/>
    <cellStyle name="Normal 5 2 4 3 4 5" xfId="27158" xr:uid="{05320075-C311-4A16-B0C3-53E7C377DD0B}"/>
    <cellStyle name="Normal 5 2 4 3 4 6" xfId="10272" xr:uid="{6B100090-F9CE-4F0D-9F2A-8571722E3A81}"/>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25489" xr:uid="{F3B3BD4B-32E5-48B1-96D5-53045BCD89D8}"/>
    <cellStyle name="Normal 5 2 4 3 5 2 2 3" xfId="33935" xr:uid="{8957014F-AFBF-4570-9B4D-F4B5ED504509}"/>
    <cellStyle name="Normal 5 2 4 3 5 2 2 4" xfId="17048" xr:uid="{C1AB16BC-7A9C-4EA1-BB5E-69F7CE2E691C}"/>
    <cellStyle name="Normal 5 2 4 3 5 2 3" xfId="21271" xr:uid="{402A3894-C0FD-488D-8D39-E39A7475CFF3}"/>
    <cellStyle name="Normal 5 2 4 3 5 2 4" xfId="29718" xr:uid="{040BD5BF-3707-4F77-8453-D188D72E6A98}"/>
    <cellStyle name="Normal 5 2 4 3 5 2 5" xfId="12830" xr:uid="{AEFE1CD0-1474-465C-AF30-155D92991699}"/>
    <cellStyle name="Normal 5 2 4 3 5 3" xfId="6461" xr:uid="{00000000-0005-0000-0000-00000B190000}"/>
    <cellStyle name="Normal 5 2 4 3 5 3 2" xfId="23344" xr:uid="{2B01C7BC-914F-4A9A-B18D-F792747347D2}"/>
    <cellStyle name="Normal 5 2 4 3 5 3 3" xfId="31790" xr:uid="{BE81A1E8-24DF-4D95-9907-63183E75FFD2}"/>
    <cellStyle name="Normal 5 2 4 3 5 3 4" xfId="14903" xr:uid="{F9A703F0-6E25-412F-8A4F-81164D3B6E84}"/>
    <cellStyle name="Normal 5 2 4 3 5 4" xfId="19126" xr:uid="{245B49B3-37B4-49D2-A8B1-E1EBEFE4E454}"/>
    <cellStyle name="Normal 5 2 4 3 5 5" xfId="27571" xr:uid="{C76E72AC-6302-4807-AE1E-10251FE691D5}"/>
    <cellStyle name="Normal 5 2 4 3 5 6" xfId="10685" xr:uid="{3CD198CC-8E50-4A2E-A982-7BFFEADA26CB}"/>
    <cellStyle name="Normal 5 2 4 3 6" xfId="2590" xr:uid="{00000000-0005-0000-0000-00000C190000}"/>
    <cellStyle name="Normal 5 2 4 3 6 2" xfId="6874" xr:uid="{00000000-0005-0000-0000-00000D190000}"/>
    <cellStyle name="Normal 5 2 4 3 6 2 2" xfId="23757" xr:uid="{C4F0EABB-D827-47AD-B204-3097723DF74D}"/>
    <cellStyle name="Normal 5 2 4 3 6 2 3" xfId="32203" xr:uid="{A9B575D8-AF2F-42B9-9A4C-B343DAD4B6EE}"/>
    <cellStyle name="Normal 5 2 4 3 6 2 4" xfId="15316" xr:uid="{1DEFE2B9-3151-4D11-B649-35CDC22B4C68}"/>
    <cellStyle name="Normal 5 2 4 3 6 3" xfId="19539" xr:uid="{0F06A2C3-B836-4A79-8C3E-5E49A4A80028}"/>
    <cellStyle name="Normal 5 2 4 3 6 4" xfId="27984" xr:uid="{79510D55-9A5F-4619-A51A-3F7AC2F95162}"/>
    <cellStyle name="Normal 5 2 4 3 6 5" xfId="11098" xr:uid="{CA632F0A-D666-4F00-B7E9-B8B32FC6E231}"/>
    <cellStyle name="Normal 5 2 4 3 7" xfId="4809" xr:uid="{00000000-0005-0000-0000-00000E190000}"/>
    <cellStyle name="Normal 5 2 4 3 7 2" xfId="21692" xr:uid="{D2F49841-0066-470F-A547-1AAA7499DCCB}"/>
    <cellStyle name="Normal 5 2 4 3 7 3" xfId="30138" xr:uid="{E987BD3F-7561-4482-99DE-DC5EEB608AE5}"/>
    <cellStyle name="Normal 5 2 4 3 7 4" xfId="13251" xr:uid="{469B39B8-64B4-46A4-B344-F7EAF203622E}"/>
    <cellStyle name="Normal 5 2 4 3 8" xfId="17474" xr:uid="{893B7490-1707-4D9D-A6FF-9BE692E3CDDF}"/>
    <cellStyle name="Normal 5 2 4 3 9" xfId="25918" xr:uid="{9BADFC6A-2AC5-4F92-A538-440A8387DE75}"/>
    <cellStyle name="Normal 5 2 4 4" xfId="906" xr:uid="{00000000-0005-0000-0000-00000F190000}"/>
    <cellStyle name="Normal 5 2 4 4 2" xfId="3141" xr:uid="{00000000-0005-0000-0000-000010190000}"/>
    <cellStyle name="Normal 5 2 4 4 2 2" xfId="7364" xr:uid="{00000000-0005-0000-0000-000011190000}"/>
    <cellStyle name="Normal 5 2 4 4 2 2 2" xfId="24247" xr:uid="{9D3C1B11-EDA6-4435-B93C-37839DACBE54}"/>
    <cellStyle name="Normal 5 2 4 4 2 2 3" xfId="32693" xr:uid="{A7BE3DC8-D560-49B0-B962-57C5A2D9C0C5}"/>
    <cellStyle name="Normal 5 2 4 4 2 2 4" xfId="15806" xr:uid="{5A572D11-836E-4E7C-814B-CF586866F864}"/>
    <cellStyle name="Normal 5 2 4 4 2 3" xfId="20029" xr:uid="{3B4C63C8-AF02-4D1B-89FE-6CAFDCF699B8}"/>
    <cellStyle name="Normal 5 2 4 4 2 4" xfId="28476" xr:uid="{CC4FE68B-88DD-439C-979E-67CF2EBE09FB}"/>
    <cellStyle name="Normal 5 2 4 4 2 5" xfId="11588" xr:uid="{265A6C41-5967-4E44-A16D-B4E72B34B0F0}"/>
    <cellStyle name="Normal 5 2 4 4 3" xfId="5219" xr:uid="{00000000-0005-0000-0000-000012190000}"/>
    <cellStyle name="Normal 5 2 4 4 3 2" xfId="22102" xr:uid="{4945C26F-9299-4635-B4D4-4F28B9483F64}"/>
    <cellStyle name="Normal 5 2 4 4 3 3" xfId="30548" xr:uid="{574A9781-F42B-4638-A3E9-CB15FE562B37}"/>
    <cellStyle name="Normal 5 2 4 4 3 4" xfId="13661" xr:uid="{F15207B8-2961-4B81-8E60-31D972D1FF5C}"/>
    <cellStyle name="Normal 5 2 4 4 4" xfId="17884" xr:uid="{52E6A5FB-6F5D-4D62-89B8-F2375362EE27}"/>
    <cellStyle name="Normal 5 2 4 4 5" xfId="26329" xr:uid="{67A7C7F4-101D-4FE9-9ED3-7B8C84650662}"/>
    <cellStyle name="Normal 5 2 4 4 6" xfId="9443" xr:uid="{7646F82D-DC11-4B6E-8650-80DBDA5C3DC5}"/>
    <cellStyle name="Normal 5 2 4 5" xfId="1324" xr:uid="{00000000-0005-0000-0000-000013190000}"/>
    <cellStyle name="Normal 5 2 4 5 2" xfId="3554" xr:uid="{00000000-0005-0000-0000-000014190000}"/>
    <cellStyle name="Normal 5 2 4 5 2 2" xfId="7777" xr:uid="{00000000-0005-0000-0000-000015190000}"/>
    <cellStyle name="Normal 5 2 4 5 2 2 2" xfId="24660" xr:uid="{CD71FF10-E2F0-427E-B5B5-70F76A9ECF42}"/>
    <cellStyle name="Normal 5 2 4 5 2 2 3" xfId="33106" xr:uid="{544A8320-0C85-41C2-BE9F-D21F6F0F5B93}"/>
    <cellStyle name="Normal 5 2 4 5 2 2 4" xfId="16219" xr:uid="{086CBD26-D1AE-45E2-8133-CCD0C975C428}"/>
    <cellStyle name="Normal 5 2 4 5 2 3" xfId="20442" xr:uid="{9B1122CD-B120-4685-BCF4-64A64A9E2B45}"/>
    <cellStyle name="Normal 5 2 4 5 2 4" xfId="28889" xr:uid="{FA9AE668-50FF-42B3-BFA5-93F4F3CCF1C1}"/>
    <cellStyle name="Normal 5 2 4 5 2 5" xfId="12001" xr:uid="{B54CBE0F-9B10-4699-96D9-0E14333315ED}"/>
    <cellStyle name="Normal 5 2 4 5 3" xfId="5632" xr:uid="{00000000-0005-0000-0000-000016190000}"/>
    <cellStyle name="Normal 5 2 4 5 3 2" xfId="22515" xr:uid="{8605886D-F5EB-4667-B673-2D8B4FE8E2EC}"/>
    <cellStyle name="Normal 5 2 4 5 3 3" xfId="30961" xr:uid="{A8223C01-BB08-42B5-BFE8-0235F5ECA212}"/>
    <cellStyle name="Normal 5 2 4 5 3 4" xfId="14074" xr:uid="{44F12BF3-A514-42B6-A4AA-305F186053EC}"/>
    <cellStyle name="Normal 5 2 4 5 4" xfId="18297" xr:uid="{A234736E-9909-4605-8CEE-D7490A149758}"/>
    <cellStyle name="Normal 5 2 4 5 5" xfId="26742" xr:uid="{822176F4-7089-4756-B53A-8D9CA216B7C3}"/>
    <cellStyle name="Normal 5 2 4 5 6" xfId="9856" xr:uid="{E8F4FFF2-F0E1-4433-9C9F-9B1ADD718F77}"/>
    <cellStyle name="Normal 5 2 4 6" xfId="1737" xr:uid="{00000000-0005-0000-0000-000017190000}"/>
    <cellStyle name="Normal 5 2 4 6 2" xfId="3967" xr:uid="{00000000-0005-0000-0000-000018190000}"/>
    <cellStyle name="Normal 5 2 4 6 2 2" xfId="8190" xr:uid="{00000000-0005-0000-0000-000019190000}"/>
    <cellStyle name="Normal 5 2 4 6 2 2 2" xfId="25073" xr:uid="{08EEF88D-B305-43E9-969D-5E382A3C6CF9}"/>
    <cellStyle name="Normal 5 2 4 6 2 2 3" xfId="33519" xr:uid="{4BF374A4-D5BC-4A44-94C2-7164822EB7E6}"/>
    <cellStyle name="Normal 5 2 4 6 2 2 4" xfId="16632" xr:uid="{3CB08323-A9A5-4ED9-B2AF-749A7A728624}"/>
    <cellStyle name="Normal 5 2 4 6 2 3" xfId="20855" xr:uid="{16C5FBF1-7E3F-4C73-BE49-514AC2AF6743}"/>
    <cellStyle name="Normal 5 2 4 6 2 4" xfId="29302" xr:uid="{0448290A-765A-453A-854F-CE5F6AF60E8A}"/>
    <cellStyle name="Normal 5 2 4 6 2 5" xfId="12414" xr:uid="{235A35AD-9C7C-4FE0-9AF2-7B50A301106F}"/>
    <cellStyle name="Normal 5 2 4 6 3" xfId="6045" xr:uid="{00000000-0005-0000-0000-00001A190000}"/>
    <cellStyle name="Normal 5 2 4 6 3 2" xfId="22928" xr:uid="{9821A48D-1BDC-4DEA-A1AA-A3EBD4703555}"/>
    <cellStyle name="Normal 5 2 4 6 3 3" xfId="31374" xr:uid="{B69C0A16-3C26-41F2-819D-9E46CD16D922}"/>
    <cellStyle name="Normal 5 2 4 6 3 4" xfId="14487" xr:uid="{84BFCC5E-3D45-48A9-AC5A-D8D05D741F56}"/>
    <cellStyle name="Normal 5 2 4 6 4" xfId="18710" xr:uid="{8B648D53-2586-435F-8A7D-AE711AD0C242}"/>
    <cellStyle name="Normal 5 2 4 6 5" xfId="27155" xr:uid="{F3F4539A-3DB4-4C57-8226-8B8A90CA9BA5}"/>
    <cellStyle name="Normal 5 2 4 6 6" xfId="10269" xr:uid="{8C3EC4C3-9159-40C9-AF83-108482BEC3BD}"/>
    <cellStyle name="Normal 5 2 4 7" xfId="2151" xr:uid="{00000000-0005-0000-0000-00001B190000}"/>
    <cellStyle name="Normal 5 2 4 7 2" xfId="4380" xr:uid="{00000000-0005-0000-0000-00001C190000}"/>
    <cellStyle name="Normal 5 2 4 7 2 2" xfId="8603" xr:uid="{00000000-0005-0000-0000-00001D190000}"/>
    <cellStyle name="Normal 5 2 4 7 2 2 2" xfId="25486" xr:uid="{4E1BDAA7-BAF4-40F2-A65E-5A5E48C3A06E}"/>
    <cellStyle name="Normal 5 2 4 7 2 2 3" xfId="33932" xr:uid="{4BB7DE94-68BB-44EF-86C3-DD2BEC23E6D0}"/>
    <cellStyle name="Normal 5 2 4 7 2 2 4" xfId="17045" xr:uid="{62420439-76DC-467A-BEE2-BCC3B20882CD}"/>
    <cellStyle name="Normal 5 2 4 7 2 3" xfId="21268" xr:uid="{F5F755B7-07D4-4D00-9A66-B41A736801B8}"/>
    <cellStyle name="Normal 5 2 4 7 2 4" xfId="29715" xr:uid="{DD0E881F-BEB4-4C7A-B535-D586D55593F3}"/>
    <cellStyle name="Normal 5 2 4 7 2 5" xfId="12827" xr:uid="{CC7AE853-F349-473A-983A-365E0DA34D74}"/>
    <cellStyle name="Normal 5 2 4 7 3" xfId="6458" xr:uid="{00000000-0005-0000-0000-00001E190000}"/>
    <cellStyle name="Normal 5 2 4 7 3 2" xfId="23341" xr:uid="{2DB137A3-1D70-4ABF-86E5-B47395B6FDD9}"/>
    <cellStyle name="Normal 5 2 4 7 3 3" xfId="31787" xr:uid="{19959E08-40B9-487E-849B-5B6BEFE8A47B}"/>
    <cellStyle name="Normal 5 2 4 7 3 4" xfId="14900" xr:uid="{8297821E-8FC2-4E86-96E9-2DD82BE58A17}"/>
    <cellStyle name="Normal 5 2 4 7 4" xfId="19123" xr:uid="{C42996BC-76E8-4783-B221-FFFFAB6B1C52}"/>
    <cellStyle name="Normal 5 2 4 7 5" xfId="27568" xr:uid="{A430D7FE-A59F-4486-8347-7C721942858B}"/>
    <cellStyle name="Normal 5 2 4 7 6" xfId="10682" xr:uid="{C6DA8C96-DB8C-486A-9459-739B7FF6419F}"/>
    <cellStyle name="Normal 5 2 4 8" xfId="2587" xr:uid="{00000000-0005-0000-0000-00001F190000}"/>
    <cellStyle name="Normal 5 2 4 8 2" xfId="6871" xr:uid="{00000000-0005-0000-0000-000020190000}"/>
    <cellStyle name="Normal 5 2 4 8 2 2" xfId="23754" xr:uid="{BB70C06B-C35E-46B5-9AE7-EBB70E27AD42}"/>
    <cellStyle name="Normal 5 2 4 8 2 3" xfId="32200" xr:uid="{63850E8D-76D4-421C-BFDB-076E79AD9724}"/>
    <cellStyle name="Normal 5 2 4 8 2 4" xfId="15313" xr:uid="{D375F620-F250-4B4E-9B76-69975C87EFCD}"/>
    <cellStyle name="Normal 5 2 4 8 3" xfId="19536" xr:uid="{94F6FE0F-91F0-46F8-B15E-DC22AFC1F5A3}"/>
    <cellStyle name="Normal 5 2 4 8 4" xfId="27981" xr:uid="{EDAC843D-61FE-4724-AC15-A16E27B5AB58}"/>
    <cellStyle name="Normal 5 2 4 8 5" xfId="11095" xr:uid="{E2C29199-FB77-40A7-A7ED-4D408489D802}"/>
    <cellStyle name="Normal 5 2 4 9" xfId="4806" xr:uid="{00000000-0005-0000-0000-000021190000}"/>
    <cellStyle name="Normal 5 2 4 9 2" xfId="21689" xr:uid="{379B2C8D-80CA-4E6E-B68C-BC2790A2AD87}"/>
    <cellStyle name="Normal 5 2 4 9 3" xfId="30135" xr:uid="{D013F04E-1CFC-4CCA-BED8-80AC6D127FB1}"/>
    <cellStyle name="Normal 5 2 4 9 4" xfId="13248" xr:uid="{BB17D777-796A-45FC-B28A-813282747305}"/>
    <cellStyle name="Normal 5 2 5" xfId="436" xr:uid="{00000000-0005-0000-0000-000022190000}"/>
    <cellStyle name="Normal 5 2 5 10" xfId="25919" xr:uid="{F00870AB-F14D-49C0-B7AB-6BA668DBACC2}"/>
    <cellStyle name="Normal 5 2 5 11" xfId="9034" xr:uid="{03FB7523-5682-47B0-9490-3C9A34032B84}"/>
    <cellStyle name="Normal 5 2 5 2" xfId="437" xr:uid="{00000000-0005-0000-0000-000023190000}"/>
    <cellStyle name="Normal 5 2 5 2 10" xfId="9035" xr:uid="{0023089A-B6C9-4C54-92A6-FF3EA17F6E2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24252" xr:uid="{88039514-AD0F-4EB3-9C43-87899204DBDB}"/>
    <cellStyle name="Normal 5 2 5 2 2 2 2 3" xfId="32698" xr:uid="{921FDC89-62E9-4900-B3BB-521BB6084887}"/>
    <cellStyle name="Normal 5 2 5 2 2 2 2 4" xfId="15811" xr:uid="{63D422CB-E052-48A3-8E6E-8A751579E2B7}"/>
    <cellStyle name="Normal 5 2 5 2 2 2 3" xfId="20034" xr:uid="{E99E136E-EEF2-4062-AF5E-EDD5E81D4F87}"/>
    <cellStyle name="Normal 5 2 5 2 2 2 4" xfId="28481" xr:uid="{D753B098-7ED0-4A6D-9AEA-3DC4A8E4AF9A}"/>
    <cellStyle name="Normal 5 2 5 2 2 2 5" xfId="11593" xr:uid="{3880AEAB-BE3D-420B-92D2-E2860350080B}"/>
    <cellStyle name="Normal 5 2 5 2 2 3" xfId="5224" xr:uid="{00000000-0005-0000-0000-000027190000}"/>
    <cellStyle name="Normal 5 2 5 2 2 3 2" xfId="22107" xr:uid="{D4802B8E-3CCF-48D9-B382-B7E8835B4F79}"/>
    <cellStyle name="Normal 5 2 5 2 2 3 3" xfId="30553" xr:uid="{A19AD7E6-5E2F-4B5B-9CB9-781A39F47814}"/>
    <cellStyle name="Normal 5 2 5 2 2 3 4" xfId="13666" xr:uid="{DB9E2379-FF94-4E19-B5F7-831091E60368}"/>
    <cellStyle name="Normal 5 2 5 2 2 4" xfId="17889" xr:uid="{87AA0862-3F1E-4B84-A5FB-EA5639ED4870}"/>
    <cellStyle name="Normal 5 2 5 2 2 5" xfId="26334" xr:uid="{3EF38FFC-68C9-4272-9ED7-75D90C3B7C0E}"/>
    <cellStyle name="Normal 5 2 5 2 2 6" xfId="9448" xr:uid="{1DB10D4C-564F-4DC9-B959-5A7463395E04}"/>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24665" xr:uid="{A495AAB2-BEA5-4C71-8325-E5DAF351B3B4}"/>
    <cellStyle name="Normal 5 2 5 2 3 2 2 3" xfId="33111" xr:uid="{4172722D-655E-41F2-834F-3F43ACEE50E4}"/>
    <cellStyle name="Normal 5 2 5 2 3 2 2 4" xfId="16224" xr:uid="{4EE5C842-300B-4523-B717-1000A763A327}"/>
    <cellStyle name="Normal 5 2 5 2 3 2 3" xfId="20447" xr:uid="{17F977BE-D434-4EBB-921D-DAE4AA4FFA61}"/>
    <cellStyle name="Normal 5 2 5 2 3 2 4" xfId="28894" xr:uid="{3D2B01F6-D535-4B21-9857-CC5E028A504B}"/>
    <cellStyle name="Normal 5 2 5 2 3 2 5" xfId="12006" xr:uid="{049A3850-3CFC-46D7-B7CA-A5EC02D62120}"/>
    <cellStyle name="Normal 5 2 5 2 3 3" xfId="5637" xr:uid="{00000000-0005-0000-0000-00002B190000}"/>
    <cellStyle name="Normal 5 2 5 2 3 3 2" xfId="22520" xr:uid="{7737E427-93BB-415A-AA7E-65F8FA67F3C5}"/>
    <cellStyle name="Normal 5 2 5 2 3 3 3" xfId="30966" xr:uid="{83A70595-6603-4F12-8897-6D51383F6987}"/>
    <cellStyle name="Normal 5 2 5 2 3 3 4" xfId="14079" xr:uid="{BC2E0727-8B67-4660-8938-88879EE34A30}"/>
    <cellStyle name="Normal 5 2 5 2 3 4" xfId="18302" xr:uid="{A7145F91-E601-4F7C-92AD-C2E1B19E50F0}"/>
    <cellStyle name="Normal 5 2 5 2 3 5" xfId="26747" xr:uid="{88109854-D785-437D-8BFA-497A9744FA6B}"/>
    <cellStyle name="Normal 5 2 5 2 3 6" xfId="9861" xr:uid="{A119624F-447C-4EE9-962E-79F119E939F5}"/>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25078" xr:uid="{155DB5CF-253D-4AE9-975C-3ABFFA7B9D32}"/>
    <cellStyle name="Normal 5 2 5 2 4 2 2 3" xfId="33524" xr:uid="{BE3E3938-D2B1-428B-89B5-EB7FF4DC24A8}"/>
    <cellStyle name="Normal 5 2 5 2 4 2 2 4" xfId="16637" xr:uid="{891DE05C-BB4C-4D99-88C6-76DB2C1ECD98}"/>
    <cellStyle name="Normal 5 2 5 2 4 2 3" xfId="20860" xr:uid="{3F1BF75F-A8E1-458C-98B5-CEF261CE391A}"/>
    <cellStyle name="Normal 5 2 5 2 4 2 4" xfId="29307" xr:uid="{725B00B3-D8B2-4A09-B169-2FD99E8C8F19}"/>
    <cellStyle name="Normal 5 2 5 2 4 2 5" xfId="12419" xr:uid="{72C7FA19-C1AF-4539-8613-FF83EA08FC3B}"/>
    <cellStyle name="Normal 5 2 5 2 4 3" xfId="6050" xr:uid="{00000000-0005-0000-0000-00002F190000}"/>
    <cellStyle name="Normal 5 2 5 2 4 3 2" xfId="22933" xr:uid="{F4C1B402-2D27-48A3-A71C-7BBFC2ED5EAD}"/>
    <cellStyle name="Normal 5 2 5 2 4 3 3" xfId="31379" xr:uid="{A33C9DA4-9BB9-4AA6-80F5-B8C6419FA923}"/>
    <cellStyle name="Normal 5 2 5 2 4 3 4" xfId="14492" xr:uid="{E5F4278B-AE35-4AC7-A41C-049534D012D5}"/>
    <cellStyle name="Normal 5 2 5 2 4 4" xfId="18715" xr:uid="{40E1B777-8CBA-451A-A159-44A6664EA061}"/>
    <cellStyle name="Normal 5 2 5 2 4 5" xfId="27160" xr:uid="{9F7EBC4B-FC6A-4770-B2B5-B61E3138BF5D}"/>
    <cellStyle name="Normal 5 2 5 2 4 6" xfId="10274" xr:uid="{99E1C446-04B3-4E51-9527-C5C5D1A6CC66}"/>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25491" xr:uid="{8B320C1B-0876-472C-9666-A595E875C141}"/>
    <cellStyle name="Normal 5 2 5 2 5 2 2 3" xfId="33937" xr:uid="{92D65A8E-24B3-443D-96F0-3AB469E395E6}"/>
    <cellStyle name="Normal 5 2 5 2 5 2 2 4" xfId="17050" xr:uid="{7AD70BC1-76AF-4BB8-BEF8-A846D1761C68}"/>
    <cellStyle name="Normal 5 2 5 2 5 2 3" xfId="21273" xr:uid="{D40CA22C-4A4C-4C67-8FFC-0292B87E0DEB}"/>
    <cellStyle name="Normal 5 2 5 2 5 2 4" xfId="29720" xr:uid="{184244AE-E06F-4DFB-A053-226D73FF8282}"/>
    <cellStyle name="Normal 5 2 5 2 5 2 5" xfId="12832" xr:uid="{2EE72F06-917D-49C2-9ACF-F62C4FA64979}"/>
    <cellStyle name="Normal 5 2 5 2 5 3" xfId="6463" xr:uid="{00000000-0005-0000-0000-000033190000}"/>
    <cellStyle name="Normal 5 2 5 2 5 3 2" xfId="23346" xr:uid="{6E61B093-917A-4705-9F8E-45E67AE4CD2A}"/>
    <cellStyle name="Normal 5 2 5 2 5 3 3" xfId="31792" xr:uid="{41B20C28-21FA-4FDC-8087-2A2C546BF05D}"/>
    <cellStyle name="Normal 5 2 5 2 5 3 4" xfId="14905" xr:uid="{77FDB782-D573-459E-BC17-6E4A4048FFC3}"/>
    <cellStyle name="Normal 5 2 5 2 5 4" xfId="19128" xr:uid="{F3A0DBC2-745A-4C02-8B37-1A9882316628}"/>
    <cellStyle name="Normal 5 2 5 2 5 5" xfId="27573" xr:uid="{9175A4A1-34DA-4F25-A5D4-98BA0E4E2E6B}"/>
    <cellStyle name="Normal 5 2 5 2 5 6" xfId="10687" xr:uid="{9F717009-79DF-4885-ADCE-BAFF820BBA88}"/>
    <cellStyle name="Normal 5 2 5 2 6" xfId="2592" xr:uid="{00000000-0005-0000-0000-000034190000}"/>
    <cellStyle name="Normal 5 2 5 2 6 2" xfId="6876" xr:uid="{00000000-0005-0000-0000-000035190000}"/>
    <cellStyle name="Normal 5 2 5 2 6 2 2" xfId="23759" xr:uid="{010C19FF-498A-492D-AE79-8B30E924BC8F}"/>
    <cellStyle name="Normal 5 2 5 2 6 2 3" xfId="32205" xr:uid="{0D3FDEC6-2627-4DCB-B143-50FD2DEB57DF}"/>
    <cellStyle name="Normal 5 2 5 2 6 2 4" xfId="15318" xr:uid="{23740DCC-B2D3-4EB1-8596-E5CC782FEAA1}"/>
    <cellStyle name="Normal 5 2 5 2 6 3" xfId="19541" xr:uid="{BF0D1BBE-C6EA-419D-992D-6EC00298AF7B}"/>
    <cellStyle name="Normal 5 2 5 2 6 4" xfId="27986" xr:uid="{C36FB32B-35B0-4120-8272-AEC71AC05888}"/>
    <cellStyle name="Normal 5 2 5 2 6 5" xfId="11100" xr:uid="{3F2C192E-4AE5-4472-8ABF-386CC926AA2B}"/>
    <cellStyle name="Normal 5 2 5 2 7" xfId="4811" xr:uid="{00000000-0005-0000-0000-000036190000}"/>
    <cellStyle name="Normal 5 2 5 2 7 2" xfId="21694" xr:uid="{A8DEEF51-13A2-4E93-A9D8-1160905B7ED6}"/>
    <cellStyle name="Normal 5 2 5 2 7 3" xfId="30140" xr:uid="{09B0C931-0C6F-4A82-962E-7CDA356D955C}"/>
    <cellStyle name="Normal 5 2 5 2 7 4" xfId="13253" xr:uid="{E940C0F9-51AC-44C8-A64B-CB67CE5C2BD1}"/>
    <cellStyle name="Normal 5 2 5 2 8" xfId="17476" xr:uid="{92FE2E36-AFC5-44BF-ABA6-4EA3E7628154}"/>
    <cellStyle name="Normal 5 2 5 2 9" xfId="25920" xr:uid="{83AEE14E-EE06-43D7-B6E8-66D0E77A8D59}"/>
    <cellStyle name="Normal 5 2 5 3" xfId="910" xr:uid="{00000000-0005-0000-0000-000037190000}"/>
    <cellStyle name="Normal 5 2 5 3 2" xfId="3145" xr:uid="{00000000-0005-0000-0000-000038190000}"/>
    <cellStyle name="Normal 5 2 5 3 2 2" xfId="7368" xr:uid="{00000000-0005-0000-0000-000039190000}"/>
    <cellStyle name="Normal 5 2 5 3 2 2 2" xfId="24251" xr:uid="{B6F9E77C-185E-49E2-A9B0-F4F7E326A907}"/>
    <cellStyle name="Normal 5 2 5 3 2 2 3" xfId="32697" xr:uid="{C2CB382D-B969-4EE8-80D1-6958DAD02872}"/>
    <cellStyle name="Normal 5 2 5 3 2 2 4" xfId="15810" xr:uid="{41FBA518-9D00-4EEE-A42A-230BC865224C}"/>
    <cellStyle name="Normal 5 2 5 3 2 3" xfId="20033" xr:uid="{F3E74926-B828-4503-8B06-2D3507459634}"/>
    <cellStyle name="Normal 5 2 5 3 2 4" xfId="28480" xr:uid="{752BD234-EA9C-4CE7-8FC6-8B263C15AEB6}"/>
    <cellStyle name="Normal 5 2 5 3 2 5" xfId="11592" xr:uid="{BBDCAF5F-8520-4767-99A7-F4E58481DA9C}"/>
    <cellStyle name="Normal 5 2 5 3 3" xfId="5223" xr:uid="{00000000-0005-0000-0000-00003A190000}"/>
    <cellStyle name="Normal 5 2 5 3 3 2" xfId="22106" xr:uid="{8DC53439-25F1-4FE8-AF09-7A1BACE22B7A}"/>
    <cellStyle name="Normal 5 2 5 3 3 3" xfId="30552" xr:uid="{2E68A2BF-1FF5-47A5-AAED-29CDF3D807FF}"/>
    <cellStyle name="Normal 5 2 5 3 3 4" xfId="13665" xr:uid="{649380B1-7A92-44F3-8025-F6EA69E2A6B4}"/>
    <cellStyle name="Normal 5 2 5 3 4" xfId="17888" xr:uid="{61B62609-FA9A-4E74-BDCD-F9A3F6E18E40}"/>
    <cellStyle name="Normal 5 2 5 3 5" xfId="26333" xr:uid="{02E9334A-040A-495B-95D6-C0B6C9465E09}"/>
    <cellStyle name="Normal 5 2 5 3 6" xfId="9447" xr:uid="{9EDD5566-8055-4425-94B6-7F2FFFA69BA4}"/>
    <cellStyle name="Normal 5 2 5 4" xfId="1328" xr:uid="{00000000-0005-0000-0000-00003B190000}"/>
    <cellStyle name="Normal 5 2 5 4 2" xfId="3558" xr:uid="{00000000-0005-0000-0000-00003C190000}"/>
    <cellStyle name="Normal 5 2 5 4 2 2" xfId="7781" xr:uid="{00000000-0005-0000-0000-00003D190000}"/>
    <cellStyle name="Normal 5 2 5 4 2 2 2" xfId="24664" xr:uid="{8BCD2AAC-8049-49DB-8D4A-059186A70688}"/>
    <cellStyle name="Normal 5 2 5 4 2 2 3" xfId="33110" xr:uid="{818DEE80-70D5-4F95-AC33-0BBD13A83356}"/>
    <cellStyle name="Normal 5 2 5 4 2 2 4" xfId="16223" xr:uid="{F9FE89F2-8EDB-43B5-8CC8-26F803610C0C}"/>
    <cellStyle name="Normal 5 2 5 4 2 3" xfId="20446" xr:uid="{9A4DB886-5D19-4A99-8A52-038C99A4FF2A}"/>
    <cellStyle name="Normal 5 2 5 4 2 4" xfId="28893" xr:uid="{2D3CC85B-1382-493F-AE3E-7DA13E55D296}"/>
    <cellStyle name="Normal 5 2 5 4 2 5" xfId="12005" xr:uid="{2E992E45-8801-47E8-A312-6C1DAF84476D}"/>
    <cellStyle name="Normal 5 2 5 4 3" xfId="5636" xr:uid="{00000000-0005-0000-0000-00003E190000}"/>
    <cellStyle name="Normal 5 2 5 4 3 2" xfId="22519" xr:uid="{F43B3C32-A5FA-4854-B4FC-3882B29A80A0}"/>
    <cellStyle name="Normal 5 2 5 4 3 3" xfId="30965" xr:uid="{AAC224E0-FF75-472C-AE20-9B5AFEF25434}"/>
    <cellStyle name="Normal 5 2 5 4 3 4" xfId="14078" xr:uid="{3EE8B41F-649C-4DEA-A522-7FCE8C0DEFC9}"/>
    <cellStyle name="Normal 5 2 5 4 4" xfId="18301" xr:uid="{C6A2DA53-6AB0-4A4F-B0A2-FEE1EDB70764}"/>
    <cellStyle name="Normal 5 2 5 4 5" xfId="26746" xr:uid="{278172E5-472B-417C-985B-985CA7047EF6}"/>
    <cellStyle name="Normal 5 2 5 4 6" xfId="9860" xr:uid="{709CEEAD-15D6-48B2-8ADC-34D7B6B15092}"/>
    <cellStyle name="Normal 5 2 5 5" xfId="1741" xr:uid="{00000000-0005-0000-0000-00003F190000}"/>
    <cellStyle name="Normal 5 2 5 5 2" xfId="3971" xr:uid="{00000000-0005-0000-0000-000040190000}"/>
    <cellStyle name="Normal 5 2 5 5 2 2" xfId="8194" xr:uid="{00000000-0005-0000-0000-000041190000}"/>
    <cellStyle name="Normal 5 2 5 5 2 2 2" xfId="25077" xr:uid="{D93B7851-BF3F-4363-81CB-B7A7BD848D06}"/>
    <cellStyle name="Normal 5 2 5 5 2 2 3" xfId="33523" xr:uid="{E3A2FFA2-2DAD-44FB-92F0-10C5DB5DA199}"/>
    <cellStyle name="Normal 5 2 5 5 2 2 4" xfId="16636" xr:uid="{D6CF4139-D474-4DD9-831A-936E23E60B05}"/>
    <cellStyle name="Normal 5 2 5 5 2 3" xfId="20859" xr:uid="{BBD019FE-1A38-4804-B33A-FE40C191D5F1}"/>
    <cellStyle name="Normal 5 2 5 5 2 4" xfId="29306" xr:uid="{A03DF9AC-9F4D-4214-803E-288D8229E0A3}"/>
    <cellStyle name="Normal 5 2 5 5 2 5" xfId="12418" xr:uid="{5C6301BA-6233-455E-957E-D67F7F045DE6}"/>
    <cellStyle name="Normal 5 2 5 5 3" xfId="6049" xr:uid="{00000000-0005-0000-0000-000042190000}"/>
    <cellStyle name="Normal 5 2 5 5 3 2" xfId="22932" xr:uid="{D5CE7474-3AD0-4045-A578-006805893BDF}"/>
    <cellStyle name="Normal 5 2 5 5 3 3" xfId="31378" xr:uid="{2A4660C7-EB3D-4D3A-A367-C07440548F77}"/>
    <cellStyle name="Normal 5 2 5 5 3 4" xfId="14491" xr:uid="{6E267F61-EC2B-426C-9C4A-0B33312DB568}"/>
    <cellStyle name="Normal 5 2 5 5 4" xfId="18714" xr:uid="{8CC4E72B-DC2C-4A17-ABD1-05F8C38D19F4}"/>
    <cellStyle name="Normal 5 2 5 5 5" xfId="27159" xr:uid="{5D585433-26BE-46AE-9216-7163B4F84718}"/>
    <cellStyle name="Normal 5 2 5 5 6" xfId="10273" xr:uid="{BEEC0E2A-85B7-4508-82F1-4201B750C054}"/>
    <cellStyle name="Normal 5 2 5 6" xfId="2155" xr:uid="{00000000-0005-0000-0000-000043190000}"/>
    <cellStyle name="Normal 5 2 5 6 2" xfId="4384" xr:uid="{00000000-0005-0000-0000-000044190000}"/>
    <cellStyle name="Normal 5 2 5 6 2 2" xfId="8607" xr:uid="{00000000-0005-0000-0000-000045190000}"/>
    <cellStyle name="Normal 5 2 5 6 2 2 2" xfId="25490" xr:uid="{1020B6DA-0A80-4F73-B17A-352ED131CB1D}"/>
    <cellStyle name="Normal 5 2 5 6 2 2 3" xfId="33936" xr:uid="{25FD8B8C-9395-4929-8CAF-BC76894D76E3}"/>
    <cellStyle name="Normal 5 2 5 6 2 2 4" xfId="17049" xr:uid="{D696919C-8423-49E7-BB5A-A292238B5F18}"/>
    <cellStyle name="Normal 5 2 5 6 2 3" xfId="21272" xr:uid="{7D28ED22-780C-4B50-AE63-FA49482F63DB}"/>
    <cellStyle name="Normal 5 2 5 6 2 4" xfId="29719" xr:uid="{2C96EC5B-EF33-40CE-B59B-5FE9DABA5537}"/>
    <cellStyle name="Normal 5 2 5 6 2 5" xfId="12831" xr:uid="{F8AFD27B-3685-427A-93B8-2A450298665E}"/>
    <cellStyle name="Normal 5 2 5 6 3" xfId="6462" xr:uid="{00000000-0005-0000-0000-000046190000}"/>
    <cellStyle name="Normal 5 2 5 6 3 2" xfId="23345" xr:uid="{DF15B6E7-27AE-4D99-8229-06D9B8B12488}"/>
    <cellStyle name="Normal 5 2 5 6 3 3" xfId="31791" xr:uid="{54397F6A-14EE-4139-BD20-F6A7C244D765}"/>
    <cellStyle name="Normal 5 2 5 6 3 4" xfId="14904" xr:uid="{A72812E8-6ADE-4674-BEB5-3347285C21CE}"/>
    <cellStyle name="Normal 5 2 5 6 4" xfId="19127" xr:uid="{F51B64BB-2DDD-47E7-880C-0C0FEC60F732}"/>
    <cellStyle name="Normal 5 2 5 6 5" xfId="27572" xr:uid="{8405AFF1-5E26-487B-BB11-6F02A913A94B}"/>
    <cellStyle name="Normal 5 2 5 6 6" xfId="10686" xr:uid="{D1351F6A-DF0C-4CDB-A6C0-823DB66C2988}"/>
    <cellStyle name="Normal 5 2 5 7" xfId="2591" xr:uid="{00000000-0005-0000-0000-000047190000}"/>
    <cellStyle name="Normal 5 2 5 7 2" xfId="6875" xr:uid="{00000000-0005-0000-0000-000048190000}"/>
    <cellStyle name="Normal 5 2 5 7 2 2" xfId="23758" xr:uid="{D2C84EBC-36F3-4841-9295-8EE43E40BC6F}"/>
    <cellStyle name="Normal 5 2 5 7 2 3" xfId="32204" xr:uid="{049805D5-C71F-4923-9E18-A6C91EA18E0D}"/>
    <cellStyle name="Normal 5 2 5 7 2 4" xfId="15317" xr:uid="{02ADE83C-FD6B-42E8-81D0-61B29A12D909}"/>
    <cellStyle name="Normal 5 2 5 7 3" xfId="19540" xr:uid="{6F79FED6-EFE9-4F77-80D4-23B08C5E936D}"/>
    <cellStyle name="Normal 5 2 5 7 4" xfId="27985" xr:uid="{4AAD6AB2-ED92-417F-B884-DB66B41CAC9C}"/>
    <cellStyle name="Normal 5 2 5 7 5" xfId="11099" xr:uid="{80DC6198-5159-4803-A387-2F8D4E371714}"/>
    <cellStyle name="Normal 5 2 5 8" xfId="4810" xr:uid="{00000000-0005-0000-0000-000049190000}"/>
    <cellStyle name="Normal 5 2 5 8 2" xfId="21693" xr:uid="{F8F67EA7-210F-4A54-A068-4C4DDFBD7503}"/>
    <cellStyle name="Normal 5 2 5 8 3" xfId="30139" xr:uid="{8CA5774F-5559-4818-900C-DB3B9BEAFB18}"/>
    <cellStyle name="Normal 5 2 5 8 4" xfId="13252" xr:uid="{4F1586B0-B7B2-4058-A5B6-B1F295E86F12}"/>
    <cellStyle name="Normal 5 2 5 9" xfId="17475" xr:uid="{F291458E-F505-4F2C-9BB5-4C6925A98EAC}"/>
    <cellStyle name="Normal 5 2 6" xfId="438" xr:uid="{00000000-0005-0000-0000-00004A190000}"/>
    <cellStyle name="Normal 5 2 6 10" xfId="9036" xr:uid="{6E20D664-B62D-4E2D-BE38-5FA2145F2FA8}"/>
    <cellStyle name="Normal 5 2 6 2" xfId="912" xr:uid="{00000000-0005-0000-0000-00004B190000}"/>
    <cellStyle name="Normal 5 2 6 2 2" xfId="3147" xr:uid="{00000000-0005-0000-0000-00004C190000}"/>
    <cellStyle name="Normal 5 2 6 2 2 2" xfId="7370" xr:uid="{00000000-0005-0000-0000-00004D190000}"/>
    <cellStyle name="Normal 5 2 6 2 2 2 2" xfId="24253" xr:uid="{7DFD51D6-7E5E-4329-BBA4-C7CC104E9FF6}"/>
    <cellStyle name="Normal 5 2 6 2 2 2 3" xfId="32699" xr:uid="{04368CE8-F78C-4B43-A1E3-D826BF70C3D3}"/>
    <cellStyle name="Normal 5 2 6 2 2 2 4" xfId="15812" xr:uid="{2F3448B5-B6E3-4644-A258-77FAC9DB2468}"/>
    <cellStyle name="Normal 5 2 6 2 2 3" xfId="20035" xr:uid="{B26AE37C-AC7E-4F3A-8EDF-6BD4BBA71BDF}"/>
    <cellStyle name="Normal 5 2 6 2 2 4" xfId="28482" xr:uid="{0408C782-384E-4EC2-8777-5A56ED104289}"/>
    <cellStyle name="Normal 5 2 6 2 2 5" xfId="11594" xr:uid="{FD0C403E-5ED6-4721-A78C-735C1F4DD4B0}"/>
    <cellStyle name="Normal 5 2 6 2 3" xfId="5225" xr:uid="{00000000-0005-0000-0000-00004E190000}"/>
    <cellStyle name="Normal 5 2 6 2 3 2" xfId="22108" xr:uid="{F8A3A36D-9D1D-4C8F-9571-B107FE0A2F1A}"/>
    <cellStyle name="Normal 5 2 6 2 3 3" xfId="30554" xr:uid="{F01DD7A2-599D-4CEE-8D42-B645BD673C47}"/>
    <cellStyle name="Normal 5 2 6 2 3 4" xfId="13667" xr:uid="{2425D707-CA45-429B-A03E-1B0561E85994}"/>
    <cellStyle name="Normal 5 2 6 2 4" xfId="17890" xr:uid="{D98DE265-46AA-464B-9961-43ED40968C83}"/>
    <cellStyle name="Normal 5 2 6 2 5" xfId="26335" xr:uid="{FA51D91E-7B68-422A-900E-E04E9364250B}"/>
    <cellStyle name="Normal 5 2 6 2 6" xfId="9449" xr:uid="{9FE8EC47-F2C8-4CB8-B0D5-B41D19836806}"/>
    <cellStyle name="Normal 5 2 6 3" xfId="1330" xr:uid="{00000000-0005-0000-0000-00004F190000}"/>
    <cellStyle name="Normal 5 2 6 3 2" xfId="3560" xr:uid="{00000000-0005-0000-0000-000050190000}"/>
    <cellStyle name="Normal 5 2 6 3 2 2" xfId="7783" xr:uid="{00000000-0005-0000-0000-000051190000}"/>
    <cellStyle name="Normal 5 2 6 3 2 2 2" xfId="24666" xr:uid="{7087DA66-5CE8-4295-B31B-165E744CBF3A}"/>
    <cellStyle name="Normal 5 2 6 3 2 2 3" xfId="33112" xr:uid="{8110803E-DF3F-470E-9664-615044BBADD7}"/>
    <cellStyle name="Normal 5 2 6 3 2 2 4" xfId="16225" xr:uid="{FBA454A9-BAB6-4CAA-A13D-6ECE55405F45}"/>
    <cellStyle name="Normal 5 2 6 3 2 3" xfId="20448" xr:uid="{B798339C-2EE5-464A-8AAA-68859C35F24D}"/>
    <cellStyle name="Normal 5 2 6 3 2 4" xfId="28895" xr:uid="{171429DC-BA63-4847-B82F-8C3AD39A2D8E}"/>
    <cellStyle name="Normal 5 2 6 3 2 5" xfId="12007" xr:uid="{C2DE4D20-DC30-4DB1-A063-B3A035A2C15E}"/>
    <cellStyle name="Normal 5 2 6 3 3" xfId="5638" xr:uid="{00000000-0005-0000-0000-000052190000}"/>
    <cellStyle name="Normal 5 2 6 3 3 2" xfId="22521" xr:uid="{A3E18CA7-4209-47C7-9BB1-CBABB5BD1D6F}"/>
    <cellStyle name="Normal 5 2 6 3 3 3" xfId="30967" xr:uid="{F0F7B76D-3506-4EFF-8955-80B25CFFABE4}"/>
    <cellStyle name="Normal 5 2 6 3 3 4" xfId="14080" xr:uid="{469C61D1-C773-4717-9325-AE9C944AB870}"/>
    <cellStyle name="Normal 5 2 6 3 4" xfId="18303" xr:uid="{F9D35729-8FF9-45B8-A413-F6C247620021}"/>
    <cellStyle name="Normal 5 2 6 3 5" xfId="26748" xr:uid="{9D8E5030-B7B7-40B1-B121-FF3A486D7C1A}"/>
    <cellStyle name="Normal 5 2 6 3 6" xfId="9862" xr:uid="{2623DEEB-954B-496F-AD9C-2AAC88A73160}"/>
    <cellStyle name="Normal 5 2 6 4" xfId="1743" xr:uid="{00000000-0005-0000-0000-000053190000}"/>
    <cellStyle name="Normal 5 2 6 4 2" xfId="3973" xr:uid="{00000000-0005-0000-0000-000054190000}"/>
    <cellStyle name="Normal 5 2 6 4 2 2" xfId="8196" xr:uid="{00000000-0005-0000-0000-000055190000}"/>
    <cellStyle name="Normal 5 2 6 4 2 2 2" xfId="25079" xr:uid="{ABBA10AC-5BFB-4E79-9AC0-3DE30E67473B}"/>
    <cellStyle name="Normal 5 2 6 4 2 2 3" xfId="33525" xr:uid="{2CDA03DA-3AD4-4751-B513-B85D0B6547BD}"/>
    <cellStyle name="Normal 5 2 6 4 2 2 4" xfId="16638" xr:uid="{9E5EF778-48CB-46B9-B636-EC09D616BACD}"/>
    <cellStyle name="Normal 5 2 6 4 2 3" xfId="20861" xr:uid="{E8F800EA-8C27-40BE-98A5-BB4F0409A26E}"/>
    <cellStyle name="Normal 5 2 6 4 2 4" xfId="29308" xr:uid="{23904029-0660-4698-B9FE-5879B86C4500}"/>
    <cellStyle name="Normal 5 2 6 4 2 5" xfId="12420" xr:uid="{246900BA-124F-4AAD-BF8A-FD71B2016C9E}"/>
    <cellStyle name="Normal 5 2 6 4 3" xfId="6051" xr:uid="{00000000-0005-0000-0000-000056190000}"/>
    <cellStyle name="Normal 5 2 6 4 3 2" xfId="22934" xr:uid="{EC606869-8F83-48F6-837E-784ED6329501}"/>
    <cellStyle name="Normal 5 2 6 4 3 3" xfId="31380" xr:uid="{9D8EBC0A-327D-4C6F-A206-D4D685915FEC}"/>
    <cellStyle name="Normal 5 2 6 4 3 4" xfId="14493" xr:uid="{C1720C0C-52BC-42D1-8235-994832167CC2}"/>
    <cellStyle name="Normal 5 2 6 4 4" xfId="18716" xr:uid="{15E770ED-1D5F-4EE2-89CD-270D21559934}"/>
    <cellStyle name="Normal 5 2 6 4 5" xfId="27161" xr:uid="{F266F5E2-47FE-477D-AE4E-3EE34CECC421}"/>
    <cellStyle name="Normal 5 2 6 4 6" xfId="10275" xr:uid="{02EE2E0C-A28D-4755-B4DA-24CDE2339F0D}"/>
    <cellStyle name="Normal 5 2 6 5" xfId="2157" xr:uid="{00000000-0005-0000-0000-000057190000}"/>
    <cellStyle name="Normal 5 2 6 5 2" xfId="4386" xr:uid="{00000000-0005-0000-0000-000058190000}"/>
    <cellStyle name="Normal 5 2 6 5 2 2" xfId="8609" xr:uid="{00000000-0005-0000-0000-000059190000}"/>
    <cellStyle name="Normal 5 2 6 5 2 2 2" xfId="25492" xr:uid="{FB0E7BD6-60C1-45E6-B0A2-9F05BA894871}"/>
    <cellStyle name="Normal 5 2 6 5 2 2 3" xfId="33938" xr:uid="{55A908F0-EB1D-466C-BB99-A090DCC94BF4}"/>
    <cellStyle name="Normal 5 2 6 5 2 2 4" xfId="17051" xr:uid="{3A115B21-D3CC-4DF9-BCC3-7516B7972691}"/>
    <cellStyle name="Normal 5 2 6 5 2 3" xfId="21274" xr:uid="{D7608373-DB7E-499F-902B-16E7085B47D6}"/>
    <cellStyle name="Normal 5 2 6 5 2 4" xfId="29721" xr:uid="{3342DBAB-C22C-4969-84DC-42F2E4082756}"/>
    <cellStyle name="Normal 5 2 6 5 2 5" xfId="12833" xr:uid="{4E3094F0-B456-4F24-BB62-D487D1010BA5}"/>
    <cellStyle name="Normal 5 2 6 5 3" xfId="6464" xr:uid="{00000000-0005-0000-0000-00005A190000}"/>
    <cellStyle name="Normal 5 2 6 5 3 2" xfId="23347" xr:uid="{5B104745-BEA7-45E1-9F17-8862BDF491B3}"/>
    <cellStyle name="Normal 5 2 6 5 3 3" xfId="31793" xr:uid="{E49C85DE-FA3D-48EA-9482-1087E143DD4E}"/>
    <cellStyle name="Normal 5 2 6 5 3 4" xfId="14906" xr:uid="{07F2FB36-5631-40DE-A325-02E8CC4D567F}"/>
    <cellStyle name="Normal 5 2 6 5 4" xfId="19129" xr:uid="{F6DE3D83-4FA7-46E2-8EC8-632F3FDEB228}"/>
    <cellStyle name="Normal 5 2 6 5 5" xfId="27574" xr:uid="{8E1988CD-E4FD-4C15-86BF-FFAB38E9494F}"/>
    <cellStyle name="Normal 5 2 6 5 6" xfId="10688" xr:uid="{859708DA-B104-423C-A3C3-1B8E20109994}"/>
    <cellStyle name="Normal 5 2 6 6" xfId="2593" xr:uid="{00000000-0005-0000-0000-00005B190000}"/>
    <cellStyle name="Normal 5 2 6 6 2" xfId="6877" xr:uid="{00000000-0005-0000-0000-00005C190000}"/>
    <cellStyle name="Normal 5 2 6 6 2 2" xfId="23760" xr:uid="{C6ECD6BF-B4E4-414F-BEC6-DF6D3A85B1CE}"/>
    <cellStyle name="Normal 5 2 6 6 2 3" xfId="32206" xr:uid="{4766FC30-B688-470A-9D1F-E88DB2894CE0}"/>
    <cellStyle name="Normal 5 2 6 6 2 4" xfId="15319" xr:uid="{0047F1B4-6CA7-4692-BDA6-2C012BE46264}"/>
    <cellStyle name="Normal 5 2 6 6 3" xfId="19542" xr:uid="{B89779AD-34E9-4165-AE75-9AB5332E5AF2}"/>
    <cellStyle name="Normal 5 2 6 6 4" xfId="27987" xr:uid="{E64AF221-6BA7-4498-B327-7D349C872D35}"/>
    <cellStyle name="Normal 5 2 6 6 5" xfId="11101" xr:uid="{E2231FD2-4CDD-46D9-AC1E-16C2BE91AF51}"/>
    <cellStyle name="Normal 5 2 6 7" xfId="4812" xr:uid="{00000000-0005-0000-0000-00005D190000}"/>
    <cellStyle name="Normal 5 2 6 7 2" xfId="21695" xr:uid="{C385BED6-24A8-475A-9FF4-60D11665670A}"/>
    <cellStyle name="Normal 5 2 6 7 3" xfId="30141" xr:uid="{08654094-9EAA-4EA9-9C33-5477D5245F68}"/>
    <cellStyle name="Normal 5 2 6 7 4" xfId="13254" xr:uid="{71E87BCA-B949-4EAC-9F57-CD8E8AB66420}"/>
    <cellStyle name="Normal 5 2 6 8" xfId="17477" xr:uid="{3E7194EA-8CAC-43AA-A252-4E381B9BDA50}"/>
    <cellStyle name="Normal 5 2 6 9" xfId="25921" xr:uid="{0291F94D-0EC9-48D8-9B1B-802BF0582F59}"/>
    <cellStyle name="Normal 5 2 7" xfId="881" xr:uid="{00000000-0005-0000-0000-00005E190000}"/>
    <cellStyle name="Normal 5 2 7 2" xfId="3116" xr:uid="{00000000-0005-0000-0000-00005F190000}"/>
    <cellStyle name="Normal 5 2 7 2 2" xfId="7339" xr:uid="{00000000-0005-0000-0000-000060190000}"/>
    <cellStyle name="Normal 5 2 7 2 2 2" xfId="24222" xr:uid="{8BF13EE6-2E67-415D-958F-BBD784C25807}"/>
    <cellStyle name="Normal 5 2 7 2 2 3" xfId="32668" xr:uid="{B39E608E-90B3-461E-B4D7-48F3AD7AD54C}"/>
    <cellStyle name="Normal 5 2 7 2 2 4" xfId="15781" xr:uid="{5ED95632-D4A0-4AD9-B739-868663227960}"/>
    <cellStyle name="Normal 5 2 7 2 3" xfId="20004" xr:uid="{A79FE5CA-74B9-4304-A847-5A8810F3394D}"/>
    <cellStyle name="Normal 5 2 7 2 4" xfId="28451" xr:uid="{152E7FD2-2429-4CC7-8B54-F3864475E4B7}"/>
    <cellStyle name="Normal 5 2 7 2 5" xfId="11563" xr:uid="{F27790B9-18D5-4977-B31F-BA3F706E0A51}"/>
    <cellStyle name="Normal 5 2 7 3" xfId="5194" xr:uid="{00000000-0005-0000-0000-000061190000}"/>
    <cellStyle name="Normal 5 2 7 3 2" xfId="22077" xr:uid="{54350134-A7BB-4B22-9450-52C94D94D038}"/>
    <cellStyle name="Normal 5 2 7 3 3" xfId="30523" xr:uid="{C9A99C89-D95C-47C2-B29C-DF9EB44970EC}"/>
    <cellStyle name="Normal 5 2 7 3 4" xfId="13636" xr:uid="{4B03711E-605E-4754-83FB-07456DF494A2}"/>
    <cellStyle name="Normal 5 2 7 4" xfId="17859" xr:uid="{A006D9A6-0C79-4EF4-9009-15869E6FD5DE}"/>
    <cellStyle name="Normal 5 2 7 5" xfId="26304" xr:uid="{26B78887-C91C-4AF2-ABED-017CBE565A81}"/>
    <cellStyle name="Normal 5 2 7 6" xfId="9418" xr:uid="{53B7085C-B270-4FA9-AF8A-4A70C5C50EBC}"/>
    <cellStyle name="Normal 5 2 8" xfId="1299" xr:uid="{00000000-0005-0000-0000-000062190000}"/>
    <cellStyle name="Normal 5 2 8 2" xfId="3529" xr:uid="{00000000-0005-0000-0000-000063190000}"/>
    <cellStyle name="Normal 5 2 8 2 2" xfId="7752" xr:uid="{00000000-0005-0000-0000-000064190000}"/>
    <cellStyle name="Normal 5 2 8 2 2 2" xfId="24635" xr:uid="{D57FF4A7-269A-48CD-A6D7-5D849FA15469}"/>
    <cellStyle name="Normal 5 2 8 2 2 3" xfId="33081" xr:uid="{9B357A0C-3CA5-4850-997D-E7EF3A5DE26B}"/>
    <cellStyle name="Normal 5 2 8 2 2 4" xfId="16194" xr:uid="{18A65572-F5FC-4CAB-A446-58A9D2FE2EE3}"/>
    <cellStyle name="Normal 5 2 8 2 3" xfId="20417" xr:uid="{3524B17D-EA9C-4890-9098-9A363E3E97A6}"/>
    <cellStyle name="Normal 5 2 8 2 4" xfId="28864" xr:uid="{460E507D-0642-4274-BB8E-CC154C669FB2}"/>
    <cellStyle name="Normal 5 2 8 2 5" xfId="11976" xr:uid="{00230BB1-0544-48D3-9A6A-787E43083A71}"/>
    <cellStyle name="Normal 5 2 8 3" xfId="5607" xr:uid="{00000000-0005-0000-0000-000065190000}"/>
    <cellStyle name="Normal 5 2 8 3 2" xfId="22490" xr:uid="{AEA32DC1-03E0-4F61-930E-5BBF38BCA863}"/>
    <cellStyle name="Normal 5 2 8 3 3" xfId="30936" xr:uid="{12478511-812D-4748-9501-46649D351C7A}"/>
    <cellStyle name="Normal 5 2 8 3 4" xfId="14049" xr:uid="{A64928EF-A83B-4E51-9231-148E90A5273D}"/>
    <cellStyle name="Normal 5 2 8 4" xfId="18272" xr:uid="{8D1F5915-AB89-41AF-967E-0F2523379E77}"/>
    <cellStyle name="Normal 5 2 8 5" xfId="26717" xr:uid="{D7F7B927-F798-45E9-8A8B-F8ACAD16B594}"/>
    <cellStyle name="Normal 5 2 8 6" xfId="9831" xr:uid="{B69CF65E-45C1-42BB-B88D-D8077F671C74}"/>
    <cellStyle name="Normal 5 2 9" xfId="1712" xr:uid="{00000000-0005-0000-0000-000066190000}"/>
    <cellStyle name="Normal 5 2 9 2" xfId="3942" xr:uid="{00000000-0005-0000-0000-000067190000}"/>
    <cellStyle name="Normal 5 2 9 2 2" xfId="8165" xr:uid="{00000000-0005-0000-0000-000068190000}"/>
    <cellStyle name="Normal 5 2 9 2 2 2" xfId="25048" xr:uid="{7DF3ECE3-5394-48E5-BFA0-3D624E240C20}"/>
    <cellStyle name="Normal 5 2 9 2 2 3" xfId="33494" xr:uid="{E98B503C-5085-4F2F-9584-314F5560AED9}"/>
    <cellStyle name="Normal 5 2 9 2 2 4" xfId="16607" xr:uid="{D478A92A-1D7E-48FC-B994-68ECB431A9A3}"/>
    <cellStyle name="Normal 5 2 9 2 3" xfId="20830" xr:uid="{E2B47027-9380-4F63-B3CF-62281A7B7C95}"/>
    <cellStyle name="Normal 5 2 9 2 4" xfId="29277" xr:uid="{BF3C48AF-ECED-4C06-B1D2-3C3215A46B0B}"/>
    <cellStyle name="Normal 5 2 9 2 5" xfId="12389" xr:uid="{717DBA38-AFF3-43C8-988D-287201322CF9}"/>
    <cellStyle name="Normal 5 2 9 3" xfId="6020" xr:uid="{00000000-0005-0000-0000-000069190000}"/>
    <cellStyle name="Normal 5 2 9 3 2" xfId="22903" xr:uid="{76351D03-E7E2-4408-A0EA-309D20775F0B}"/>
    <cellStyle name="Normal 5 2 9 3 3" xfId="31349" xr:uid="{42CC5AA8-8388-4D6A-B2AD-E33712B492F4}"/>
    <cellStyle name="Normal 5 2 9 3 4" xfId="14462" xr:uid="{4C7CF5D4-4372-412C-91CE-EB1BE9206FF3}"/>
    <cellStyle name="Normal 5 2 9 4" xfId="18685" xr:uid="{7DE1CA8C-90D0-4662-BA48-14B9144C5E91}"/>
    <cellStyle name="Normal 5 2 9 5" xfId="27130" xr:uid="{69E9C017-EDDD-4F7B-9A39-84ED69020662}"/>
    <cellStyle name="Normal 5 2 9 6" xfId="10244" xr:uid="{EF6D9832-87CB-4C39-A9E1-E54B4B7AFEC9}"/>
    <cellStyle name="Normal 5 2_Item C7" xfId="34122" xr:uid="{3BD10A06-E864-4008-800C-83C7B0784D1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25493" xr:uid="{1AD9861B-971B-4C64-A8B6-75D9154628ED}"/>
    <cellStyle name="Normal 5 3 10 2 2 3" xfId="33939" xr:uid="{C7990DC4-3A04-4896-B079-B061E7A414CE}"/>
    <cellStyle name="Normal 5 3 10 2 2 4" xfId="17052" xr:uid="{E467B9A7-0575-4888-8891-5CC758869968}"/>
    <cellStyle name="Normal 5 3 10 2 3" xfId="21275" xr:uid="{0E10E93D-3D30-4A66-80BD-54099096D4CB}"/>
    <cellStyle name="Normal 5 3 10 2 4" xfId="29722" xr:uid="{5BE452D2-6AC8-4317-BC00-A28CCD040457}"/>
    <cellStyle name="Normal 5 3 10 2 5" xfId="12834" xr:uid="{4A7E16B8-2F92-4F1E-98FE-AAFC447B5C41}"/>
    <cellStyle name="Normal 5 3 10 3" xfId="6465" xr:uid="{00000000-0005-0000-0000-00006E190000}"/>
    <cellStyle name="Normal 5 3 10 3 2" xfId="23348" xr:uid="{3C2C530D-48B7-4A2B-9877-5C30E08FDF67}"/>
    <cellStyle name="Normal 5 3 10 3 3" xfId="31794" xr:uid="{389ADF17-A9C1-4960-B3F6-7B8E76F3F9EB}"/>
    <cellStyle name="Normal 5 3 10 3 4" xfId="14907" xr:uid="{663B8232-3578-4CA9-BD83-B9988A1333E3}"/>
    <cellStyle name="Normal 5 3 10 4" xfId="19130" xr:uid="{8DF799A2-8636-4BD9-8BBD-613763667BEA}"/>
    <cellStyle name="Normal 5 3 10 5" xfId="27575" xr:uid="{849F0D79-84A9-471F-BC44-17E026B4B02C}"/>
    <cellStyle name="Normal 5 3 10 6" xfId="10689" xr:uid="{D0C6E88A-28BE-4DD4-9A5A-731100B5007F}"/>
    <cellStyle name="Normal 5 3 11" xfId="2594" xr:uid="{00000000-0005-0000-0000-00006F190000}"/>
    <cellStyle name="Normal 5 3 11 2" xfId="6878" xr:uid="{00000000-0005-0000-0000-000070190000}"/>
    <cellStyle name="Normal 5 3 11 2 2" xfId="23761" xr:uid="{245B6AA3-1D5D-43FE-9634-7CE666B372C4}"/>
    <cellStyle name="Normal 5 3 11 2 3" xfId="32207" xr:uid="{75199232-ABDA-4FB8-AE9F-DB4C13D314C5}"/>
    <cellStyle name="Normal 5 3 11 2 4" xfId="15320" xr:uid="{A3231DFF-CC6F-4DF9-84E2-E08A0D79A51A}"/>
    <cellStyle name="Normal 5 3 11 3" xfId="19543" xr:uid="{92305D58-A7D1-48BC-BC5F-2984D175D39E}"/>
    <cellStyle name="Normal 5 3 11 4" xfId="27988" xr:uid="{75E698A7-7E9B-40EF-B612-D09299AF9723}"/>
    <cellStyle name="Normal 5 3 11 5" xfId="11102" xr:uid="{4CEDBCBA-AD4D-438E-8219-C1DE51C27513}"/>
    <cellStyle name="Normal 5 3 12" xfId="4813" xr:uid="{00000000-0005-0000-0000-000071190000}"/>
    <cellStyle name="Normal 5 3 12 2" xfId="21696" xr:uid="{759495C0-1F3A-40FA-AE17-9E7F9ACFDCDB}"/>
    <cellStyle name="Normal 5 3 12 3" xfId="30142" xr:uid="{C17D58F7-55E1-4F6B-866C-94943544603C}"/>
    <cellStyle name="Normal 5 3 12 4" xfId="13255" xr:uid="{AF0BE279-0BA2-4C27-BB6E-85F911795277}"/>
    <cellStyle name="Normal 5 3 13" xfId="17478" xr:uid="{37082C14-7A26-4D85-9491-F78F7C5FCDC3}"/>
    <cellStyle name="Normal 5 3 14" xfId="25922" xr:uid="{9C67BB15-65A3-4D3E-8BE0-3094ED2177EF}"/>
    <cellStyle name="Normal 5 3 15" xfId="28095" xr:uid="{4D644525-946E-4E24-9A17-2B0A5917316D}"/>
    <cellStyle name="Normal 5 3 16" xfId="9037" xr:uid="{E62220D4-AF4A-45A1-86A2-E2768E395F74}"/>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21697" xr:uid="{FC177B41-FD25-4390-BD01-7F52B4EA1E84}"/>
    <cellStyle name="Normal 5 3 3 10 3" xfId="30143" xr:uid="{E6CDA717-CA27-49FA-8E0D-C302950AF5B9}"/>
    <cellStyle name="Normal 5 3 3 10 4" xfId="13256" xr:uid="{A3EEF2D8-66C0-49CD-98CE-6A67FC4009C0}"/>
    <cellStyle name="Normal 5 3 3 11" xfId="17479" xr:uid="{93D5B225-7BED-4692-8A88-9D4429C02E51}"/>
    <cellStyle name="Normal 5 3 3 12" xfId="25923" xr:uid="{DDA0CB32-3F16-455F-8515-AD4AFFA22037}"/>
    <cellStyle name="Normal 5 3 3 13" xfId="9038" xr:uid="{5E052709-739F-48E2-A262-53C2EC1B9AD5}"/>
    <cellStyle name="Normal 5 3 3 2" xfId="442" xr:uid="{00000000-0005-0000-0000-000076190000}"/>
    <cellStyle name="Normal 5 3 3 2 10" xfId="17480" xr:uid="{5C600D6B-3DC1-4987-BD76-0D7BCE45ED52}"/>
    <cellStyle name="Normal 5 3 3 2 11" xfId="25924" xr:uid="{69D31191-56CF-4814-92F0-F972F105CDC0}"/>
    <cellStyle name="Normal 5 3 3 2 12" xfId="9039" xr:uid="{7EDD97A8-64F6-4E05-88DF-F7BFBC16679A}"/>
    <cellStyle name="Normal 5 3 3 2 2" xfId="443" xr:uid="{00000000-0005-0000-0000-000077190000}"/>
    <cellStyle name="Normal 5 3 3 2 2 10" xfId="25925" xr:uid="{9F45D5E9-33C5-4431-9EED-3B86FCC3C42F}"/>
    <cellStyle name="Normal 5 3 3 2 2 11" xfId="9040" xr:uid="{B7B30555-F6FE-4C8C-93AD-01385D1ED9C1}"/>
    <cellStyle name="Normal 5 3 3 2 2 2" xfId="444" xr:uid="{00000000-0005-0000-0000-000078190000}"/>
    <cellStyle name="Normal 5 3 3 2 2 2 10" xfId="9041" xr:uid="{F7247B0D-0E47-4016-BF36-7C599D9AE265}"/>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24258" xr:uid="{9961234C-2D4B-462A-A863-77CAF533BCFF}"/>
    <cellStyle name="Normal 5 3 3 2 2 2 2 2 2 3" xfId="32704" xr:uid="{AC6193A7-E09C-419F-B68B-0EE6FF535E73}"/>
    <cellStyle name="Normal 5 3 3 2 2 2 2 2 2 4" xfId="15817" xr:uid="{4927E840-A5DB-490D-848A-10897E8F8BDE}"/>
    <cellStyle name="Normal 5 3 3 2 2 2 2 2 3" xfId="20040" xr:uid="{5777DDEE-A21A-4D89-8D8F-7B0D6369C45B}"/>
    <cellStyle name="Normal 5 3 3 2 2 2 2 2 4" xfId="28487" xr:uid="{A5DF5ED3-9AA7-43A9-85AD-357FF1F23050}"/>
    <cellStyle name="Normal 5 3 3 2 2 2 2 2 5" xfId="11599" xr:uid="{879049A5-508C-490C-816C-9C3B7CD70543}"/>
    <cellStyle name="Normal 5 3 3 2 2 2 2 3" xfId="5230" xr:uid="{00000000-0005-0000-0000-00007C190000}"/>
    <cellStyle name="Normal 5 3 3 2 2 2 2 3 2" xfId="22113" xr:uid="{3EB34643-3C71-4511-BF23-281BEBA3A730}"/>
    <cellStyle name="Normal 5 3 3 2 2 2 2 3 3" xfId="30559" xr:uid="{188BDB0D-9E5C-42BD-AD6D-2E6539077646}"/>
    <cellStyle name="Normal 5 3 3 2 2 2 2 3 4" xfId="13672" xr:uid="{B8F4A4F1-23D3-4C49-BD63-BAE835FE7B41}"/>
    <cellStyle name="Normal 5 3 3 2 2 2 2 4" xfId="17895" xr:uid="{A3F80D0C-098A-4E50-BC52-54835D0808EB}"/>
    <cellStyle name="Normal 5 3 3 2 2 2 2 5" xfId="26340" xr:uid="{5AE610F1-4F1D-42EA-95A1-11F3A2842D53}"/>
    <cellStyle name="Normal 5 3 3 2 2 2 2 6" xfId="9454" xr:uid="{3B8E70C5-350F-494D-815A-E563F5322091}"/>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24671" xr:uid="{189653BC-AA00-4979-95C2-B1C982BDEEA3}"/>
    <cellStyle name="Normal 5 3 3 2 2 2 3 2 2 3" xfId="33117" xr:uid="{D753ED6A-6B67-4DE8-9AEF-45EBBD701DA0}"/>
    <cellStyle name="Normal 5 3 3 2 2 2 3 2 2 4" xfId="16230" xr:uid="{EC808329-270A-451F-98BD-D97AA7484D14}"/>
    <cellStyle name="Normal 5 3 3 2 2 2 3 2 3" xfId="20453" xr:uid="{5AEA3D76-57EF-4D29-82EC-15C4E1F9800C}"/>
    <cellStyle name="Normal 5 3 3 2 2 2 3 2 4" xfId="28900" xr:uid="{0785B892-4A8F-40AA-B343-0D0E806F7B98}"/>
    <cellStyle name="Normal 5 3 3 2 2 2 3 2 5" xfId="12012" xr:uid="{0B75D7C6-9BB7-4D58-863C-D033A4D08CFB}"/>
    <cellStyle name="Normal 5 3 3 2 2 2 3 3" xfId="5643" xr:uid="{00000000-0005-0000-0000-000080190000}"/>
    <cellStyle name="Normal 5 3 3 2 2 2 3 3 2" xfId="22526" xr:uid="{189D2541-8D5E-49F5-A78A-38D8D0B0690D}"/>
    <cellStyle name="Normal 5 3 3 2 2 2 3 3 3" xfId="30972" xr:uid="{AD3FE925-E45E-4D56-99A3-5B6919457650}"/>
    <cellStyle name="Normal 5 3 3 2 2 2 3 3 4" xfId="14085" xr:uid="{420693AD-BFA4-42B3-BE47-2FC5BB057793}"/>
    <cellStyle name="Normal 5 3 3 2 2 2 3 4" xfId="18308" xr:uid="{11B4B3B9-66E3-4130-A4E2-792D87782784}"/>
    <cellStyle name="Normal 5 3 3 2 2 2 3 5" xfId="26753" xr:uid="{C135FCB8-142B-4DB7-908F-F88ECBCE44D6}"/>
    <cellStyle name="Normal 5 3 3 2 2 2 3 6" xfId="9867" xr:uid="{8CE32135-8B88-43CF-AEA8-7300369FE9DA}"/>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25084" xr:uid="{5EADA6E7-C3C3-4C9E-882F-757922588CBF}"/>
    <cellStyle name="Normal 5 3 3 2 2 2 4 2 2 3" xfId="33530" xr:uid="{94000BDC-75E0-49FE-8C8B-12D9B0C1F263}"/>
    <cellStyle name="Normal 5 3 3 2 2 2 4 2 2 4" xfId="16643" xr:uid="{CD25B96E-EE56-4AB8-AA7A-ADE4EA320997}"/>
    <cellStyle name="Normal 5 3 3 2 2 2 4 2 3" xfId="20866" xr:uid="{7EB3A375-2CA7-4E8D-A87B-126AD707DE91}"/>
    <cellStyle name="Normal 5 3 3 2 2 2 4 2 4" xfId="29313" xr:uid="{00544039-2403-428F-988E-B0D475A6EB9D}"/>
    <cellStyle name="Normal 5 3 3 2 2 2 4 2 5" xfId="12425" xr:uid="{26A6313B-C79A-475C-A745-82B4B6A3DC10}"/>
    <cellStyle name="Normal 5 3 3 2 2 2 4 3" xfId="6056" xr:uid="{00000000-0005-0000-0000-000084190000}"/>
    <cellStyle name="Normal 5 3 3 2 2 2 4 3 2" xfId="22939" xr:uid="{E6E2F60A-F075-441E-8794-977DF2C6A523}"/>
    <cellStyle name="Normal 5 3 3 2 2 2 4 3 3" xfId="31385" xr:uid="{5F8F7206-0A5C-4D11-AE45-89193E990ADA}"/>
    <cellStyle name="Normal 5 3 3 2 2 2 4 3 4" xfId="14498" xr:uid="{AD983EDC-5D21-4EC7-80EB-0128E01E7332}"/>
    <cellStyle name="Normal 5 3 3 2 2 2 4 4" xfId="18721" xr:uid="{F95A7478-D4A5-4860-8CF5-2BD939423573}"/>
    <cellStyle name="Normal 5 3 3 2 2 2 4 5" xfId="27166" xr:uid="{4D0487E9-3455-4E53-A8B9-4C2E3F57F4C7}"/>
    <cellStyle name="Normal 5 3 3 2 2 2 4 6" xfId="10280" xr:uid="{2B25F44B-D96A-4CB2-8AA5-4817171EC92B}"/>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25497" xr:uid="{E17CB1A6-4DBE-4F43-8F30-DE919E75E269}"/>
    <cellStyle name="Normal 5 3 3 2 2 2 5 2 2 3" xfId="33943" xr:uid="{E269B512-D9DE-49FF-A619-CF69F41B318E}"/>
    <cellStyle name="Normal 5 3 3 2 2 2 5 2 2 4" xfId="17056" xr:uid="{EF143129-D94A-45FD-886E-5E5DD1D046EE}"/>
    <cellStyle name="Normal 5 3 3 2 2 2 5 2 3" xfId="21279" xr:uid="{C78685D8-56AF-427D-B5A1-2A70281231A1}"/>
    <cellStyle name="Normal 5 3 3 2 2 2 5 2 4" xfId="29726" xr:uid="{ECC7E03E-6670-4650-A716-39156BACEB4E}"/>
    <cellStyle name="Normal 5 3 3 2 2 2 5 2 5" xfId="12838" xr:uid="{0972E6C7-BEF2-4F4B-ADED-7BDFCA124DE1}"/>
    <cellStyle name="Normal 5 3 3 2 2 2 5 3" xfId="6469" xr:uid="{00000000-0005-0000-0000-000088190000}"/>
    <cellStyle name="Normal 5 3 3 2 2 2 5 3 2" xfId="23352" xr:uid="{A1CF5DAF-E040-4619-94B0-F0A41637BB6E}"/>
    <cellStyle name="Normal 5 3 3 2 2 2 5 3 3" xfId="31798" xr:uid="{7A44CB2B-FF00-43DD-AF14-92EE138BA16A}"/>
    <cellStyle name="Normal 5 3 3 2 2 2 5 3 4" xfId="14911" xr:uid="{84406B72-F1CF-4895-847D-25380B833A62}"/>
    <cellStyle name="Normal 5 3 3 2 2 2 5 4" xfId="19134" xr:uid="{A121156B-196B-4562-AA14-EBDC68F5033A}"/>
    <cellStyle name="Normal 5 3 3 2 2 2 5 5" xfId="27579" xr:uid="{8C37FBB7-767A-40BA-A669-BA22E775A9E3}"/>
    <cellStyle name="Normal 5 3 3 2 2 2 5 6" xfId="10693" xr:uid="{D451BB3F-E146-4272-B8F9-C1D37AC52605}"/>
    <cellStyle name="Normal 5 3 3 2 2 2 6" xfId="2598" xr:uid="{00000000-0005-0000-0000-000089190000}"/>
    <cellStyle name="Normal 5 3 3 2 2 2 6 2" xfId="6882" xr:uid="{00000000-0005-0000-0000-00008A190000}"/>
    <cellStyle name="Normal 5 3 3 2 2 2 6 2 2" xfId="23765" xr:uid="{C83EB6E6-46C4-45C4-8798-6753CA76C141}"/>
    <cellStyle name="Normal 5 3 3 2 2 2 6 2 3" xfId="32211" xr:uid="{D9F7692C-7A58-4EDD-8F63-AE5910727630}"/>
    <cellStyle name="Normal 5 3 3 2 2 2 6 2 4" xfId="15324" xr:uid="{8C1F90D4-9425-4C12-87CE-8F798655A261}"/>
    <cellStyle name="Normal 5 3 3 2 2 2 6 3" xfId="19547" xr:uid="{C702A060-E178-484D-83BE-8DCBDAF7F851}"/>
    <cellStyle name="Normal 5 3 3 2 2 2 6 4" xfId="27992" xr:uid="{65A3089F-882B-4EDD-BC91-E2FA002BBF92}"/>
    <cellStyle name="Normal 5 3 3 2 2 2 6 5" xfId="11106" xr:uid="{E4D07BF1-7FCC-4D2E-BD59-959622AE37D3}"/>
    <cellStyle name="Normal 5 3 3 2 2 2 7" xfId="4817" xr:uid="{00000000-0005-0000-0000-00008B190000}"/>
    <cellStyle name="Normal 5 3 3 2 2 2 7 2" xfId="21700" xr:uid="{BB4E95E4-1D3D-456A-B1A4-6B84909A6D54}"/>
    <cellStyle name="Normal 5 3 3 2 2 2 7 3" xfId="30146" xr:uid="{D609D3D5-E638-478E-ABA1-2D92E3D01D61}"/>
    <cellStyle name="Normal 5 3 3 2 2 2 7 4" xfId="13259" xr:uid="{B6B6CD85-339C-4947-B666-6ED3D7D6BD10}"/>
    <cellStyle name="Normal 5 3 3 2 2 2 8" xfId="17482" xr:uid="{129664F2-B807-4FAF-9966-2C0284A0543C}"/>
    <cellStyle name="Normal 5 3 3 2 2 2 9" xfId="25926" xr:uid="{34CA03FC-4D19-4CD9-B40A-4F4ED49CEE42}"/>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24257" xr:uid="{A7218ED2-1069-4DE5-B28A-A01DDBFAB9DB}"/>
    <cellStyle name="Normal 5 3 3 2 2 3 2 2 3" xfId="32703" xr:uid="{32C33386-96E6-4526-B6C6-D50D8F7CE573}"/>
    <cellStyle name="Normal 5 3 3 2 2 3 2 2 4" xfId="15816" xr:uid="{D72A5D9C-E198-4DBC-BA9A-5AEAADEB3D4E}"/>
    <cellStyle name="Normal 5 3 3 2 2 3 2 3" xfId="20039" xr:uid="{E923B97E-4BAC-41E7-86B5-17D883A1D8E3}"/>
    <cellStyle name="Normal 5 3 3 2 2 3 2 4" xfId="28486" xr:uid="{FB06A44E-D9FB-4FF1-B40A-BBA3A677EC0C}"/>
    <cellStyle name="Normal 5 3 3 2 2 3 2 5" xfId="11598" xr:uid="{F7C37BA4-6DE1-4FA8-926C-8D905A6AC964}"/>
    <cellStyle name="Normal 5 3 3 2 2 3 3" xfId="5229" xr:uid="{00000000-0005-0000-0000-00008F190000}"/>
    <cellStyle name="Normal 5 3 3 2 2 3 3 2" xfId="22112" xr:uid="{D7D9781C-D5AE-4C36-AEF1-74C9FA20AA97}"/>
    <cellStyle name="Normal 5 3 3 2 2 3 3 3" xfId="30558" xr:uid="{9AB949AA-272A-4AF5-8B03-5FD1D9CFD9EF}"/>
    <cellStyle name="Normal 5 3 3 2 2 3 3 4" xfId="13671" xr:uid="{3B917921-FAD2-4798-8BFB-711C996A312E}"/>
    <cellStyle name="Normal 5 3 3 2 2 3 4" xfId="17894" xr:uid="{C853D46B-B1F2-4479-AAD0-F05A13BDA6E8}"/>
    <cellStyle name="Normal 5 3 3 2 2 3 5" xfId="26339" xr:uid="{770C29B0-1D10-4A90-A2E9-74EFAD747368}"/>
    <cellStyle name="Normal 5 3 3 2 2 3 6" xfId="9453" xr:uid="{B43FA72A-40A8-4FDE-9085-85990AB624FF}"/>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24670" xr:uid="{3A940B2B-787C-4DAF-B7AA-7303E8DB0B4B}"/>
    <cellStyle name="Normal 5 3 3 2 2 4 2 2 3" xfId="33116" xr:uid="{10FB96BF-EC89-44A7-B030-9029BEF27D3B}"/>
    <cellStyle name="Normal 5 3 3 2 2 4 2 2 4" xfId="16229" xr:uid="{729FAB17-D885-4575-B952-11A72319FD29}"/>
    <cellStyle name="Normal 5 3 3 2 2 4 2 3" xfId="20452" xr:uid="{8CB87E24-216E-43F6-BB6B-FE1F29B49149}"/>
    <cellStyle name="Normal 5 3 3 2 2 4 2 4" xfId="28899" xr:uid="{A6D3559A-D746-4FEC-B54F-665E05910A16}"/>
    <cellStyle name="Normal 5 3 3 2 2 4 2 5" xfId="12011" xr:uid="{477D95E1-9852-4613-ADC7-11FCFB2757A7}"/>
    <cellStyle name="Normal 5 3 3 2 2 4 3" xfId="5642" xr:uid="{00000000-0005-0000-0000-000093190000}"/>
    <cellStyle name="Normal 5 3 3 2 2 4 3 2" xfId="22525" xr:uid="{C8657295-B600-4352-B99C-DAC9E4F27C14}"/>
    <cellStyle name="Normal 5 3 3 2 2 4 3 3" xfId="30971" xr:uid="{EC476161-3002-41B7-A635-67EA21572F77}"/>
    <cellStyle name="Normal 5 3 3 2 2 4 3 4" xfId="14084" xr:uid="{EDB559DE-1F7A-4685-9360-027B5326A742}"/>
    <cellStyle name="Normal 5 3 3 2 2 4 4" xfId="18307" xr:uid="{BF3B4ACB-F79A-4BCA-8EBA-33BEA3220ABB}"/>
    <cellStyle name="Normal 5 3 3 2 2 4 5" xfId="26752" xr:uid="{22338723-BDE7-42E5-A9EE-9FBDB4FB7815}"/>
    <cellStyle name="Normal 5 3 3 2 2 4 6" xfId="9866" xr:uid="{3054BF68-F9B4-4A9A-979D-84B16C449BAE}"/>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25083" xr:uid="{F14C25C6-8B8F-4DA1-AE2D-EB089E944A38}"/>
    <cellStyle name="Normal 5 3 3 2 2 5 2 2 3" xfId="33529" xr:uid="{2AEAA7C8-13A3-4EA4-B811-235A7EF72EE8}"/>
    <cellStyle name="Normal 5 3 3 2 2 5 2 2 4" xfId="16642" xr:uid="{B49B790D-26E2-434B-B0CF-A1FFB6733779}"/>
    <cellStyle name="Normal 5 3 3 2 2 5 2 3" xfId="20865" xr:uid="{81960DAB-2421-43B7-B563-75A1993B569A}"/>
    <cellStyle name="Normal 5 3 3 2 2 5 2 4" xfId="29312" xr:uid="{43DBE656-240A-4DB1-8C58-BE7F236ACF64}"/>
    <cellStyle name="Normal 5 3 3 2 2 5 2 5" xfId="12424" xr:uid="{A7A2CAFA-B5C7-4FF6-86C6-95BFED9F8458}"/>
    <cellStyle name="Normal 5 3 3 2 2 5 3" xfId="6055" xr:uid="{00000000-0005-0000-0000-000097190000}"/>
    <cellStyle name="Normal 5 3 3 2 2 5 3 2" xfId="22938" xr:uid="{86311A43-09B5-4595-AEFC-9E1D5CE23C00}"/>
    <cellStyle name="Normal 5 3 3 2 2 5 3 3" xfId="31384" xr:uid="{4B3A4D35-8D6C-482F-AF85-62F62C04D12B}"/>
    <cellStyle name="Normal 5 3 3 2 2 5 3 4" xfId="14497" xr:uid="{D7138184-B985-49CB-BC28-D2FBF16F20A0}"/>
    <cellStyle name="Normal 5 3 3 2 2 5 4" xfId="18720" xr:uid="{899A8EFA-0C6C-43F6-957B-F8FAA66D0BCE}"/>
    <cellStyle name="Normal 5 3 3 2 2 5 5" xfId="27165" xr:uid="{ED641750-E60E-4B52-9FE1-9150AC1DDEFF}"/>
    <cellStyle name="Normal 5 3 3 2 2 5 6" xfId="10279" xr:uid="{84A34F22-46FE-4559-9B87-CD6AE0F035E6}"/>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25496" xr:uid="{E33A2ECA-6F84-45E0-8E3E-A6C5BD7F1C75}"/>
    <cellStyle name="Normal 5 3 3 2 2 6 2 2 3" xfId="33942" xr:uid="{BF8C297E-B597-4720-8F31-8568C9B46E65}"/>
    <cellStyle name="Normal 5 3 3 2 2 6 2 2 4" xfId="17055" xr:uid="{1ECE43A0-C1B6-44EA-9276-AE197B024D3E}"/>
    <cellStyle name="Normal 5 3 3 2 2 6 2 3" xfId="21278" xr:uid="{6ABA3B11-18FC-453A-8FA2-0806613C61CE}"/>
    <cellStyle name="Normal 5 3 3 2 2 6 2 4" xfId="29725" xr:uid="{9B186F94-3C86-4EF5-A887-C5C62D023368}"/>
    <cellStyle name="Normal 5 3 3 2 2 6 2 5" xfId="12837" xr:uid="{8F8865CC-FD30-4ADD-83F0-222DFB886FB5}"/>
    <cellStyle name="Normal 5 3 3 2 2 6 3" xfId="6468" xr:uid="{00000000-0005-0000-0000-00009B190000}"/>
    <cellStyle name="Normal 5 3 3 2 2 6 3 2" xfId="23351" xr:uid="{8CDE3A9F-BE72-4ADE-8CCB-37400BCE9BE4}"/>
    <cellStyle name="Normal 5 3 3 2 2 6 3 3" xfId="31797" xr:uid="{4577C6E2-8C49-48B7-85B9-E9A256045120}"/>
    <cellStyle name="Normal 5 3 3 2 2 6 3 4" xfId="14910" xr:uid="{CE7DCB87-E352-4FC7-9CD2-EA6A4AE145F4}"/>
    <cellStyle name="Normal 5 3 3 2 2 6 4" xfId="19133" xr:uid="{9A114674-BFF8-4D8E-9B50-0A60CA79AF44}"/>
    <cellStyle name="Normal 5 3 3 2 2 6 5" xfId="27578" xr:uid="{17287126-BDD2-41DE-BD7C-E5EBB4A87585}"/>
    <cellStyle name="Normal 5 3 3 2 2 6 6" xfId="10692" xr:uid="{9871EEDC-AD63-4991-953F-0ECFA82E3975}"/>
    <cellStyle name="Normal 5 3 3 2 2 7" xfId="2597" xr:uid="{00000000-0005-0000-0000-00009C190000}"/>
    <cellStyle name="Normal 5 3 3 2 2 7 2" xfId="6881" xr:uid="{00000000-0005-0000-0000-00009D190000}"/>
    <cellStyle name="Normal 5 3 3 2 2 7 2 2" xfId="23764" xr:uid="{5254220D-77D4-4BBC-84F4-1AB25D7D0572}"/>
    <cellStyle name="Normal 5 3 3 2 2 7 2 3" xfId="32210" xr:uid="{0AE69997-A78A-448E-885C-5822472AEBEB}"/>
    <cellStyle name="Normal 5 3 3 2 2 7 2 4" xfId="15323" xr:uid="{236A63C6-6DF5-4A1B-BF0D-983F1C9DEB75}"/>
    <cellStyle name="Normal 5 3 3 2 2 7 3" xfId="19546" xr:uid="{DA97CFE4-A080-4806-9124-D12F54F367FE}"/>
    <cellStyle name="Normal 5 3 3 2 2 7 4" xfId="27991" xr:uid="{EE0925D7-39F8-4075-81B2-C8BA9E81E94C}"/>
    <cellStyle name="Normal 5 3 3 2 2 7 5" xfId="11105" xr:uid="{F305A3CC-9A3C-4B9B-9265-1F07A073461D}"/>
    <cellStyle name="Normal 5 3 3 2 2 8" xfId="4816" xr:uid="{00000000-0005-0000-0000-00009E190000}"/>
    <cellStyle name="Normal 5 3 3 2 2 8 2" xfId="21699" xr:uid="{908A4C25-2EDA-4294-94B9-DB7101F1C1C3}"/>
    <cellStyle name="Normal 5 3 3 2 2 8 3" xfId="30145" xr:uid="{B6DAA37A-765F-46FF-BF03-CFF6E15AB7F2}"/>
    <cellStyle name="Normal 5 3 3 2 2 8 4" xfId="13258" xr:uid="{F9BF7A47-4009-4759-9EEF-F3F255675AA2}"/>
    <cellStyle name="Normal 5 3 3 2 2 9" xfId="17481" xr:uid="{83751729-D56B-495B-95D1-8FBC2856B672}"/>
    <cellStyle name="Normal 5 3 3 2 3" xfId="445" xr:uid="{00000000-0005-0000-0000-00009F190000}"/>
    <cellStyle name="Normal 5 3 3 2 3 10" xfId="9042" xr:uid="{7B53C785-49DE-48A2-91B8-B433A6A2C02F}"/>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24259" xr:uid="{821B1D1D-A499-4177-BBAA-1B37401C0E51}"/>
    <cellStyle name="Normal 5 3 3 2 3 2 2 2 3" xfId="32705" xr:uid="{5DEA7E2C-2A10-4562-81CC-091BD146BA34}"/>
    <cellStyle name="Normal 5 3 3 2 3 2 2 2 4" xfId="15818" xr:uid="{F7918C1C-56DF-47B1-B031-CE5FAD75FE28}"/>
    <cellStyle name="Normal 5 3 3 2 3 2 2 3" xfId="20041" xr:uid="{27003219-D5B7-431C-9170-18C6F9E5AEB0}"/>
    <cellStyle name="Normal 5 3 3 2 3 2 2 4" xfId="28488" xr:uid="{9E9D5511-3CA4-4C66-8C0D-74B373BF7D11}"/>
    <cellStyle name="Normal 5 3 3 2 3 2 2 5" xfId="11600" xr:uid="{7F6E25F5-867F-4A4D-ADA7-501277C0F9B4}"/>
    <cellStyle name="Normal 5 3 3 2 3 2 3" xfId="5231" xr:uid="{00000000-0005-0000-0000-0000A3190000}"/>
    <cellStyle name="Normal 5 3 3 2 3 2 3 2" xfId="22114" xr:uid="{60AAAAC1-D2F1-4C07-BDFB-1F42A6BFC935}"/>
    <cellStyle name="Normal 5 3 3 2 3 2 3 3" xfId="30560" xr:uid="{A606A4E5-94C3-405C-9072-842681F8A15A}"/>
    <cellStyle name="Normal 5 3 3 2 3 2 3 4" xfId="13673" xr:uid="{C9566CEA-77D4-434C-B539-A14A1F65269C}"/>
    <cellStyle name="Normal 5 3 3 2 3 2 4" xfId="17896" xr:uid="{77F0C48A-D22F-46CC-97CE-C054049E05A7}"/>
    <cellStyle name="Normal 5 3 3 2 3 2 5" xfId="26341" xr:uid="{D6DA1C88-4DCC-44AE-85C3-9154D4FD11B7}"/>
    <cellStyle name="Normal 5 3 3 2 3 2 6" xfId="9455" xr:uid="{17A2ED3E-DD84-4BDC-BFC6-BE08D1219B1B}"/>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24672" xr:uid="{E8F3D513-3E79-4783-B623-0C3B9854F539}"/>
    <cellStyle name="Normal 5 3 3 2 3 3 2 2 3" xfId="33118" xr:uid="{6218C934-827F-4978-8E21-79AFBB48E14F}"/>
    <cellStyle name="Normal 5 3 3 2 3 3 2 2 4" xfId="16231" xr:uid="{80544406-01AA-4DC6-9E9B-E24756BE35F5}"/>
    <cellStyle name="Normal 5 3 3 2 3 3 2 3" xfId="20454" xr:uid="{E5970398-AA8D-4BC9-839B-8C9F997E7D81}"/>
    <cellStyle name="Normal 5 3 3 2 3 3 2 4" xfId="28901" xr:uid="{BC3DEEE2-9ED3-4313-87D3-446061C7267B}"/>
    <cellStyle name="Normal 5 3 3 2 3 3 2 5" xfId="12013" xr:uid="{813F3868-4640-4484-B0F2-6B3E277E7782}"/>
    <cellStyle name="Normal 5 3 3 2 3 3 3" xfId="5644" xr:uid="{00000000-0005-0000-0000-0000A7190000}"/>
    <cellStyle name="Normal 5 3 3 2 3 3 3 2" xfId="22527" xr:uid="{B8A84780-5A1D-4F40-A8D9-F477C1747648}"/>
    <cellStyle name="Normal 5 3 3 2 3 3 3 3" xfId="30973" xr:uid="{3A76C11B-B2B5-45E4-8F76-3DE8DCFC3C69}"/>
    <cellStyle name="Normal 5 3 3 2 3 3 3 4" xfId="14086" xr:uid="{EA4A4052-9BD8-4001-9518-369B1EF6BA3A}"/>
    <cellStyle name="Normal 5 3 3 2 3 3 4" xfId="18309" xr:uid="{CCA803E3-3CFF-425A-8B09-536562F5BD55}"/>
    <cellStyle name="Normal 5 3 3 2 3 3 5" xfId="26754" xr:uid="{2BD2B9C7-ABB2-47D0-9249-46B58B0605C1}"/>
    <cellStyle name="Normal 5 3 3 2 3 3 6" xfId="9868" xr:uid="{2E2428AF-5F1E-490A-9469-A1F56516C791}"/>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25085" xr:uid="{E1148F2C-15B7-49FE-9BC7-F82E74F78360}"/>
    <cellStyle name="Normal 5 3 3 2 3 4 2 2 3" xfId="33531" xr:uid="{98BC863F-9D3D-49F2-9E40-D7D258269C2A}"/>
    <cellStyle name="Normal 5 3 3 2 3 4 2 2 4" xfId="16644" xr:uid="{13313A2C-60AB-472B-81D4-3C090DAB1657}"/>
    <cellStyle name="Normal 5 3 3 2 3 4 2 3" xfId="20867" xr:uid="{A5508D71-CFCB-45ED-AC59-6C8C57D3F2C4}"/>
    <cellStyle name="Normal 5 3 3 2 3 4 2 4" xfId="29314" xr:uid="{1F25A1A9-0C56-43C6-A723-2F7B8B4A9A47}"/>
    <cellStyle name="Normal 5 3 3 2 3 4 2 5" xfId="12426" xr:uid="{F16A1E49-4A4D-4A6C-BE73-DF305E744A13}"/>
    <cellStyle name="Normal 5 3 3 2 3 4 3" xfId="6057" xr:uid="{00000000-0005-0000-0000-0000AB190000}"/>
    <cellStyle name="Normal 5 3 3 2 3 4 3 2" xfId="22940" xr:uid="{2B3226B9-CDF2-4398-A415-99FEC60B0640}"/>
    <cellStyle name="Normal 5 3 3 2 3 4 3 3" xfId="31386" xr:uid="{B0635ED8-C20B-4A55-82EE-6A56D7AA82B4}"/>
    <cellStyle name="Normal 5 3 3 2 3 4 3 4" xfId="14499" xr:uid="{EF47E9A4-4524-43C1-8390-9092681D4359}"/>
    <cellStyle name="Normal 5 3 3 2 3 4 4" xfId="18722" xr:uid="{71C5BFD0-ADA2-4F3F-9B26-8E89685120E6}"/>
    <cellStyle name="Normal 5 3 3 2 3 4 5" xfId="27167" xr:uid="{203E3740-1BD6-4A84-8D9F-DC9BC699C2C1}"/>
    <cellStyle name="Normal 5 3 3 2 3 4 6" xfId="10281" xr:uid="{D45568AF-E2E3-4080-BDB0-5E69137059D2}"/>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25498" xr:uid="{B56DC25D-C9BA-4202-AE8E-1F7DD43D05F4}"/>
    <cellStyle name="Normal 5 3 3 2 3 5 2 2 3" xfId="33944" xr:uid="{A252E7DF-239B-4786-8819-6728F0CC8AB6}"/>
    <cellStyle name="Normal 5 3 3 2 3 5 2 2 4" xfId="17057" xr:uid="{372F6901-ABE0-4566-9409-7577DD052791}"/>
    <cellStyle name="Normal 5 3 3 2 3 5 2 3" xfId="21280" xr:uid="{3E91C9D7-646C-49D3-B6EE-4AA4B4C0312F}"/>
    <cellStyle name="Normal 5 3 3 2 3 5 2 4" xfId="29727" xr:uid="{10E2F494-CE0C-4A67-B934-8D0B29237FFE}"/>
    <cellStyle name="Normal 5 3 3 2 3 5 2 5" xfId="12839" xr:uid="{11114000-FBE5-4CF3-899B-B96438EE1A51}"/>
    <cellStyle name="Normal 5 3 3 2 3 5 3" xfId="6470" xr:uid="{00000000-0005-0000-0000-0000AF190000}"/>
    <cellStyle name="Normal 5 3 3 2 3 5 3 2" xfId="23353" xr:uid="{48F1BC0D-E8DC-48AA-85EE-06F913ED55A0}"/>
    <cellStyle name="Normal 5 3 3 2 3 5 3 3" xfId="31799" xr:uid="{2E53B5B9-1457-4F6D-8DB7-4A663D90B722}"/>
    <cellStyle name="Normal 5 3 3 2 3 5 3 4" xfId="14912" xr:uid="{AF24EECD-38A5-435D-8141-7D2EFF4B1439}"/>
    <cellStyle name="Normal 5 3 3 2 3 5 4" xfId="19135" xr:uid="{14D4B3D7-EE62-4F59-A632-69608A36BF4F}"/>
    <cellStyle name="Normal 5 3 3 2 3 5 5" xfId="27580" xr:uid="{BDDF4A2D-88D7-4884-B412-F4A980048FA8}"/>
    <cellStyle name="Normal 5 3 3 2 3 5 6" xfId="10694" xr:uid="{2595CE4C-818E-4EDF-A971-1BB5925A961D}"/>
    <cellStyle name="Normal 5 3 3 2 3 6" xfId="2599" xr:uid="{00000000-0005-0000-0000-0000B0190000}"/>
    <cellStyle name="Normal 5 3 3 2 3 6 2" xfId="6883" xr:uid="{00000000-0005-0000-0000-0000B1190000}"/>
    <cellStyle name="Normal 5 3 3 2 3 6 2 2" xfId="23766" xr:uid="{B31CC796-A8B5-4358-BD07-9D991C4076D8}"/>
    <cellStyle name="Normal 5 3 3 2 3 6 2 3" xfId="32212" xr:uid="{17AED5A4-3BFF-4F66-B452-1C6C75CC6FB0}"/>
    <cellStyle name="Normal 5 3 3 2 3 6 2 4" xfId="15325" xr:uid="{80A46981-CABD-482F-8CDB-074FB9B63935}"/>
    <cellStyle name="Normal 5 3 3 2 3 6 3" xfId="19548" xr:uid="{63E99304-EC9A-4662-8E39-8C51CD237929}"/>
    <cellStyle name="Normal 5 3 3 2 3 6 4" xfId="27993" xr:uid="{D47485E3-5BD8-4CB6-82A4-52C2B2491B29}"/>
    <cellStyle name="Normal 5 3 3 2 3 6 5" xfId="11107" xr:uid="{F4C9EB36-355E-4C0B-9A17-71F8004CE680}"/>
    <cellStyle name="Normal 5 3 3 2 3 7" xfId="4818" xr:uid="{00000000-0005-0000-0000-0000B2190000}"/>
    <cellStyle name="Normal 5 3 3 2 3 7 2" xfId="21701" xr:uid="{D6A7021C-2F90-4576-A699-319D36CD918B}"/>
    <cellStyle name="Normal 5 3 3 2 3 7 3" xfId="30147" xr:uid="{AF298BC2-6360-40D9-B4F7-7A298CED998B}"/>
    <cellStyle name="Normal 5 3 3 2 3 7 4" xfId="13260" xr:uid="{E36CB0B8-2318-41DB-A8C8-D038A4EA3293}"/>
    <cellStyle name="Normal 5 3 3 2 3 8" xfId="17483" xr:uid="{020DD031-E45E-4F93-A908-99346C809FB7}"/>
    <cellStyle name="Normal 5 3 3 2 3 9" xfId="25927" xr:uid="{6A6FAF8F-667E-4F46-A699-097CA44C4B85}"/>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24256" xr:uid="{6D8FD551-24B6-48B0-A4E4-293E212564B3}"/>
    <cellStyle name="Normal 5 3 3 2 4 2 2 3" xfId="32702" xr:uid="{C02FB325-A375-4321-9602-30403D16D854}"/>
    <cellStyle name="Normal 5 3 3 2 4 2 2 4" xfId="15815" xr:uid="{2CA11EFF-87C4-4EDE-9BE8-3CC29C38757D}"/>
    <cellStyle name="Normal 5 3 3 2 4 2 3" xfId="20038" xr:uid="{41774301-6BAE-4294-A432-FF1DD2700299}"/>
    <cellStyle name="Normal 5 3 3 2 4 2 4" xfId="28485" xr:uid="{2C37A621-1A62-4B94-81DD-A63F6F424415}"/>
    <cellStyle name="Normal 5 3 3 2 4 2 5" xfId="11597" xr:uid="{CBDB02E4-EE30-4E18-8728-F6BED2816A3B}"/>
    <cellStyle name="Normal 5 3 3 2 4 3" xfId="5228" xr:uid="{00000000-0005-0000-0000-0000B6190000}"/>
    <cellStyle name="Normal 5 3 3 2 4 3 2" xfId="22111" xr:uid="{F2E1F8C3-7CA8-4811-A4B0-B2A0AF875CF8}"/>
    <cellStyle name="Normal 5 3 3 2 4 3 3" xfId="30557" xr:uid="{5BD020FF-463A-45A2-BD34-811AA79A30DB}"/>
    <cellStyle name="Normal 5 3 3 2 4 3 4" xfId="13670" xr:uid="{55E45F8D-A031-49A5-A0B9-FE60D9018B11}"/>
    <cellStyle name="Normal 5 3 3 2 4 4" xfId="17893" xr:uid="{29BEF3C8-9B98-450A-8767-503C3DCEED23}"/>
    <cellStyle name="Normal 5 3 3 2 4 5" xfId="26338" xr:uid="{7813B783-65D1-464D-AD0E-5562FF80D575}"/>
    <cellStyle name="Normal 5 3 3 2 4 6" xfId="9452" xr:uid="{08261974-212E-4B88-AA6E-6712370E8366}"/>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24669" xr:uid="{3D033280-D2D3-4CC1-BD16-C213CCA8FE46}"/>
    <cellStyle name="Normal 5 3 3 2 5 2 2 3" xfId="33115" xr:uid="{B3C8E003-E53D-4F3A-936E-49CD3DFFC91B}"/>
    <cellStyle name="Normal 5 3 3 2 5 2 2 4" xfId="16228" xr:uid="{FD68F5D6-783C-4682-9084-EA548EAB83DB}"/>
    <cellStyle name="Normal 5 3 3 2 5 2 3" xfId="20451" xr:uid="{E2C2EC75-5010-4987-AEB2-63E8D5A157FE}"/>
    <cellStyle name="Normal 5 3 3 2 5 2 4" xfId="28898" xr:uid="{04FD5F34-D806-4ABA-9A7F-7387A5F8EA12}"/>
    <cellStyle name="Normal 5 3 3 2 5 2 5" xfId="12010" xr:uid="{72EC8A23-C008-4C27-9383-A0D3B5576D39}"/>
    <cellStyle name="Normal 5 3 3 2 5 3" xfId="5641" xr:uid="{00000000-0005-0000-0000-0000BA190000}"/>
    <cellStyle name="Normal 5 3 3 2 5 3 2" xfId="22524" xr:uid="{645F32C0-3BF0-40BB-A2D9-C64B887D6014}"/>
    <cellStyle name="Normal 5 3 3 2 5 3 3" xfId="30970" xr:uid="{7CD5C1C3-9A96-432C-AB07-9C7660D62151}"/>
    <cellStyle name="Normal 5 3 3 2 5 3 4" xfId="14083" xr:uid="{1259D00A-A682-44BE-8B08-E26571290550}"/>
    <cellStyle name="Normal 5 3 3 2 5 4" xfId="18306" xr:uid="{0DE5970B-313F-4258-A9AE-85F38D570C45}"/>
    <cellStyle name="Normal 5 3 3 2 5 5" xfId="26751" xr:uid="{4D20D8A6-7844-468C-B84B-48D2B4E8DC18}"/>
    <cellStyle name="Normal 5 3 3 2 5 6" xfId="9865" xr:uid="{A7EF06D9-50B9-45CB-9454-D377B3D12253}"/>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25082" xr:uid="{E8C8EA15-7879-4C60-9EDA-2238096E41BF}"/>
    <cellStyle name="Normal 5 3 3 2 6 2 2 3" xfId="33528" xr:uid="{3883FD1A-85B6-4F35-A076-AE23057C00EE}"/>
    <cellStyle name="Normal 5 3 3 2 6 2 2 4" xfId="16641" xr:uid="{9ACA15A1-5D5F-4338-A194-30FC3952D8F3}"/>
    <cellStyle name="Normal 5 3 3 2 6 2 3" xfId="20864" xr:uid="{ACEB0ACB-44CC-4148-919D-1C9C2D21EF9B}"/>
    <cellStyle name="Normal 5 3 3 2 6 2 4" xfId="29311" xr:uid="{735ABA30-D9FD-4736-9C4A-CDD268B6D99C}"/>
    <cellStyle name="Normal 5 3 3 2 6 2 5" xfId="12423" xr:uid="{79B4BF96-B177-422C-8CF7-C4AA15D0B3E3}"/>
    <cellStyle name="Normal 5 3 3 2 6 3" xfId="6054" xr:uid="{00000000-0005-0000-0000-0000BE190000}"/>
    <cellStyle name="Normal 5 3 3 2 6 3 2" xfId="22937" xr:uid="{2CF32829-FCA0-4401-94A1-2E036B257E32}"/>
    <cellStyle name="Normal 5 3 3 2 6 3 3" xfId="31383" xr:uid="{1BE72257-0EE0-4057-A409-E30CEB4862B5}"/>
    <cellStyle name="Normal 5 3 3 2 6 3 4" xfId="14496" xr:uid="{C2208685-DA25-4838-B47E-06862E5C32B3}"/>
    <cellStyle name="Normal 5 3 3 2 6 4" xfId="18719" xr:uid="{D769A4CC-DB69-4D59-954C-31005C811528}"/>
    <cellStyle name="Normal 5 3 3 2 6 5" xfId="27164" xr:uid="{8BEDAD78-93B3-47C3-B3C2-FE1D28440881}"/>
    <cellStyle name="Normal 5 3 3 2 6 6" xfId="10278" xr:uid="{A0A3BE21-2E80-41E6-B3E4-9656C4D7EE7F}"/>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25495" xr:uid="{A0BCC67F-CFE2-4589-A3AB-36F942C5AA59}"/>
    <cellStyle name="Normal 5 3 3 2 7 2 2 3" xfId="33941" xr:uid="{CAE586C5-B3B7-4C68-BBF4-1C4E7BD14BC4}"/>
    <cellStyle name="Normal 5 3 3 2 7 2 2 4" xfId="17054" xr:uid="{08EFDCAE-03B2-46A2-81FA-6F694D6F00DE}"/>
    <cellStyle name="Normal 5 3 3 2 7 2 3" xfId="21277" xr:uid="{56C7F4B0-BC93-4DA4-8540-54664E8C7D29}"/>
    <cellStyle name="Normal 5 3 3 2 7 2 4" xfId="29724" xr:uid="{32049359-88FD-4544-A711-D5CF383EDB36}"/>
    <cellStyle name="Normal 5 3 3 2 7 2 5" xfId="12836" xr:uid="{B3561B68-50C3-47E5-8C34-618DDD944CB0}"/>
    <cellStyle name="Normal 5 3 3 2 7 3" xfId="6467" xr:uid="{00000000-0005-0000-0000-0000C2190000}"/>
    <cellStyle name="Normal 5 3 3 2 7 3 2" xfId="23350" xr:uid="{885D0B38-CB3F-42B4-97D4-0E906BDB8605}"/>
    <cellStyle name="Normal 5 3 3 2 7 3 3" xfId="31796" xr:uid="{09E97748-7BD7-4895-A145-D964B8487CBC}"/>
    <cellStyle name="Normal 5 3 3 2 7 3 4" xfId="14909" xr:uid="{36A3710E-B09C-4A4A-9946-522A6BFBA658}"/>
    <cellStyle name="Normal 5 3 3 2 7 4" xfId="19132" xr:uid="{08AA9768-4FBE-470E-9AF7-ADE9ACA0DB2D}"/>
    <cellStyle name="Normal 5 3 3 2 7 5" xfId="27577" xr:uid="{5BBF20B9-F640-4816-AB31-D9653BB120F9}"/>
    <cellStyle name="Normal 5 3 3 2 7 6" xfId="10691" xr:uid="{1A8447D6-617C-4F7E-AD3C-854E1F411E92}"/>
    <cellStyle name="Normal 5 3 3 2 8" xfId="2596" xr:uid="{00000000-0005-0000-0000-0000C3190000}"/>
    <cellStyle name="Normal 5 3 3 2 8 2" xfId="6880" xr:uid="{00000000-0005-0000-0000-0000C4190000}"/>
    <cellStyle name="Normal 5 3 3 2 8 2 2" xfId="23763" xr:uid="{ABA7FD35-BD63-419C-B558-F1F5449F4330}"/>
    <cellStyle name="Normal 5 3 3 2 8 2 3" xfId="32209" xr:uid="{E55352CE-676B-4DF6-98F1-3F1CC2A73FA8}"/>
    <cellStyle name="Normal 5 3 3 2 8 2 4" xfId="15322" xr:uid="{DB08DFAB-14C3-472D-9B7C-953AC1978428}"/>
    <cellStyle name="Normal 5 3 3 2 8 3" xfId="19545" xr:uid="{7872AADA-48BF-46DA-847F-8CCF6D1AB0A8}"/>
    <cellStyle name="Normal 5 3 3 2 8 4" xfId="27990" xr:uid="{13B44D2A-B67D-4D4A-A44D-2E90E1014520}"/>
    <cellStyle name="Normal 5 3 3 2 8 5" xfId="11104" xr:uid="{D5F3B1F3-6CA1-45B9-A488-FDB3CEEA5902}"/>
    <cellStyle name="Normal 5 3 3 2 9" xfId="4815" xr:uid="{00000000-0005-0000-0000-0000C5190000}"/>
    <cellStyle name="Normal 5 3 3 2 9 2" xfId="21698" xr:uid="{88D293DA-3071-4888-BBF8-39C1B839193A}"/>
    <cellStyle name="Normal 5 3 3 2 9 3" xfId="30144" xr:uid="{4BC13B9B-00AC-4FBA-9800-BC93575C76E7}"/>
    <cellStyle name="Normal 5 3 3 2 9 4" xfId="13257" xr:uid="{44CFC85B-CBE2-4BBF-B107-E8D9F87BA7DA}"/>
    <cellStyle name="Normal 5 3 3 3" xfId="446" xr:uid="{00000000-0005-0000-0000-0000C6190000}"/>
    <cellStyle name="Normal 5 3 3 3 10" xfId="25928" xr:uid="{94F7E182-6657-4000-AAD8-24A54A18030E}"/>
    <cellStyle name="Normal 5 3 3 3 11" xfId="9043" xr:uid="{45639944-E9CB-433D-81D4-77F6DF63742A}"/>
    <cellStyle name="Normal 5 3 3 3 2" xfId="447" xr:uid="{00000000-0005-0000-0000-0000C7190000}"/>
    <cellStyle name="Normal 5 3 3 3 2 10" xfId="9044" xr:uid="{D586852D-36AD-4117-B9B8-DAF7A82BECCA}"/>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24261" xr:uid="{179092E5-2175-4F84-8C70-B43C4174BAF6}"/>
    <cellStyle name="Normal 5 3 3 3 2 2 2 2 3" xfId="32707" xr:uid="{26C3F39C-2B31-4795-9919-E2A1DF1AB47B}"/>
    <cellStyle name="Normal 5 3 3 3 2 2 2 2 4" xfId="15820" xr:uid="{68225D3E-1A96-4D4A-B37C-030E1F84AA2E}"/>
    <cellStyle name="Normal 5 3 3 3 2 2 2 3" xfId="20043" xr:uid="{5D753B90-221B-46E0-AAF6-222E600EAB07}"/>
    <cellStyle name="Normal 5 3 3 3 2 2 2 4" xfId="28490" xr:uid="{4B3EB31A-9BBD-41E6-BAFC-0DEA864C7F86}"/>
    <cellStyle name="Normal 5 3 3 3 2 2 2 5" xfId="11602" xr:uid="{2C52FD7B-9B86-4928-8EB1-94FDBE30E501}"/>
    <cellStyle name="Normal 5 3 3 3 2 2 3" xfId="5233" xr:uid="{00000000-0005-0000-0000-0000CB190000}"/>
    <cellStyle name="Normal 5 3 3 3 2 2 3 2" xfId="22116" xr:uid="{73F92669-21F7-4405-80B4-D260710B9AB6}"/>
    <cellStyle name="Normal 5 3 3 3 2 2 3 3" xfId="30562" xr:uid="{1EE60E4F-6C88-491D-AFBC-3DE87D49E5B2}"/>
    <cellStyle name="Normal 5 3 3 3 2 2 3 4" xfId="13675" xr:uid="{4FF68C7E-F6CD-4FB6-8BBF-4C9050B31FBC}"/>
    <cellStyle name="Normal 5 3 3 3 2 2 4" xfId="17898" xr:uid="{56FF4759-6DF7-4068-BDEB-BAEAE48E1E1E}"/>
    <cellStyle name="Normal 5 3 3 3 2 2 5" xfId="26343" xr:uid="{671D7CE9-6BA3-4376-84A9-1B3DD0A32751}"/>
    <cellStyle name="Normal 5 3 3 3 2 2 6" xfId="9457" xr:uid="{BA756306-CCE5-4505-98B1-1FE49B9E48B1}"/>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24674" xr:uid="{8AEA1B18-885A-4790-8AA6-93050C52068F}"/>
    <cellStyle name="Normal 5 3 3 3 2 3 2 2 3" xfId="33120" xr:uid="{892D481C-4289-4A78-9227-EB1BD6AB90A9}"/>
    <cellStyle name="Normal 5 3 3 3 2 3 2 2 4" xfId="16233" xr:uid="{CBC1B80B-E0F2-4ADB-BA7A-2693227CA490}"/>
    <cellStyle name="Normal 5 3 3 3 2 3 2 3" xfId="20456" xr:uid="{261258D8-5BCA-4679-9F6C-CE2172974174}"/>
    <cellStyle name="Normal 5 3 3 3 2 3 2 4" xfId="28903" xr:uid="{4D19B210-2150-417B-A7A2-0B2687C46E57}"/>
    <cellStyle name="Normal 5 3 3 3 2 3 2 5" xfId="12015" xr:uid="{420841F8-02AE-4397-A4A0-B6AFDDF29175}"/>
    <cellStyle name="Normal 5 3 3 3 2 3 3" xfId="5646" xr:uid="{00000000-0005-0000-0000-0000CF190000}"/>
    <cellStyle name="Normal 5 3 3 3 2 3 3 2" xfId="22529" xr:uid="{FB3BACD1-1CCE-4C5F-BD17-3D2ACBDEDDAB}"/>
    <cellStyle name="Normal 5 3 3 3 2 3 3 3" xfId="30975" xr:uid="{B3DD8987-6B2A-4A71-BF5F-1C4C45F84794}"/>
    <cellStyle name="Normal 5 3 3 3 2 3 3 4" xfId="14088" xr:uid="{9D07B76E-D445-4861-BC0D-FD6E790D112B}"/>
    <cellStyle name="Normal 5 3 3 3 2 3 4" xfId="18311" xr:uid="{8A289D04-2978-4CDA-9539-EB334C1FF744}"/>
    <cellStyle name="Normal 5 3 3 3 2 3 5" xfId="26756" xr:uid="{2E6D7D75-D169-4BEF-99C2-B4D962AE15A5}"/>
    <cellStyle name="Normal 5 3 3 3 2 3 6" xfId="9870" xr:uid="{18E6B556-0FC7-4B83-8F1F-0FD3F96029BD}"/>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25087" xr:uid="{F496CFA5-07DF-474F-8B85-C711BD000199}"/>
    <cellStyle name="Normal 5 3 3 3 2 4 2 2 3" xfId="33533" xr:uid="{9A45B20B-0069-4ADA-80FD-1CFF9F67CD15}"/>
    <cellStyle name="Normal 5 3 3 3 2 4 2 2 4" xfId="16646" xr:uid="{223DB23E-238C-4AF8-A0E4-F78BEEC171F4}"/>
    <cellStyle name="Normal 5 3 3 3 2 4 2 3" xfId="20869" xr:uid="{7EC4AF99-A226-4480-AE3E-65BE0992FE79}"/>
    <cellStyle name="Normal 5 3 3 3 2 4 2 4" xfId="29316" xr:uid="{5DF5FFFA-9F93-4EE3-8129-B133F56247C1}"/>
    <cellStyle name="Normal 5 3 3 3 2 4 2 5" xfId="12428" xr:uid="{2CC2CC85-C706-4766-9A12-F009B8ABEA84}"/>
    <cellStyle name="Normal 5 3 3 3 2 4 3" xfId="6059" xr:uid="{00000000-0005-0000-0000-0000D3190000}"/>
    <cellStyle name="Normal 5 3 3 3 2 4 3 2" xfId="22942" xr:uid="{5C2688B3-D919-433E-B51F-B483566FD355}"/>
    <cellStyle name="Normal 5 3 3 3 2 4 3 3" xfId="31388" xr:uid="{1F00DB1B-1304-4964-9B96-3898EB6BF399}"/>
    <cellStyle name="Normal 5 3 3 3 2 4 3 4" xfId="14501" xr:uid="{EA07D50F-90DE-44F7-B637-5C9E1FA61E7D}"/>
    <cellStyle name="Normal 5 3 3 3 2 4 4" xfId="18724" xr:uid="{AA8751EE-1EF5-4ECD-9CF8-087D6F8BD664}"/>
    <cellStyle name="Normal 5 3 3 3 2 4 5" xfId="27169" xr:uid="{80D42C39-236E-4489-866A-F1CBF06B55E1}"/>
    <cellStyle name="Normal 5 3 3 3 2 4 6" xfId="10283" xr:uid="{6330B8EA-C618-47AC-9C5B-824AB169FEF7}"/>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25500" xr:uid="{41F68108-B78B-4ED6-B4D1-978E5D0A85B9}"/>
    <cellStyle name="Normal 5 3 3 3 2 5 2 2 3" xfId="33946" xr:uid="{C6F72B87-7442-490E-A6E3-E64318FA09BF}"/>
    <cellStyle name="Normal 5 3 3 3 2 5 2 2 4" xfId="17059" xr:uid="{79EFE01A-96C8-49B8-9168-5DAD8337139F}"/>
    <cellStyle name="Normal 5 3 3 3 2 5 2 3" xfId="21282" xr:uid="{7509E020-D393-4F68-BEB4-FDDF000D90E2}"/>
    <cellStyle name="Normal 5 3 3 3 2 5 2 4" xfId="29729" xr:uid="{F4A49C56-63BB-489B-8985-CDE592919359}"/>
    <cellStyle name="Normal 5 3 3 3 2 5 2 5" xfId="12841" xr:uid="{8CE195F2-9512-471B-AABA-16ABF356BCCA}"/>
    <cellStyle name="Normal 5 3 3 3 2 5 3" xfId="6472" xr:uid="{00000000-0005-0000-0000-0000D7190000}"/>
    <cellStyle name="Normal 5 3 3 3 2 5 3 2" xfId="23355" xr:uid="{172ADB5A-8BD0-4EAA-B0B5-45FC5CC00DC6}"/>
    <cellStyle name="Normal 5 3 3 3 2 5 3 3" xfId="31801" xr:uid="{640624A1-8BDE-4F2A-8AF8-0F0315EC51C5}"/>
    <cellStyle name="Normal 5 3 3 3 2 5 3 4" xfId="14914" xr:uid="{805E3F2B-DBB6-41BD-AB9F-5AB38D765850}"/>
    <cellStyle name="Normal 5 3 3 3 2 5 4" xfId="19137" xr:uid="{AE11C7FA-5D57-4EFB-BD3D-7F01CBC4744C}"/>
    <cellStyle name="Normal 5 3 3 3 2 5 5" xfId="27582" xr:uid="{AA0E3511-69A4-495A-A15C-7D30D0228065}"/>
    <cellStyle name="Normal 5 3 3 3 2 5 6" xfId="10696" xr:uid="{8F88505A-DCBE-45B0-A9A6-6AB0D27FECDA}"/>
    <cellStyle name="Normal 5 3 3 3 2 6" xfId="2601" xr:uid="{00000000-0005-0000-0000-0000D8190000}"/>
    <cellStyle name="Normal 5 3 3 3 2 6 2" xfId="6885" xr:uid="{00000000-0005-0000-0000-0000D9190000}"/>
    <cellStyle name="Normal 5 3 3 3 2 6 2 2" xfId="23768" xr:uid="{3AD065C3-D29C-429A-ACDC-2BFE12846ACD}"/>
    <cellStyle name="Normal 5 3 3 3 2 6 2 3" xfId="32214" xr:uid="{5E0F716C-340D-47B1-A6C8-88FE3D6F5C91}"/>
    <cellStyle name="Normal 5 3 3 3 2 6 2 4" xfId="15327" xr:uid="{573A4CCC-0C77-4E6A-A42B-4FCFE3F88FF6}"/>
    <cellStyle name="Normal 5 3 3 3 2 6 3" xfId="19550" xr:uid="{1E5E7CAB-F3CE-4EC9-B6D5-8B5938136F1F}"/>
    <cellStyle name="Normal 5 3 3 3 2 6 4" xfId="27995" xr:uid="{BB83F170-92B7-4755-94A1-B78010D514E2}"/>
    <cellStyle name="Normal 5 3 3 3 2 6 5" xfId="11109" xr:uid="{30978489-60A0-4385-BA89-DC53550CD10A}"/>
    <cellStyle name="Normal 5 3 3 3 2 7" xfId="4820" xr:uid="{00000000-0005-0000-0000-0000DA190000}"/>
    <cellStyle name="Normal 5 3 3 3 2 7 2" xfId="21703" xr:uid="{749CEE47-4940-4296-A6D3-3E8BA33A02A3}"/>
    <cellStyle name="Normal 5 3 3 3 2 7 3" xfId="30149" xr:uid="{C80990F9-07DC-4E38-9491-AD230522F94C}"/>
    <cellStyle name="Normal 5 3 3 3 2 7 4" xfId="13262" xr:uid="{51DAA484-0D0F-40D7-99F4-1353DAC6E754}"/>
    <cellStyle name="Normal 5 3 3 3 2 8" xfId="17485" xr:uid="{4431E75F-5E51-455F-BE95-78A36D8076D4}"/>
    <cellStyle name="Normal 5 3 3 3 2 9" xfId="25929" xr:uid="{A1894639-3D1F-4F64-982D-100CE7A8553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24260" xr:uid="{84EB12A8-D826-43D8-A1D0-80835BBDED9E}"/>
    <cellStyle name="Normal 5 3 3 3 3 2 2 3" xfId="32706" xr:uid="{696A2F60-AEAA-4C97-AE5A-FE8A29180828}"/>
    <cellStyle name="Normal 5 3 3 3 3 2 2 4" xfId="15819" xr:uid="{6893855F-C5B1-44AA-995F-242701326601}"/>
    <cellStyle name="Normal 5 3 3 3 3 2 3" xfId="20042" xr:uid="{F71AB257-C8D5-4ADC-A680-55CDD7ED07F3}"/>
    <cellStyle name="Normal 5 3 3 3 3 2 4" xfId="28489" xr:uid="{4A8AE296-66C4-4FF0-AC1A-E0BC0063C10D}"/>
    <cellStyle name="Normal 5 3 3 3 3 2 5" xfId="11601" xr:uid="{446E2233-C303-4C65-85E8-4F2D33B53999}"/>
    <cellStyle name="Normal 5 3 3 3 3 3" xfId="5232" xr:uid="{00000000-0005-0000-0000-0000DE190000}"/>
    <cellStyle name="Normal 5 3 3 3 3 3 2" xfId="22115" xr:uid="{F08B2896-9D44-4F35-AA7D-39134F5EE6D8}"/>
    <cellStyle name="Normal 5 3 3 3 3 3 3" xfId="30561" xr:uid="{E488BDC0-00AF-4166-9837-3EFBE588361D}"/>
    <cellStyle name="Normal 5 3 3 3 3 3 4" xfId="13674" xr:uid="{93E92982-0B60-4123-84F7-37687C003B42}"/>
    <cellStyle name="Normal 5 3 3 3 3 4" xfId="17897" xr:uid="{4FB8B636-C29B-4D41-A686-37D96527BDFE}"/>
    <cellStyle name="Normal 5 3 3 3 3 5" xfId="26342" xr:uid="{A8536B4A-58CE-4057-A98B-AB428BD921D4}"/>
    <cellStyle name="Normal 5 3 3 3 3 6" xfId="9456" xr:uid="{53A2F489-E811-42B5-A44D-9DEB9CDC8CBA}"/>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24673" xr:uid="{A3B6BD2F-EB69-4F36-95D3-2481CBE00269}"/>
    <cellStyle name="Normal 5 3 3 3 4 2 2 3" xfId="33119" xr:uid="{C9C389B0-1BCA-4FE1-89B9-AD3A51A299E7}"/>
    <cellStyle name="Normal 5 3 3 3 4 2 2 4" xfId="16232" xr:uid="{84C59BC9-7B20-4312-BE02-977147015E74}"/>
    <cellStyle name="Normal 5 3 3 3 4 2 3" xfId="20455" xr:uid="{7ECBEB30-57A4-4524-802E-A41B127C47A2}"/>
    <cellStyle name="Normal 5 3 3 3 4 2 4" xfId="28902" xr:uid="{D46435DF-B415-49D0-9F68-92492CA24A7D}"/>
    <cellStyle name="Normal 5 3 3 3 4 2 5" xfId="12014" xr:uid="{A075107F-C04B-4569-8D75-2B1FCAAA3700}"/>
    <cellStyle name="Normal 5 3 3 3 4 3" xfId="5645" xr:uid="{00000000-0005-0000-0000-0000E2190000}"/>
    <cellStyle name="Normal 5 3 3 3 4 3 2" xfId="22528" xr:uid="{7C0473A3-C3CC-495C-A16C-C9E85F03EC0F}"/>
    <cellStyle name="Normal 5 3 3 3 4 3 3" xfId="30974" xr:uid="{217D1A77-6DCC-4C53-80A1-0D7A7208B519}"/>
    <cellStyle name="Normal 5 3 3 3 4 3 4" xfId="14087" xr:uid="{79165EB7-0983-45A0-90A7-7C82A000FBFE}"/>
    <cellStyle name="Normal 5 3 3 3 4 4" xfId="18310" xr:uid="{D0B10750-E8D0-4937-82D9-F0528A591150}"/>
    <cellStyle name="Normal 5 3 3 3 4 5" xfId="26755" xr:uid="{DF7E1695-A8CF-4C2D-904A-997E6B32D13F}"/>
    <cellStyle name="Normal 5 3 3 3 4 6" xfId="9869" xr:uid="{FFCE18B4-A59B-488C-8F04-A65755153870}"/>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25086" xr:uid="{9B3AEFD8-8BB5-47AC-9A59-3584B544FD06}"/>
    <cellStyle name="Normal 5 3 3 3 5 2 2 3" xfId="33532" xr:uid="{BE2C1D55-6415-464C-9120-6C3A641EE397}"/>
    <cellStyle name="Normal 5 3 3 3 5 2 2 4" xfId="16645" xr:uid="{7771C009-E545-4B31-9ED5-0098CFC0143B}"/>
    <cellStyle name="Normal 5 3 3 3 5 2 3" xfId="20868" xr:uid="{171155BA-A4C5-4C63-946F-F9A6C7A9A06B}"/>
    <cellStyle name="Normal 5 3 3 3 5 2 4" xfId="29315" xr:uid="{FAF8AA71-67F5-4547-94C6-BC90A156F5A6}"/>
    <cellStyle name="Normal 5 3 3 3 5 2 5" xfId="12427" xr:uid="{7C250087-5B3D-45AA-BB25-A80223784A75}"/>
    <cellStyle name="Normal 5 3 3 3 5 3" xfId="6058" xr:uid="{00000000-0005-0000-0000-0000E6190000}"/>
    <cellStyle name="Normal 5 3 3 3 5 3 2" xfId="22941" xr:uid="{8F40E7FD-F435-44DD-AF6C-D8C1E95C5738}"/>
    <cellStyle name="Normal 5 3 3 3 5 3 3" xfId="31387" xr:uid="{3DB17DEE-4117-44C3-B21E-4C820E9A5811}"/>
    <cellStyle name="Normal 5 3 3 3 5 3 4" xfId="14500" xr:uid="{1F7B2364-ED91-4175-B771-FF7B139BF3E5}"/>
    <cellStyle name="Normal 5 3 3 3 5 4" xfId="18723" xr:uid="{4908AC43-7904-42E6-9A9D-5C4F23850EBA}"/>
    <cellStyle name="Normal 5 3 3 3 5 5" xfId="27168" xr:uid="{29353DA6-0071-4EBD-A441-4CA2FB3431EB}"/>
    <cellStyle name="Normal 5 3 3 3 5 6" xfId="10282" xr:uid="{FAA7A4CC-533C-489D-BB41-DBFC15910D23}"/>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25499" xr:uid="{AE76CE66-6856-4F08-B8D8-C2D13707E44C}"/>
    <cellStyle name="Normal 5 3 3 3 6 2 2 3" xfId="33945" xr:uid="{10451C7E-C8C1-489A-90C6-6D64E514F5C3}"/>
    <cellStyle name="Normal 5 3 3 3 6 2 2 4" xfId="17058" xr:uid="{A5083CB4-FFE1-4A45-8773-B2FEA5042CA2}"/>
    <cellStyle name="Normal 5 3 3 3 6 2 3" xfId="21281" xr:uid="{54B0E1C6-82F9-4AAD-A7B3-7A2136E4FF08}"/>
    <cellStyle name="Normal 5 3 3 3 6 2 4" xfId="29728" xr:uid="{62CE6E69-9098-4102-BDCC-4D826832A6FD}"/>
    <cellStyle name="Normal 5 3 3 3 6 2 5" xfId="12840" xr:uid="{15B1766C-BBE1-4A40-97EA-DE3613899CB3}"/>
    <cellStyle name="Normal 5 3 3 3 6 3" xfId="6471" xr:uid="{00000000-0005-0000-0000-0000EA190000}"/>
    <cellStyle name="Normal 5 3 3 3 6 3 2" xfId="23354" xr:uid="{A7BE7838-D78F-4EBE-A524-EC95B577153F}"/>
    <cellStyle name="Normal 5 3 3 3 6 3 3" xfId="31800" xr:uid="{8EEC8F96-4599-4D51-83B3-EA61908893AB}"/>
    <cellStyle name="Normal 5 3 3 3 6 3 4" xfId="14913" xr:uid="{FB24A568-92F8-4DAA-851C-2DBADDABC9CF}"/>
    <cellStyle name="Normal 5 3 3 3 6 4" xfId="19136" xr:uid="{4F460607-9A9A-4F8C-A519-24527ACC5540}"/>
    <cellStyle name="Normal 5 3 3 3 6 5" xfId="27581" xr:uid="{443E8C34-4A2A-4756-A105-8D4E8E09973F}"/>
    <cellStyle name="Normal 5 3 3 3 6 6" xfId="10695" xr:uid="{079D1711-EFEF-473E-8091-E96208453019}"/>
    <cellStyle name="Normal 5 3 3 3 7" xfId="2600" xr:uid="{00000000-0005-0000-0000-0000EB190000}"/>
    <cellStyle name="Normal 5 3 3 3 7 2" xfId="6884" xr:uid="{00000000-0005-0000-0000-0000EC190000}"/>
    <cellStyle name="Normal 5 3 3 3 7 2 2" xfId="23767" xr:uid="{09A78810-51EA-44F4-BEEF-9A72424DA554}"/>
    <cellStyle name="Normal 5 3 3 3 7 2 3" xfId="32213" xr:uid="{A7E2CF90-9A5D-491F-858E-69FCD3A04E10}"/>
    <cellStyle name="Normal 5 3 3 3 7 2 4" xfId="15326" xr:uid="{4DC54ED9-AF7B-4034-B6BB-0AB44A145EAC}"/>
    <cellStyle name="Normal 5 3 3 3 7 3" xfId="19549" xr:uid="{F303DE19-727C-40B1-A63E-5058433D7676}"/>
    <cellStyle name="Normal 5 3 3 3 7 4" xfId="27994" xr:uid="{66AF2F13-49CA-4FF6-92D5-09871D9B2F89}"/>
    <cellStyle name="Normal 5 3 3 3 7 5" xfId="11108" xr:uid="{24BFC81A-A9BB-436F-8AA9-46917E7E879A}"/>
    <cellStyle name="Normal 5 3 3 3 8" xfId="4819" xr:uid="{00000000-0005-0000-0000-0000ED190000}"/>
    <cellStyle name="Normal 5 3 3 3 8 2" xfId="21702" xr:uid="{83F6B8B8-693B-4B4C-91BF-01FD23BAB8F0}"/>
    <cellStyle name="Normal 5 3 3 3 8 3" xfId="30148" xr:uid="{4F29AA2E-A53B-4AEA-9984-D7736E9F77C2}"/>
    <cellStyle name="Normal 5 3 3 3 8 4" xfId="13261" xr:uid="{263F2371-2BFB-4822-A367-14CE5F5E1F59}"/>
    <cellStyle name="Normal 5 3 3 3 9" xfId="17484" xr:uid="{FEBAE157-F1ED-4835-BBD1-76BAF6EDC0E0}"/>
    <cellStyle name="Normal 5 3 3 4" xfId="448" xr:uid="{00000000-0005-0000-0000-0000EE190000}"/>
    <cellStyle name="Normal 5 3 3 4 10" xfId="9045" xr:uid="{F6B60C84-887F-4620-9CC8-D8C5E6DA7218}"/>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24262" xr:uid="{3B1CA60E-82B0-4761-84F0-58984E23458E}"/>
    <cellStyle name="Normal 5 3 3 4 2 2 2 3" xfId="32708" xr:uid="{26A43FE9-8A20-447A-B177-D02D5975C188}"/>
    <cellStyle name="Normal 5 3 3 4 2 2 2 4" xfId="15821" xr:uid="{50303E40-4DC5-4F1D-B622-AB875963D8E2}"/>
    <cellStyle name="Normal 5 3 3 4 2 2 3" xfId="20044" xr:uid="{3124607B-D398-448E-9BF8-3FFC5759768F}"/>
    <cellStyle name="Normal 5 3 3 4 2 2 4" xfId="28491" xr:uid="{00D980EF-3201-4865-BB8B-C7FD99000ACF}"/>
    <cellStyle name="Normal 5 3 3 4 2 2 5" xfId="11603" xr:uid="{5E929A82-84E4-4F8D-AC70-8BE9246A1358}"/>
    <cellStyle name="Normal 5 3 3 4 2 3" xfId="5234" xr:uid="{00000000-0005-0000-0000-0000F2190000}"/>
    <cellStyle name="Normal 5 3 3 4 2 3 2" xfId="22117" xr:uid="{87480933-88AD-4C90-A5F2-678E3021AC3A}"/>
    <cellStyle name="Normal 5 3 3 4 2 3 3" xfId="30563" xr:uid="{C65D3682-CAAA-4805-A334-DAD874FA42E1}"/>
    <cellStyle name="Normal 5 3 3 4 2 3 4" xfId="13676" xr:uid="{D146E0DE-DFAA-45B4-9FE4-EFB393CB028A}"/>
    <cellStyle name="Normal 5 3 3 4 2 4" xfId="17899" xr:uid="{0A509CB9-D8A7-4ECD-AE51-F9ED93538A0C}"/>
    <cellStyle name="Normal 5 3 3 4 2 5" xfId="26344" xr:uid="{75DBC87F-A273-4C96-A7AA-9B1E1445326C}"/>
    <cellStyle name="Normal 5 3 3 4 2 6" xfId="9458" xr:uid="{80F9CB18-35EA-4E95-8869-7C8DE9C26E26}"/>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24675" xr:uid="{F515878F-2B0C-42AE-AF93-46B17EC83857}"/>
    <cellStyle name="Normal 5 3 3 4 3 2 2 3" xfId="33121" xr:uid="{1CFBBC99-894A-4EC7-866E-8A228D109518}"/>
    <cellStyle name="Normal 5 3 3 4 3 2 2 4" xfId="16234" xr:uid="{173CABD5-7187-484A-9E10-9D2273CAA6A7}"/>
    <cellStyle name="Normal 5 3 3 4 3 2 3" xfId="20457" xr:uid="{107EA635-9CE3-4B0F-88FB-4847CEF34EBF}"/>
    <cellStyle name="Normal 5 3 3 4 3 2 4" xfId="28904" xr:uid="{C01BF762-4F31-4BCC-B595-825E76BC37FB}"/>
    <cellStyle name="Normal 5 3 3 4 3 2 5" xfId="12016" xr:uid="{6B0EDDAE-C80D-4511-A590-8A68FAE0E1AF}"/>
    <cellStyle name="Normal 5 3 3 4 3 3" xfId="5647" xr:uid="{00000000-0005-0000-0000-0000F6190000}"/>
    <cellStyle name="Normal 5 3 3 4 3 3 2" xfId="22530" xr:uid="{605699CB-AD46-473E-8649-0A6B1BBFC1BA}"/>
    <cellStyle name="Normal 5 3 3 4 3 3 3" xfId="30976" xr:uid="{A6378A76-E80C-4E01-A64A-A26957DC6851}"/>
    <cellStyle name="Normal 5 3 3 4 3 3 4" xfId="14089" xr:uid="{84FD89D5-2638-4352-85BC-650D2EDC65E2}"/>
    <cellStyle name="Normal 5 3 3 4 3 4" xfId="18312" xr:uid="{3E3047DA-65EF-4E5F-800E-C2E04BB8AEE5}"/>
    <cellStyle name="Normal 5 3 3 4 3 5" xfId="26757" xr:uid="{37840F3F-E2D9-484C-9695-AB494142BE0D}"/>
    <cellStyle name="Normal 5 3 3 4 3 6" xfId="9871" xr:uid="{D4E91C14-5AB6-4559-9AE7-2DB5F3FDFB5A}"/>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25088" xr:uid="{25871F8B-BD6A-465D-BD9A-3E0A85666E4C}"/>
    <cellStyle name="Normal 5 3 3 4 4 2 2 3" xfId="33534" xr:uid="{12EB1B5C-A54A-48BD-A85A-8AEEBAF1CA5E}"/>
    <cellStyle name="Normal 5 3 3 4 4 2 2 4" xfId="16647" xr:uid="{6E8F905E-2388-4496-9677-2CD1267AAB82}"/>
    <cellStyle name="Normal 5 3 3 4 4 2 3" xfId="20870" xr:uid="{7050A3AA-C541-4FDE-954E-40153581B859}"/>
    <cellStyle name="Normal 5 3 3 4 4 2 4" xfId="29317" xr:uid="{07B09987-A4CB-47BD-BEC8-B62FD5206561}"/>
    <cellStyle name="Normal 5 3 3 4 4 2 5" xfId="12429" xr:uid="{5C49F9A1-883A-4C1C-9AD9-1C18EE32CC31}"/>
    <cellStyle name="Normal 5 3 3 4 4 3" xfId="6060" xr:uid="{00000000-0005-0000-0000-0000FA190000}"/>
    <cellStyle name="Normal 5 3 3 4 4 3 2" xfId="22943" xr:uid="{59F46663-1E86-4A19-A7B4-815E407B8AC1}"/>
    <cellStyle name="Normal 5 3 3 4 4 3 3" xfId="31389" xr:uid="{8A35A798-4D2C-49A5-AB29-5CF14FDC18A8}"/>
    <cellStyle name="Normal 5 3 3 4 4 3 4" xfId="14502" xr:uid="{AEB0A491-DB1E-4C8B-8ED6-B66242AEAD79}"/>
    <cellStyle name="Normal 5 3 3 4 4 4" xfId="18725" xr:uid="{35A7CE04-2C3D-435E-8618-BDAFF7CC1AD7}"/>
    <cellStyle name="Normal 5 3 3 4 4 5" xfId="27170" xr:uid="{4610EB67-AA6B-4EC9-8A27-B3856F80A68A}"/>
    <cellStyle name="Normal 5 3 3 4 4 6" xfId="10284" xr:uid="{DEDE29FE-C121-46F3-9876-9B68EF49F134}"/>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25501" xr:uid="{BB9B74EF-E42D-45E4-8B3A-D9EBA3872FE3}"/>
    <cellStyle name="Normal 5 3 3 4 5 2 2 3" xfId="33947" xr:uid="{1D06D1F4-5970-4C62-8832-098301A90BDD}"/>
    <cellStyle name="Normal 5 3 3 4 5 2 2 4" xfId="17060" xr:uid="{6ECCA4BB-1BF8-4818-A7AD-7794EB0A7C5D}"/>
    <cellStyle name="Normal 5 3 3 4 5 2 3" xfId="21283" xr:uid="{E7611A56-D230-4500-B33C-767814AE7D2B}"/>
    <cellStyle name="Normal 5 3 3 4 5 2 4" xfId="29730" xr:uid="{568E3C21-358F-432F-B0AF-AA136AB85F03}"/>
    <cellStyle name="Normal 5 3 3 4 5 2 5" xfId="12842" xr:uid="{CFC0E0CA-F8D5-411D-BB6C-F05D36959F07}"/>
    <cellStyle name="Normal 5 3 3 4 5 3" xfId="6473" xr:uid="{00000000-0005-0000-0000-0000FE190000}"/>
    <cellStyle name="Normal 5 3 3 4 5 3 2" xfId="23356" xr:uid="{540B4E57-99B1-4857-BD83-C3D93FD42BA8}"/>
    <cellStyle name="Normal 5 3 3 4 5 3 3" xfId="31802" xr:uid="{EA2107D0-2301-4DFD-B4E4-5A16D8731B36}"/>
    <cellStyle name="Normal 5 3 3 4 5 3 4" xfId="14915" xr:uid="{6ADAB948-FE81-4E2D-A03F-13F11A35E1DD}"/>
    <cellStyle name="Normal 5 3 3 4 5 4" xfId="19138" xr:uid="{0965E29D-1175-4F93-82CB-47600C8E4986}"/>
    <cellStyle name="Normal 5 3 3 4 5 5" xfId="27583" xr:uid="{C820C6EC-5BF9-4DEE-BA21-078E66B0179F}"/>
    <cellStyle name="Normal 5 3 3 4 5 6" xfId="10697" xr:uid="{0F7D7356-3057-421B-B364-B54FEE8AA90B}"/>
    <cellStyle name="Normal 5 3 3 4 6" xfId="2602" xr:uid="{00000000-0005-0000-0000-0000FF190000}"/>
    <cellStyle name="Normal 5 3 3 4 6 2" xfId="6886" xr:uid="{00000000-0005-0000-0000-0000001A0000}"/>
    <cellStyle name="Normal 5 3 3 4 6 2 2" xfId="23769" xr:uid="{79009096-258D-4FEB-AB43-18E563C9E1DA}"/>
    <cellStyle name="Normal 5 3 3 4 6 2 3" xfId="32215" xr:uid="{75EB6676-CB15-44C5-96A5-C0D9E07D9473}"/>
    <cellStyle name="Normal 5 3 3 4 6 2 4" xfId="15328" xr:uid="{094C7029-89C2-43A7-853D-DF19B0A2B69C}"/>
    <cellStyle name="Normal 5 3 3 4 6 3" xfId="19551" xr:uid="{B9F59BA0-A866-4645-9D91-6AC66DD1B4FB}"/>
    <cellStyle name="Normal 5 3 3 4 6 4" xfId="27996" xr:uid="{A2CF53FB-8C9C-4064-939B-A7EB8960ADFA}"/>
    <cellStyle name="Normal 5 3 3 4 6 5" xfId="11110" xr:uid="{38A85862-1712-4391-B4C8-ED4C76257CC8}"/>
    <cellStyle name="Normal 5 3 3 4 7" xfId="4821" xr:uid="{00000000-0005-0000-0000-0000011A0000}"/>
    <cellStyle name="Normal 5 3 3 4 7 2" xfId="21704" xr:uid="{84720A70-AECE-470E-A66E-87BD833830F9}"/>
    <cellStyle name="Normal 5 3 3 4 7 3" xfId="30150" xr:uid="{BBAA24EF-AC32-4745-AED9-24F78B095911}"/>
    <cellStyle name="Normal 5 3 3 4 7 4" xfId="13263" xr:uid="{F3CFFF8D-54BE-4505-8F10-D00D3723A217}"/>
    <cellStyle name="Normal 5 3 3 4 8" xfId="17486" xr:uid="{538BEDCB-4855-4056-8606-2D6821B83AF5}"/>
    <cellStyle name="Normal 5 3 3 4 9" xfId="25930" xr:uid="{A96AC757-DBF5-4D33-BB7A-5A2B7D34943F}"/>
    <cellStyle name="Normal 5 3 3 5" xfId="915" xr:uid="{00000000-0005-0000-0000-0000021A0000}"/>
    <cellStyle name="Normal 5 3 3 5 2" xfId="3149" xr:uid="{00000000-0005-0000-0000-0000031A0000}"/>
    <cellStyle name="Normal 5 3 3 5 2 2" xfId="7372" xr:uid="{00000000-0005-0000-0000-0000041A0000}"/>
    <cellStyle name="Normal 5 3 3 5 2 2 2" xfId="24255" xr:uid="{6C82BD69-18F0-4B45-BAE6-DE6342D1DE32}"/>
    <cellStyle name="Normal 5 3 3 5 2 2 3" xfId="32701" xr:uid="{D3A58670-CB02-485D-BCF2-C7D971E47D75}"/>
    <cellStyle name="Normal 5 3 3 5 2 2 4" xfId="15814" xr:uid="{D92D44D9-B5E6-4E87-B92C-8A05908879C6}"/>
    <cellStyle name="Normal 5 3 3 5 2 3" xfId="20037" xr:uid="{AF1165C1-BA2A-4559-A09A-EEE33F23A042}"/>
    <cellStyle name="Normal 5 3 3 5 2 4" xfId="28484" xr:uid="{3DB2C5E1-4F0F-442F-A44D-BBA8072D7863}"/>
    <cellStyle name="Normal 5 3 3 5 2 5" xfId="11596" xr:uid="{239F5147-003B-49BE-BEE5-7F898DC7026E}"/>
    <cellStyle name="Normal 5 3 3 5 3" xfId="5227" xr:uid="{00000000-0005-0000-0000-0000051A0000}"/>
    <cellStyle name="Normal 5 3 3 5 3 2" xfId="22110" xr:uid="{18A76F76-C149-42BA-96D0-34AEFCC508D6}"/>
    <cellStyle name="Normal 5 3 3 5 3 3" xfId="30556" xr:uid="{F663CDD6-B3AE-478B-A23E-399B4D755978}"/>
    <cellStyle name="Normal 5 3 3 5 3 4" xfId="13669" xr:uid="{17210EAF-9606-4D18-BACF-17853E54301C}"/>
    <cellStyle name="Normal 5 3 3 5 4" xfId="17892" xr:uid="{F3C8CD72-B2B7-471E-9931-8A2D7423F43B}"/>
    <cellStyle name="Normal 5 3 3 5 5" xfId="26337" xr:uid="{1BCB5C84-6575-490B-A935-66EF631F3E81}"/>
    <cellStyle name="Normal 5 3 3 5 6" xfId="9451" xr:uid="{D6D717EF-D6EA-4671-B2FF-A21E9CBA27A4}"/>
    <cellStyle name="Normal 5 3 3 6" xfId="1332" xr:uid="{00000000-0005-0000-0000-0000061A0000}"/>
    <cellStyle name="Normal 5 3 3 6 2" xfId="3562" xr:uid="{00000000-0005-0000-0000-0000071A0000}"/>
    <cellStyle name="Normal 5 3 3 6 2 2" xfId="7785" xr:uid="{00000000-0005-0000-0000-0000081A0000}"/>
    <cellStyle name="Normal 5 3 3 6 2 2 2" xfId="24668" xr:uid="{88FD61F7-AB99-4A65-A681-52C9805D4A15}"/>
    <cellStyle name="Normal 5 3 3 6 2 2 3" xfId="33114" xr:uid="{F821C5B8-F5C0-411B-B35F-1A59DBD78AB1}"/>
    <cellStyle name="Normal 5 3 3 6 2 2 4" xfId="16227" xr:uid="{1E16629B-4358-4740-9EDE-2234FB7F54F9}"/>
    <cellStyle name="Normal 5 3 3 6 2 3" xfId="20450" xr:uid="{794AFCBA-6D8F-4EB4-B19F-915C02E6D87E}"/>
    <cellStyle name="Normal 5 3 3 6 2 4" xfId="28897" xr:uid="{E5DD6EDA-E284-4ECC-A63B-C947EF4A8C7C}"/>
    <cellStyle name="Normal 5 3 3 6 2 5" xfId="12009" xr:uid="{854B2104-263D-4916-94DE-DF470CF1A0C5}"/>
    <cellStyle name="Normal 5 3 3 6 3" xfId="5640" xr:uid="{00000000-0005-0000-0000-0000091A0000}"/>
    <cellStyle name="Normal 5 3 3 6 3 2" xfId="22523" xr:uid="{638AC18E-DB0C-42FD-8494-25F7E34E61D8}"/>
    <cellStyle name="Normal 5 3 3 6 3 3" xfId="30969" xr:uid="{EA66C70A-8D93-4776-8D40-D8E0C175CF87}"/>
    <cellStyle name="Normal 5 3 3 6 3 4" xfId="14082" xr:uid="{4E95816B-9D42-43C3-8DAD-0877EA4E1A25}"/>
    <cellStyle name="Normal 5 3 3 6 4" xfId="18305" xr:uid="{B274B8C3-49F3-4ABD-AF14-BCFC0A556456}"/>
    <cellStyle name="Normal 5 3 3 6 5" xfId="26750" xr:uid="{D1D93DA4-2669-4D23-8C9A-787B7E1E795B}"/>
    <cellStyle name="Normal 5 3 3 6 6" xfId="9864" xr:uid="{302226F6-67B4-4853-9FE5-FF3D6C8B697D}"/>
    <cellStyle name="Normal 5 3 3 7" xfId="1745" xr:uid="{00000000-0005-0000-0000-00000A1A0000}"/>
    <cellStyle name="Normal 5 3 3 7 2" xfId="3975" xr:uid="{00000000-0005-0000-0000-00000B1A0000}"/>
    <cellStyle name="Normal 5 3 3 7 2 2" xfId="8198" xr:uid="{00000000-0005-0000-0000-00000C1A0000}"/>
    <cellStyle name="Normal 5 3 3 7 2 2 2" xfId="25081" xr:uid="{B8AE9FC5-FA4E-4A90-AD91-FF36CBF31FE3}"/>
    <cellStyle name="Normal 5 3 3 7 2 2 3" xfId="33527" xr:uid="{10C1BD7A-E6B5-4BBB-881F-CBF08E3D8C88}"/>
    <cellStyle name="Normal 5 3 3 7 2 2 4" xfId="16640" xr:uid="{1210E808-3EEC-47C7-AB21-6FCE0AE073DD}"/>
    <cellStyle name="Normal 5 3 3 7 2 3" xfId="20863" xr:uid="{82AFD589-EE4E-4F1E-950B-CBB72FEAB8B3}"/>
    <cellStyle name="Normal 5 3 3 7 2 4" xfId="29310" xr:uid="{A098C310-4132-4F9C-8A48-30B726E5918A}"/>
    <cellStyle name="Normal 5 3 3 7 2 5" xfId="12422" xr:uid="{8599700F-AF8E-479C-8123-2B80EA7DEFCE}"/>
    <cellStyle name="Normal 5 3 3 7 3" xfId="6053" xr:uid="{00000000-0005-0000-0000-00000D1A0000}"/>
    <cellStyle name="Normal 5 3 3 7 3 2" xfId="22936" xr:uid="{2AA93138-CC9C-443E-9D63-9646F53EE501}"/>
    <cellStyle name="Normal 5 3 3 7 3 3" xfId="31382" xr:uid="{59F9949A-51A5-43EF-BD17-7E716533D3DB}"/>
    <cellStyle name="Normal 5 3 3 7 3 4" xfId="14495" xr:uid="{DB3104A8-1CA8-4E70-8A34-1D71349C0CD3}"/>
    <cellStyle name="Normal 5 3 3 7 4" xfId="18718" xr:uid="{07BFF99E-1A1F-43E5-BFB7-A5C252FF8B17}"/>
    <cellStyle name="Normal 5 3 3 7 5" xfId="27163" xr:uid="{8C40A012-6A59-4B5F-988E-5C99D6885B30}"/>
    <cellStyle name="Normal 5 3 3 7 6" xfId="10277" xr:uid="{3AEA3E80-9752-4732-BBA2-B3F6F556DC8C}"/>
    <cellStyle name="Normal 5 3 3 8" xfId="2159" xr:uid="{00000000-0005-0000-0000-00000E1A0000}"/>
    <cellStyle name="Normal 5 3 3 8 2" xfId="4388" xr:uid="{00000000-0005-0000-0000-00000F1A0000}"/>
    <cellStyle name="Normal 5 3 3 8 2 2" xfId="8611" xr:uid="{00000000-0005-0000-0000-0000101A0000}"/>
    <cellStyle name="Normal 5 3 3 8 2 2 2" xfId="25494" xr:uid="{7F6C576F-FE93-4037-8439-B44436A3795B}"/>
    <cellStyle name="Normal 5 3 3 8 2 2 3" xfId="33940" xr:uid="{5B076B4A-1F54-474B-BA0D-BD6BBE6145CC}"/>
    <cellStyle name="Normal 5 3 3 8 2 2 4" xfId="17053" xr:uid="{0C56F0AA-FA7B-4B2D-8ED6-9C424888B43F}"/>
    <cellStyle name="Normal 5 3 3 8 2 3" xfId="21276" xr:uid="{7C52891A-B5B0-4B1A-B997-7B750B5CD45C}"/>
    <cellStyle name="Normal 5 3 3 8 2 4" xfId="29723" xr:uid="{9F35EF77-B684-47DB-A401-A55D6561624D}"/>
    <cellStyle name="Normal 5 3 3 8 2 5" xfId="12835" xr:uid="{2FF49535-AE55-4395-8997-CFB7B562A49E}"/>
    <cellStyle name="Normal 5 3 3 8 3" xfId="6466" xr:uid="{00000000-0005-0000-0000-0000111A0000}"/>
    <cellStyle name="Normal 5 3 3 8 3 2" xfId="23349" xr:uid="{8A37C8EE-4E61-4ED5-9BFE-4788D51DAFCF}"/>
    <cellStyle name="Normal 5 3 3 8 3 3" xfId="31795" xr:uid="{1B209445-4689-438E-972F-B6CAEB39A4C7}"/>
    <cellStyle name="Normal 5 3 3 8 3 4" xfId="14908" xr:uid="{6A52A792-844B-491F-AD7C-DC0EDDEBC381}"/>
    <cellStyle name="Normal 5 3 3 8 4" xfId="19131" xr:uid="{9D7B4147-8CD1-433C-AAE8-C73CD5A3F623}"/>
    <cellStyle name="Normal 5 3 3 8 5" xfId="27576" xr:uid="{699F9601-ACEA-42A3-8ECC-5FE74DED5AA3}"/>
    <cellStyle name="Normal 5 3 3 8 6" xfId="10690" xr:uid="{D3A719A4-F947-4D63-BF82-EAC2DB95BF43}"/>
    <cellStyle name="Normal 5 3 3 9" xfId="2595" xr:uid="{00000000-0005-0000-0000-0000121A0000}"/>
    <cellStyle name="Normal 5 3 3 9 2" xfId="6879" xr:uid="{00000000-0005-0000-0000-0000131A0000}"/>
    <cellStyle name="Normal 5 3 3 9 2 2" xfId="23762" xr:uid="{B7A5677E-3456-4BE4-8CF4-232AD1AFF8F1}"/>
    <cellStyle name="Normal 5 3 3 9 2 3" xfId="32208" xr:uid="{69BA125C-7B42-408D-BB4A-6964C052AB4E}"/>
    <cellStyle name="Normal 5 3 3 9 2 4" xfId="15321" xr:uid="{3AE04899-5A8A-4DCB-BB8B-C45BC6B4B8A2}"/>
    <cellStyle name="Normal 5 3 3 9 3" xfId="19544" xr:uid="{C66876F9-AFAE-464D-8168-47854B2CB4B0}"/>
    <cellStyle name="Normal 5 3 3 9 4" xfId="27989" xr:uid="{CF3FEB45-CDD1-42EE-AC8C-67C5EC98326D}"/>
    <cellStyle name="Normal 5 3 3 9 5" xfId="11103" xr:uid="{377BC79C-250B-4A76-9A71-9409437081AC}"/>
    <cellStyle name="Normal 5 3 4" xfId="449" xr:uid="{00000000-0005-0000-0000-0000141A0000}"/>
    <cellStyle name="Normal 5 3 4 10" xfId="17487" xr:uid="{984EA3F6-C170-4A56-9453-313ABA57B84B}"/>
    <cellStyle name="Normal 5 3 4 11" xfId="25931" xr:uid="{88590F2C-FD53-4373-BAAD-40CDA16EB4BA}"/>
    <cellStyle name="Normal 5 3 4 12" xfId="9046" xr:uid="{87FBAC14-415B-46BF-A34C-35E10E070819}"/>
    <cellStyle name="Normal 5 3 4 2" xfId="450" xr:uid="{00000000-0005-0000-0000-0000151A0000}"/>
    <cellStyle name="Normal 5 3 4 2 10" xfId="25932" xr:uid="{94473678-47F6-442D-9452-D99DF5F94A00}"/>
    <cellStyle name="Normal 5 3 4 2 11" xfId="9047" xr:uid="{66AA5782-F50F-4439-B98D-5B2209D19D8A}"/>
    <cellStyle name="Normal 5 3 4 2 2" xfId="451" xr:uid="{00000000-0005-0000-0000-0000161A0000}"/>
    <cellStyle name="Normal 5 3 4 2 2 10" xfId="9048" xr:uid="{C5DDCE31-0CD2-4521-B855-D8CBF991ECF3}"/>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24265" xr:uid="{2194A545-6F30-444B-91C8-A2D5A1FA8B7A}"/>
    <cellStyle name="Normal 5 3 4 2 2 2 2 2 3" xfId="32711" xr:uid="{EDB2D295-970D-4264-914F-9D028B2233A4}"/>
    <cellStyle name="Normal 5 3 4 2 2 2 2 2 4" xfId="15824" xr:uid="{0BD75A43-E627-485E-A6AA-B81E00001D5F}"/>
    <cellStyle name="Normal 5 3 4 2 2 2 2 3" xfId="20047" xr:uid="{48D48311-E84B-45A9-9D49-949A2F3EDFFF}"/>
    <cellStyle name="Normal 5 3 4 2 2 2 2 4" xfId="28494" xr:uid="{41D5CBC9-D153-4DB5-B225-835921A56D1B}"/>
    <cellStyle name="Normal 5 3 4 2 2 2 2 5" xfId="11606" xr:uid="{88CB4D98-17E0-4CC6-897B-25436229DD9E}"/>
    <cellStyle name="Normal 5 3 4 2 2 2 3" xfId="5237" xr:uid="{00000000-0005-0000-0000-00001A1A0000}"/>
    <cellStyle name="Normal 5 3 4 2 2 2 3 2" xfId="22120" xr:uid="{7F9E8061-E16C-4DC4-BF60-E948FDBDC49A}"/>
    <cellStyle name="Normal 5 3 4 2 2 2 3 3" xfId="30566" xr:uid="{332C08F9-EE42-40F9-8235-42AA22243BC6}"/>
    <cellStyle name="Normal 5 3 4 2 2 2 3 4" xfId="13679" xr:uid="{B9B880F9-02D3-4C6C-ADAB-17B787DAF040}"/>
    <cellStyle name="Normal 5 3 4 2 2 2 4" xfId="17902" xr:uid="{136FC80C-3AA3-4F66-88B9-85D1451E8A1C}"/>
    <cellStyle name="Normal 5 3 4 2 2 2 5" xfId="26347" xr:uid="{ED54E610-D4FD-4026-BD52-66305BDE0E67}"/>
    <cellStyle name="Normal 5 3 4 2 2 2 6" xfId="9461" xr:uid="{28A4495C-1016-455E-AC0C-78A014343A6D}"/>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24678" xr:uid="{51229CB9-0D33-4D00-AC60-D884A7711CC9}"/>
    <cellStyle name="Normal 5 3 4 2 2 3 2 2 3" xfId="33124" xr:uid="{C3472AAC-85E6-49C5-AE93-40EFF164D755}"/>
    <cellStyle name="Normal 5 3 4 2 2 3 2 2 4" xfId="16237" xr:uid="{9D97A5AE-FDF0-4B3B-85BA-A6D087C8E173}"/>
    <cellStyle name="Normal 5 3 4 2 2 3 2 3" xfId="20460" xr:uid="{8CB867AE-9A1D-408D-83CC-120A9D101095}"/>
    <cellStyle name="Normal 5 3 4 2 2 3 2 4" xfId="28907" xr:uid="{F38DA12D-C892-483F-8584-CB0EAA1CE4D5}"/>
    <cellStyle name="Normal 5 3 4 2 2 3 2 5" xfId="12019" xr:uid="{472F02C4-D0D5-4ACA-82EF-B3A45049F23D}"/>
    <cellStyle name="Normal 5 3 4 2 2 3 3" xfId="5650" xr:uid="{00000000-0005-0000-0000-00001E1A0000}"/>
    <cellStyle name="Normal 5 3 4 2 2 3 3 2" xfId="22533" xr:uid="{1B0458A1-23B9-4EF4-BBFE-09B741A8A8AA}"/>
    <cellStyle name="Normal 5 3 4 2 2 3 3 3" xfId="30979" xr:uid="{8ED5CC00-9EC7-4E63-A9F8-C81BCA0118C3}"/>
    <cellStyle name="Normal 5 3 4 2 2 3 3 4" xfId="14092" xr:uid="{0FBD08E1-1C25-462D-A6A8-93385248A2E4}"/>
    <cellStyle name="Normal 5 3 4 2 2 3 4" xfId="18315" xr:uid="{E72F3EFB-FCCA-417A-A25A-0A59A06C84D8}"/>
    <cellStyle name="Normal 5 3 4 2 2 3 5" xfId="26760" xr:uid="{5D185AA1-5148-4BB5-AD8D-4BB454FE485C}"/>
    <cellStyle name="Normal 5 3 4 2 2 3 6" xfId="9874" xr:uid="{9724E6F5-9B22-44A1-AA78-FB5D63A22F85}"/>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25091" xr:uid="{7AC7E105-C334-4B4C-96C8-A726DA9B94D5}"/>
    <cellStyle name="Normal 5 3 4 2 2 4 2 2 3" xfId="33537" xr:uid="{FF4AAB44-600C-4B74-82B3-09992B40EDE6}"/>
    <cellStyle name="Normal 5 3 4 2 2 4 2 2 4" xfId="16650" xr:uid="{D85A4DE8-89C4-4C07-A640-690A0F4CBF5D}"/>
    <cellStyle name="Normal 5 3 4 2 2 4 2 3" xfId="20873" xr:uid="{8F0546F0-D01B-42BD-9F56-02128EB5FCAD}"/>
    <cellStyle name="Normal 5 3 4 2 2 4 2 4" xfId="29320" xr:uid="{C6EC041C-F5F3-4BF7-9ACB-340F186C307E}"/>
    <cellStyle name="Normal 5 3 4 2 2 4 2 5" xfId="12432" xr:uid="{C1B912E3-73BC-466F-9B5B-626451C97887}"/>
    <cellStyle name="Normal 5 3 4 2 2 4 3" xfId="6063" xr:uid="{00000000-0005-0000-0000-0000221A0000}"/>
    <cellStyle name="Normal 5 3 4 2 2 4 3 2" xfId="22946" xr:uid="{EE2E546D-4160-4B6C-9B5F-E471DA49F618}"/>
    <cellStyle name="Normal 5 3 4 2 2 4 3 3" xfId="31392" xr:uid="{AFBCE455-2221-42DF-AEC2-00DBFDD0707A}"/>
    <cellStyle name="Normal 5 3 4 2 2 4 3 4" xfId="14505" xr:uid="{0BBEBCED-045A-4A38-B25A-E04BBE1FD488}"/>
    <cellStyle name="Normal 5 3 4 2 2 4 4" xfId="18728" xr:uid="{0917EF50-DE72-4071-A65D-9F61A3FB74D3}"/>
    <cellStyle name="Normal 5 3 4 2 2 4 5" xfId="27173" xr:uid="{9F381E86-04D2-4B09-9789-4E0995D8C023}"/>
    <cellStyle name="Normal 5 3 4 2 2 4 6" xfId="10287" xr:uid="{597F94CD-1CBF-4D66-8699-B0D32B96E2A7}"/>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25504" xr:uid="{0E3F9DF9-5C75-4C78-AB89-3671658518CB}"/>
    <cellStyle name="Normal 5 3 4 2 2 5 2 2 3" xfId="33950" xr:uid="{7B8352D2-A0FE-4C93-B723-0C9504AACC05}"/>
    <cellStyle name="Normal 5 3 4 2 2 5 2 2 4" xfId="17063" xr:uid="{9E88AB31-133E-4F7C-BB85-75116C733CFE}"/>
    <cellStyle name="Normal 5 3 4 2 2 5 2 3" xfId="21286" xr:uid="{813223E1-7454-45E4-B5E8-13BEC5ECD0C7}"/>
    <cellStyle name="Normal 5 3 4 2 2 5 2 4" xfId="29733" xr:uid="{E2D38291-705F-4B57-81BE-57D2F40EC21C}"/>
    <cellStyle name="Normal 5 3 4 2 2 5 2 5" xfId="12845" xr:uid="{F9145044-15CB-4BD9-849D-A02E6EFA57AF}"/>
    <cellStyle name="Normal 5 3 4 2 2 5 3" xfId="6476" xr:uid="{00000000-0005-0000-0000-0000261A0000}"/>
    <cellStyle name="Normal 5 3 4 2 2 5 3 2" xfId="23359" xr:uid="{81AA24AD-9199-4655-80B4-1CFABE75E920}"/>
    <cellStyle name="Normal 5 3 4 2 2 5 3 3" xfId="31805" xr:uid="{396A0525-684A-4595-9F0B-EB0CE7518F99}"/>
    <cellStyle name="Normal 5 3 4 2 2 5 3 4" xfId="14918" xr:uid="{2B628A6F-CDA2-4641-B574-5A08FBB1D8B0}"/>
    <cellStyle name="Normal 5 3 4 2 2 5 4" xfId="19141" xr:uid="{589C1C1C-DF02-47A1-8281-9F3FAD5806DA}"/>
    <cellStyle name="Normal 5 3 4 2 2 5 5" xfId="27586" xr:uid="{490014D9-07CD-4C9B-906D-072DCCC76D3B}"/>
    <cellStyle name="Normal 5 3 4 2 2 5 6" xfId="10700" xr:uid="{0A2B1778-A64D-4D28-8282-FEB58B1C62ED}"/>
    <cellStyle name="Normal 5 3 4 2 2 6" xfId="2605" xr:uid="{00000000-0005-0000-0000-0000271A0000}"/>
    <cellStyle name="Normal 5 3 4 2 2 6 2" xfId="6889" xr:uid="{00000000-0005-0000-0000-0000281A0000}"/>
    <cellStyle name="Normal 5 3 4 2 2 6 2 2" xfId="23772" xr:uid="{F420E52A-6792-403B-B53D-C4B011D344D2}"/>
    <cellStyle name="Normal 5 3 4 2 2 6 2 3" xfId="32218" xr:uid="{47CF0F4B-BD09-479B-9833-DF5D6BF152D8}"/>
    <cellStyle name="Normal 5 3 4 2 2 6 2 4" xfId="15331" xr:uid="{DF846719-30BD-4C02-94A2-88CE6CCFD0EE}"/>
    <cellStyle name="Normal 5 3 4 2 2 6 3" xfId="19554" xr:uid="{479BF69B-4331-4E59-AC7E-4C28D49910A7}"/>
    <cellStyle name="Normal 5 3 4 2 2 6 4" xfId="27999" xr:uid="{C74A9A0C-DF3F-4581-8EEE-249EA549EB3D}"/>
    <cellStyle name="Normal 5 3 4 2 2 6 5" xfId="11113" xr:uid="{A4518219-65C5-4454-9093-5B10480973DC}"/>
    <cellStyle name="Normal 5 3 4 2 2 7" xfId="4824" xr:uid="{00000000-0005-0000-0000-0000291A0000}"/>
    <cellStyle name="Normal 5 3 4 2 2 7 2" xfId="21707" xr:uid="{AE3C7CAB-F3A8-4430-8C72-BB65715A4008}"/>
    <cellStyle name="Normal 5 3 4 2 2 7 3" xfId="30153" xr:uid="{2937C69B-8DF7-4B17-8CB9-5620CCE86A1B}"/>
    <cellStyle name="Normal 5 3 4 2 2 7 4" xfId="13266" xr:uid="{3E17BD37-7847-4F8D-8256-399B795A9626}"/>
    <cellStyle name="Normal 5 3 4 2 2 8" xfId="17489" xr:uid="{83DEB1E0-A272-47C0-BD49-ABB5EC26893E}"/>
    <cellStyle name="Normal 5 3 4 2 2 9" xfId="25933" xr:uid="{93DFF59D-C2C1-499D-871E-877599F50FD2}"/>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24264" xr:uid="{AAFD3747-827E-4CD8-B76C-21AFAAED200A}"/>
    <cellStyle name="Normal 5 3 4 2 3 2 2 3" xfId="32710" xr:uid="{F0C2636B-9042-4D06-B159-125C5CDCCA6B}"/>
    <cellStyle name="Normal 5 3 4 2 3 2 2 4" xfId="15823" xr:uid="{819F62C2-A7F8-477F-B430-A1BACF83D1AE}"/>
    <cellStyle name="Normal 5 3 4 2 3 2 3" xfId="20046" xr:uid="{3C84D7EA-9D63-4C2E-8C79-4324CA336507}"/>
    <cellStyle name="Normal 5 3 4 2 3 2 4" xfId="28493" xr:uid="{06DDA929-C292-4C53-8B1D-9F9FA920AB8D}"/>
    <cellStyle name="Normal 5 3 4 2 3 2 5" xfId="11605" xr:uid="{7CA58B74-2659-4B56-80A7-C4458502A7DD}"/>
    <cellStyle name="Normal 5 3 4 2 3 3" xfId="5236" xr:uid="{00000000-0005-0000-0000-00002D1A0000}"/>
    <cellStyle name="Normal 5 3 4 2 3 3 2" xfId="22119" xr:uid="{6D48B1B1-06E1-43BE-8965-DA9B09F6DA50}"/>
    <cellStyle name="Normal 5 3 4 2 3 3 3" xfId="30565" xr:uid="{92EF3043-396C-4AC4-986D-9E8A3AB482A1}"/>
    <cellStyle name="Normal 5 3 4 2 3 3 4" xfId="13678" xr:uid="{EC0A75A2-95D8-423E-B4F6-521C982FEF23}"/>
    <cellStyle name="Normal 5 3 4 2 3 4" xfId="17901" xr:uid="{2CEB2EFA-1526-4F9C-9C58-24868B490A6F}"/>
    <cellStyle name="Normal 5 3 4 2 3 5" xfId="26346" xr:uid="{379904B9-AF52-4A88-AD2B-3FE76ED3652B}"/>
    <cellStyle name="Normal 5 3 4 2 3 6" xfId="9460" xr:uid="{E5B13829-4065-4CE1-AB93-48A1B85E56D8}"/>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24677" xr:uid="{447906A9-5FD1-4A21-A02B-FF23F0497CA7}"/>
    <cellStyle name="Normal 5 3 4 2 4 2 2 3" xfId="33123" xr:uid="{05F1676B-07F4-4E30-B7FD-EE9756704854}"/>
    <cellStyle name="Normal 5 3 4 2 4 2 2 4" xfId="16236" xr:uid="{BCCD4A2B-8CB7-459E-933A-054B0CEFBEAC}"/>
    <cellStyle name="Normal 5 3 4 2 4 2 3" xfId="20459" xr:uid="{102F98F6-B0EF-45C4-B2D8-1FEE6827DC63}"/>
    <cellStyle name="Normal 5 3 4 2 4 2 4" xfId="28906" xr:uid="{166A2EE5-6D8A-4561-B2B6-185A68B84F10}"/>
    <cellStyle name="Normal 5 3 4 2 4 2 5" xfId="12018" xr:uid="{8212DA14-589C-4C3D-BAF2-99AE739B4F43}"/>
    <cellStyle name="Normal 5 3 4 2 4 3" xfId="5649" xr:uid="{00000000-0005-0000-0000-0000311A0000}"/>
    <cellStyle name="Normal 5 3 4 2 4 3 2" xfId="22532" xr:uid="{FD732065-BFF4-47E6-A0AF-0B86C6AE32BD}"/>
    <cellStyle name="Normal 5 3 4 2 4 3 3" xfId="30978" xr:uid="{A1C9B67A-9439-4C00-A56E-E3D6D21E42BB}"/>
    <cellStyle name="Normal 5 3 4 2 4 3 4" xfId="14091" xr:uid="{1C2BF742-6D14-494D-9178-27DE30049865}"/>
    <cellStyle name="Normal 5 3 4 2 4 4" xfId="18314" xr:uid="{95ED542C-D074-440B-B8C0-C20FA90BF52B}"/>
    <cellStyle name="Normal 5 3 4 2 4 5" xfId="26759" xr:uid="{42917D0D-55E8-4B52-8816-BB7274526E41}"/>
    <cellStyle name="Normal 5 3 4 2 4 6" xfId="9873" xr:uid="{0CE2812C-95D4-43B4-9648-5C7733BEAA44}"/>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25090" xr:uid="{91CA70A9-A459-4ECF-B973-F4A3CC65B3C2}"/>
    <cellStyle name="Normal 5 3 4 2 5 2 2 3" xfId="33536" xr:uid="{D0BC7821-C114-42AE-A22A-BAD7477AE974}"/>
    <cellStyle name="Normal 5 3 4 2 5 2 2 4" xfId="16649" xr:uid="{36F3C14D-CB3A-4C1C-92C0-A04B66FDBA1F}"/>
    <cellStyle name="Normal 5 3 4 2 5 2 3" xfId="20872" xr:uid="{B4D32CC0-A67E-491C-B3E1-2FE7C0DDD7E9}"/>
    <cellStyle name="Normal 5 3 4 2 5 2 4" xfId="29319" xr:uid="{DD3228FF-3C21-4430-B8B3-4ED0E1228677}"/>
    <cellStyle name="Normal 5 3 4 2 5 2 5" xfId="12431" xr:uid="{A302CE86-1234-469C-9552-A5798DFA5D1C}"/>
    <cellStyle name="Normal 5 3 4 2 5 3" xfId="6062" xr:uid="{00000000-0005-0000-0000-0000351A0000}"/>
    <cellStyle name="Normal 5 3 4 2 5 3 2" xfId="22945" xr:uid="{AFFFCDCD-203C-455B-933E-98EC46194D47}"/>
    <cellStyle name="Normal 5 3 4 2 5 3 3" xfId="31391" xr:uid="{F0A5D9BA-AE98-45CD-8F63-0FFD636C6789}"/>
    <cellStyle name="Normal 5 3 4 2 5 3 4" xfId="14504" xr:uid="{5F541AAC-9E2F-428B-AB77-52D9FFC2E291}"/>
    <cellStyle name="Normal 5 3 4 2 5 4" xfId="18727" xr:uid="{17BDE6C3-1310-4D54-A659-727A1AD9E5F7}"/>
    <cellStyle name="Normal 5 3 4 2 5 5" xfId="27172" xr:uid="{1DA7E9E8-110C-4976-94F1-10741299D325}"/>
    <cellStyle name="Normal 5 3 4 2 5 6" xfId="10286" xr:uid="{961B0C32-4ED3-4159-9A8D-91A32096FE63}"/>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25503" xr:uid="{6CD92FA1-C25B-4985-9754-1ADF4AE0CBFD}"/>
    <cellStyle name="Normal 5 3 4 2 6 2 2 3" xfId="33949" xr:uid="{60C8C2E9-E912-4191-8030-6925D3FCA9E2}"/>
    <cellStyle name="Normal 5 3 4 2 6 2 2 4" xfId="17062" xr:uid="{F945A09F-D7F7-4F36-A031-E33DACC1D6D2}"/>
    <cellStyle name="Normal 5 3 4 2 6 2 3" xfId="21285" xr:uid="{0848814F-C954-483B-8AE3-4A8677648160}"/>
    <cellStyle name="Normal 5 3 4 2 6 2 4" xfId="29732" xr:uid="{A0B92586-111D-4971-9AEE-2858F5571F2D}"/>
    <cellStyle name="Normal 5 3 4 2 6 2 5" xfId="12844" xr:uid="{B735E686-04F5-4AED-9197-FB72C863EC2B}"/>
    <cellStyle name="Normal 5 3 4 2 6 3" xfId="6475" xr:uid="{00000000-0005-0000-0000-0000391A0000}"/>
    <cellStyle name="Normal 5 3 4 2 6 3 2" xfId="23358" xr:uid="{5C43B9CC-BD70-4D92-9E2B-FC2D76B133FF}"/>
    <cellStyle name="Normal 5 3 4 2 6 3 3" xfId="31804" xr:uid="{00EFEB2A-1650-48DE-9815-1F4A8B84714C}"/>
    <cellStyle name="Normal 5 3 4 2 6 3 4" xfId="14917" xr:uid="{56436BE5-7773-4233-8C2E-2272EDB44028}"/>
    <cellStyle name="Normal 5 3 4 2 6 4" xfId="19140" xr:uid="{643438B8-C587-445F-8BA3-591E2F27BE48}"/>
    <cellStyle name="Normal 5 3 4 2 6 5" xfId="27585" xr:uid="{312680F5-2C45-442C-A0F0-BD3974ED9BDD}"/>
    <cellStyle name="Normal 5 3 4 2 6 6" xfId="10699" xr:uid="{456463A7-1882-452A-BEA0-EAB3598547DA}"/>
    <cellStyle name="Normal 5 3 4 2 7" xfId="2604" xr:uid="{00000000-0005-0000-0000-00003A1A0000}"/>
    <cellStyle name="Normal 5 3 4 2 7 2" xfId="6888" xr:uid="{00000000-0005-0000-0000-00003B1A0000}"/>
    <cellStyle name="Normal 5 3 4 2 7 2 2" xfId="23771" xr:uid="{B856072D-24BA-476A-8C67-6CE09429A90F}"/>
    <cellStyle name="Normal 5 3 4 2 7 2 3" xfId="32217" xr:uid="{9CD3CCB3-0878-4E79-ACC2-9C902D1619F9}"/>
    <cellStyle name="Normal 5 3 4 2 7 2 4" xfId="15330" xr:uid="{0767BB67-C245-4AE3-87EC-C59D763BAEEE}"/>
    <cellStyle name="Normal 5 3 4 2 7 3" xfId="19553" xr:uid="{EC8B09BC-2991-4417-9547-03EF38F56A2C}"/>
    <cellStyle name="Normal 5 3 4 2 7 4" xfId="27998" xr:uid="{AE65341A-9456-411F-AB8A-09C117C02254}"/>
    <cellStyle name="Normal 5 3 4 2 7 5" xfId="11112" xr:uid="{0B669935-B6A8-4137-A967-19CCB4B82815}"/>
    <cellStyle name="Normal 5 3 4 2 8" xfId="4823" xr:uid="{00000000-0005-0000-0000-00003C1A0000}"/>
    <cellStyle name="Normal 5 3 4 2 8 2" xfId="21706" xr:uid="{0D9B7F1C-92A6-4973-9F88-38DCF03B403D}"/>
    <cellStyle name="Normal 5 3 4 2 8 3" xfId="30152" xr:uid="{A4F08B59-D0F9-4BD0-BDBA-DCA147220483}"/>
    <cellStyle name="Normal 5 3 4 2 8 4" xfId="13265" xr:uid="{01A6EAFC-4929-44A8-83E6-786ABE2BFBB2}"/>
    <cellStyle name="Normal 5 3 4 2 9" xfId="17488" xr:uid="{0CA79550-65A4-483F-91E0-6D5BEB1D7F32}"/>
    <cellStyle name="Normal 5 3 4 3" xfId="452" xr:uid="{00000000-0005-0000-0000-00003D1A0000}"/>
    <cellStyle name="Normal 5 3 4 3 10" xfId="9049" xr:uid="{811ECEA8-1BFE-447A-AE7D-39A17DBC2A55}"/>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24266" xr:uid="{582FC2A3-2D51-4EA5-816A-CEADAAF6BFC8}"/>
    <cellStyle name="Normal 5 3 4 3 2 2 2 3" xfId="32712" xr:uid="{CDA6AD25-B507-4F46-8CD5-05EAF7080E44}"/>
    <cellStyle name="Normal 5 3 4 3 2 2 2 4" xfId="15825" xr:uid="{C563E996-DA7B-473D-8146-20025E711CFE}"/>
    <cellStyle name="Normal 5 3 4 3 2 2 3" xfId="20048" xr:uid="{04413943-1455-4EDA-8A1B-CE81DBABAD77}"/>
    <cellStyle name="Normal 5 3 4 3 2 2 4" xfId="28495" xr:uid="{0A5BFCC5-C988-42AB-AEE0-0BD384C68840}"/>
    <cellStyle name="Normal 5 3 4 3 2 2 5" xfId="11607" xr:uid="{39306872-2C0F-4A6E-BFFA-24B376430E6E}"/>
    <cellStyle name="Normal 5 3 4 3 2 3" xfId="5238" xr:uid="{00000000-0005-0000-0000-0000411A0000}"/>
    <cellStyle name="Normal 5 3 4 3 2 3 2" xfId="22121" xr:uid="{5759B517-CE07-4621-BA78-61766F82B19D}"/>
    <cellStyle name="Normal 5 3 4 3 2 3 3" xfId="30567" xr:uid="{3ADFA0E6-FD52-4EDE-8F70-849CE6F1266C}"/>
    <cellStyle name="Normal 5 3 4 3 2 3 4" xfId="13680" xr:uid="{9777A91F-4EC7-47DC-B556-EDBB4FB13274}"/>
    <cellStyle name="Normal 5 3 4 3 2 4" xfId="17903" xr:uid="{6D58B315-DE55-43C5-86FC-6239B7EFEF03}"/>
    <cellStyle name="Normal 5 3 4 3 2 5" xfId="26348" xr:uid="{C1C5756A-A166-480E-BBD5-BBD6426F69B4}"/>
    <cellStyle name="Normal 5 3 4 3 2 6" xfId="9462" xr:uid="{BE988522-22DF-4298-B88C-A7D73283772D}"/>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24679" xr:uid="{3CF45C11-6918-4412-80F5-376E3BBCFA28}"/>
    <cellStyle name="Normal 5 3 4 3 3 2 2 3" xfId="33125" xr:uid="{DE87318B-575F-4CAA-A231-B388BA1513FB}"/>
    <cellStyle name="Normal 5 3 4 3 3 2 2 4" xfId="16238" xr:uid="{0AF18B7B-A9E2-4458-A650-B1920002096B}"/>
    <cellStyle name="Normal 5 3 4 3 3 2 3" xfId="20461" xr:uid="{F4C86759-BE56-49A8-9A9D-82011B7DC725}"/>
    <cellStyle name="Normal 5 3 4 3 3 2 4" xfId="28908" xr:uid="{BFDC07BA-B17A-44DC-9192-10DD1042EECE}"/>
    <cellStyle name="Normal 5 3 4 3 3 2 5" xfId="12020" xr:uid="{BED5A93C-6F6A-40C0-A148-186A85C4631A}"/>
    <cellStyle name="Normal 5 3 4 3 3 3" xfId="5651" xr:uid="{00000000-0005-0000-0000-0000451A0000}"/>
    <cellStyle name="Normal 5 3 4 3 3 3 2" xfId="22534" xr:uid="{01312891-5A34-4500-84C2-0EFD830B07B5}"/>
    <cellStyle name="Normal 5 3 4 3 3 3 3" xfId="30980" xr:uid="{AEA79F4F-4113-4B40-B5EE-6DB11558E111}"/>
    <cellStyle name="Normal 5 3 4 3 3 3 4" xfId="14093" xr:uid="{5D8925B3-FAB4-4CD5-A93C-AF8DEF25C322}"/>
    <cellStyle name="Normal 5 3 4 3 3 4" xfId="18316" xr:uid="{0934E5A1-3CC9-490A-BD91-2A5E35626196}"/>
    <cellStyle name="Normal 5 3 4 3 3 5" xfId="26761" xr:uid="{2DA96D23-870F-41AC-A817-49C23AFFC7CC}"/>
    <cellStyle name="Normal 5 3 4 3 3 6" xfId="9875" xr:uid="{D63683C9-3F58-4703-8512-2BAA11E77A14}"/>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25092" xr:uid="{A777E3B0-D1FC-44F9-BE30-01605B78468C}"/>
    <cellStyle name="Normal 5 3 4 3 4 2 2 3" xfId="33538" xr:uid="{982F753C-9073-4AF8-8B30-4C09D39E449C}"/>
    <cellStyle name="Normal 5 3 4 3 4 2 2 4" xfId="16651" xr:uid="{579016F7-8FC9-405F-BCBE-7B7D435724C5}"/>
    <cellStyle name="Normal 5 3 4 3 4 2 3" xfId="20874" xr:uid="{1D463871-1D8F-46C8-B838-DF623F4AD484}"/>
    <cellStyle name="Normal 5 3 4 3 4 2 4" xfId="29321" xr:uid="{11FC8992-5B02-494F-BC35-478D135EDE57}"/>
    <cellStyle name="Normal 5 3 4 3 4 2 5" xfId="12433" xr:uid="{7CA394F1-41E3-414F-899C-D5EB9CFBCF6F}"/>
    <cellStyle name="Normal 5 3 4 3 4 3" xfId="6064" xr:uid="{00000000-0005-0000-0000-0000491A0000}"/>
    <cellStyle name="Normal 5 3 4 3 4 3 2" xfId="22947" xr:uid="{D2708ED6-5CF4-42AA-BA0A-7357DA367B91}"/>
    <cellStyle name="Normal 5 3 4 3 4 3 3" xfId="31393" xr:uid="{39B01390-A517-4E2D-9A25-9B1B775D3EF4}"/>
    <cellStyle name="Normal 5 3 4 3 4 3 4" xfId="14506" xr:uid="{3C091313-900B-4798-8B94-D2E29B2C32ED}"/>
    <cellStyle name="Normal 5 3 4 3 4 4" xfId="18729" xr:uid="{EFB8953D-74CE-4684-B63F-EAA54905FA58}"/>
    <cellStyle name="Normal 5 3 4 3 4 5" xfId="27174" xr:uid="{ED2A7E3F-C379-4627-96C5-673A95C60F9B}"/>
    <cellStyle name="Normal 5 3 4 3 4 6" xfId="10288" xr:uid="{EB2E4E1E-1BE3-41F0-A1E8-DEDA0D0248C0}"/>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25505" xr:uid="{D937821A-896A-44C2-A69B-E32DF4ACD4FF}"/>
    <cellStyle name="Normal 5 3 4 3 5 2 2 3" xfId="33951" xr:uid="{917F6721-1DC2-4A27-96FF-9D33DE1E0ED6}"/>
    <cellStyle name="Normal 5 3 4 3 5 2 2 4" xfId="17064" xr:uid="{D6357683-6CE2-41EA-81F9-9D65850850DB}"/>
    <cellStyle name="Normal 5 3 4 3 5 2 3" xfId="21287" xr:uid="{C430564F-A999-4BE2-A3B2-2E4A3CBDAE05}"/>
    <cellStyle name="Normal 5 3 4 3 5 2 4" xfId="29734" xr:uid="{ECC16AAA-D0B7-416C-A05C-D229383BD678}"/>
    <cellStyle name="Normal 5 3 4 3 5 2 5" xfId="12846" xr:uid="{92D63B17-3A0B-4319-AFD3-BC9EE8A30575}"/>
    <cellStyle name="Normal 5 3 4 3 5 3" xfId="6477" xr:uid="{00000000-0005-0000-0000-00004D1A0000}"/>
    <cellStyle name="Normal 5 3 4 3 5 3 2" xfId="23360" xr:uid="{DB52D4A8-31B9-44D8-A736-09B730B781F9}"/>
    <cellStyle name="Normal 5 3 4 3 5 3 3" xfId="31806" xr:uid="{98356A2E-0AEB-4BDF-A245-3AF81869A4D8}"/>
    <cellStyle name="Normal 5 3 4 3 5 3 4" xfId="14919" xr:uid="{A000B457-77E4-4F71-8930-5D58D80443A5}"/>
    <cellStyle name="Normal 5 3 4 3 5 4" xfId="19142" xr:uid="{9D4FC8CA-9DFC-4A28-AB57-8795255A5AC8}"/>
    <cellStyle name="Normal 5 3 4 3 5 5" xfId="27587" xr:uid="{0021A522-7AE1-44C4-ADF1-79EAF8A67A48}"/>
    <cellStyle name="Normal 5 3 4 3 5 6" xfId="10701" xr:uid="{60367494-5794-4800-B75E-CF278B7866A6}"/>
    <cellStyle name="Normal 5 3 4 3 6" xfId="2606" xr:uid="{00000000-0005-0000-0000-00004E1A0000}"/>
    <cellStyle name="Normal 5 3 4 3 6 2" xfId="6890" xr:uid="{00000000-0005-0000-0000-00004F1A0000}"/>
    <cellStyle name="Normal 5 3 4 3 6 2 2" xfId="23773" xr:uid="{2E78A5BE-865F-4268-AB59-D3BC61B98AC5}"/>
    <cellStyle name="Normal 5 3 4 3 6 2 3" xfId="32219" xr:uid="{2E7D92A7-7304-442A-97F8-30BD346382CC}"/>
    <cellStyle name="Normal 5 3 4 3 6 2 4" xfId="15332" xr:uid="{453A8B4F-6E19-4008-9815-CD7D27DFA869}"/>
    <cellStyle name="Normal 5 3 4 3 6 3" xfId="19555" xr:uid="{A00FAA3B-BE5F-46B6-AEC6-A40E64DE5970}"/>
    <cellStyle name="Normal 5 3 4 3 6 4" xfId="28000" xr:uid="{067236FC-B3C5-4D76-A780-FA41D6773808}"/>
    <cellStyle name="Normal 5 3 4 3 6 5" xfId="11114" xr:uid="{5223A73E-609F-4BC8-A906-E889D49B1C08}"/>
    <cellStyle name="Normal 5 3 4 3 7" xfId="4825" xr:uid="{00000000-0005-0000-0000-0000501A0000}"/>
    <cellStyle name="Normal 5 3 4 3 7 2" xfId="21708" xr:uid="{88254755-CE4B-4831-BFF4-3D8A3E2FE3F4}"/>
    <cellStyle name="Normal 5 3 4 3 7 3" xfId="30154" xr:uid="{1A27C585-7D56-4B3C-80C0-4E4E6C6C614C}"/>
    <cellStyle name="Normal 5 3 4 3 7 4" xfId="13267" xr:uid="{562D45F1-15A0-459B-B3CC-21DA65F251D8}"/>
    <cellStyle name="Normal 5 3 4 3 8" xfId="17490" xr:uid="{18AC92A6-CFD6-45D3-85C2-36E94F6E32D4}"/>
    <cellStyle name="Normal 5 3 4 3 9" xfId="25934" xr:uid="{200A647F-6E81-46E1-9929-BA272200A7BB}"/>
    <cellStyle name="Normal 5 3 4 4" xfId="923" xr:uid="{00000000-0005-0000-0000-0000511A0000}"/>
    <cellStyle name="Normal 5 3 4 4 2" xfId="3157" xr:uid="{00000000-0005-0000-0000-0000521A0000}"/>
    <cellStyle name="Normal 5 3 4 4 2 2" xfId="7380" xr:uid="{00000000-0005-0000-0000-0000531A0000}"/>
    <cellStyle name="Normal 5 3 4 4 2 2 2" xfId="24263" xr:uid="{F601246C-F30B-44C5-9329-8E31395A5C59}"/>
    <cellStyle name="Normal 5 3 4 4 2 2 3" xfId="32709" xr:uid="{1DBEAD72-4698-4986-9E1C-FBD66E22D8C5}"/>
    <cellStyle name="Normal 5 3 4 4 2 2 4" xfId="15822" xr:uid="{A97F7A25-6EC9-43A6-B096-D1B4F7E22895}"/>
    <cellStyle name="Normal 5 3 4 4 2 3" xfId="20045" xr:uid="{68696A96-0DAC-43EE-93BB-E8B5DC22401C}"/>
    <cellStyle name="Normal 5 3 4 4 2 4" xfId="28492" xr:uid="{EC4C085E-4AA0-470F-B00B-76241706531B}"/>
    <cellStyle name="Normal 5 3 4 4 2 5" xfId="11604" xr:uid="{ECE16625-CA4F-4DF4-B812-D11DA19F0365}"/>
    <cellStyle name="Normal 5 3 4 4 3" xfId="5235" xr:uid="{00000000-0005-0000-0000-0000541A0000}"/>
    <cellStyle name="Normal 5 3 4 4 3 2" xfId="22118" xr:uid="{984FC31E-0DCD-4FED-9065-C79206C5BDDB}"/>
    <cellStyle name="Normal 5 3 4 4 3 3" xfId="30564" xr:uid="{86622A9D-F776-45DD-9187-7523BEFAEE9A}"/>
    <cellStyle name="Normal 5 3 4 4 3 4" xfId="13677" xr:uid="{C03A71DE-F6A3-4CF0-8C34-5646B0D46258}"/>
    <cellStyle name="Normal 5 3 4 4 4" xfId="17900" xr:uid="{5A1DF54B-3B55-4485-B136-D18FA5FA4BE3}"/>
    <cellStyle name="Normal 5 3 4 4 5" xfId="26345" xr:uid="{9485BFC0-DCB7-43E7-BF65-A3E9FF17785C}"/>
    <cellStyle name="Normal 5 3 4 4 6" xfId="9459" xr:uid="{03D6A184-C4A2-4D1F-8FDA-9A815BB53822}"/>
    <cellStyle name="Normal 5 3 4 5" xfId="1340" xr:uid="{00000000-0005-0000-0000-0000551A0000}"/>
    <cellStyle name="Normal 5 3 4 5 2" xfId="3570" xr:uid="{00000000-0005-0000-0000-0000561A0000}"/>
    <cellStyle name="Normal 5 3 4 5 2 2" xfId="7793" xr:uid="{00000000-0005-0000-0000-0000571A0000}"/>
    <cellStyle name="Normal 5 3 4 5 2 2 2" xfId="24676" xr:uid="{D86B8C2B-8C0F-4458-A31C-EDCB2385A253}"/>
    <cellStyle name="Normal 5 3 4 5 2 2 3" xfId="33122" xr:uid="{9A438F7A-9F08-4E4E-AE92-9F13B9579DF7}"/>
    <cellStyle name="Normal 5 3 4 5 2 2 4" xfId="16235" xr:uid="{8FCE7FC0-27BB-4B39-9464-850E95A41B6D}"/>
    <cellStyle name="Normal 5 3 4 5 2 3" xfId="20458" xr:uid="{6B57DD6C-DD6C-4966-979A-3F2E4FFA9D60}"/>
    <cellStyle name="Normal 5 3 4 5 2 4" xfId="28905" xr:uid="{E17254C7-CFC4-478C-8F98-774218BADF71}"/>
    <cellStyle name="Normal 5 3 4 5 2 5" xfId="12017" xr:uid="{552A481F-F8E1-4211-BDB4-9EA9C4236A56}"/>
    <cellStyle name="Normal 5 3 4 5 3" xfId="5648" xr:uid="{00000000-0005-0000-0000-0000581A0000}"/>
    <cellStyle name="Normal 5 3 4 5 3 2" xfId="22531" xr:uid="{C1A79696-C7C0-47EC-A5FA-3043A1DF28C0}"/>
    <cellStyle name="Normal 5 3 4 5 3 3" xfId="30977" xr:uid="{A1041CBF-E446-4BAF-827D-A9C3E4819D72}"/>
    <cellStyle name="Normal 5 3 4 5 3 4" xfId="14090" xr:uid="{52779C3B-42AF-422E-BB44-D4C33EABE19E}"/>
    <cellStyle name="Normal 5 3 4 5 4" xfId="18313" xr:uid="{C756F58D-BC77-4514-8755-50407F9AEEFB}"/>
    <cellStyle name="Normal 5 3 4 5 5" xfId="26758" xr:uid="{6ECE0AD1-A792-42F2-9698-DBAC46B3D892}"/>
    <cellStyle name="Normal 5 3 4 5 6" xfId="9872" xr:uid="{0D168255-C76B-4905-8338-6F1D67259477}"/>
    <cellStyle name="Normal 5 3 4 6" xfId="1753" xr:uid="{00000000-0005-0000-0000-0000591A0000}"/>
    <cellStyle name="Normal 5 3 4 6 2" xfId="3983" xr:uid="{00000000-0005-0000-0000-00005A1A0000}"/>
    <cellStyle name="Normal 5 3 4 6 2 2" xfId="8206" xr:uid="{00000000-0005-0000-0000-00005B1A0000}"/>
    <cellStyle name="Normal 5 3 4 6 2 2 2" xfId="25089" xr:uid="{1B43D92B-04A6-4719-806E-9A2077067145}"/>
    <cellStyle name="Normal 5 3 4 6 2 2 3" xfId="33535" xr:uid="{1C90513F-4396-4CF4-B610-1B14B22288A9}"/>
    <cellStyle name="Normal 5 3 4 6 2 2 4" xfId="16648" xr:uid="{26B93761-F2E1-40FE-9220-E00E996BD9BD}"/>
    <cellStyle name="Normal 5 3 4 6 2 3" xfId="20871" xr:uid="{2038208B-4689-4157-AC20-2A07B5E3A7C3}"/>
    <cellStyle name="Normal 5 3 4 6 2 4" xfId="29318" xr:uid="{D72A85DB-AA10-4508-A2E8-96FAAA153819}"/>
    <cellStyle name="Normal 5 3 4 6 2 5" xfId="12430" xr:uid="{B7FA3E4B-F290-4586-8DC9-92557B5948BB}"/>
    <cellStyle name="Normal 5 3 4 6 3" xfId="6061" xr:uid="{00000000-0005-0000-0000-00005C1A0000}"/>
    <cellStyle name="Normal 5 3 4 6 3 2" xfId="22944" xr:uid="{FC05A4E4-805A-4A5F-87BF-4AEC7C9FE7D0}"/>
    <cellStyle name="Normal 5 3 4 6 3 3" xfId="31390" xr:uid="{0DEE7B0C-0BF2-42E8-A92E-4F4D7C554E9B}"/>
    <cellStyle name="Normal 5 3 4 6 3 4" xfId="14503" xr:uid="{83363D41-DA5F-4CF7-A9C1-5989C7147015}"/>
    <cellStyle name="Normal 5 3 4 6 4" xfId="18726" xr:uid="{0C29D2FF-D37C-4DE0-A5FB-80A3A33099E3}"/>
    <cellStyle name="Normal 5 3 4 6 5" xfId="27171" xr:uid="{9AE54FA0-2075-46C6-BD1F-7E7FE12EB73D}"/>
    <cellStyle name="Normal 5 3 4 6 6" xfId="10285" xr:uid="{A033E274-FBF6-4646-A73F-51A44B1B10D7}"/>
    <cellStyle name="Normal 5 3 4 7" xfId="2167" xr:uid="{00000000-0005-0000-0000-00005D1A0000}"/>
    <cellStyle name="Normal 5 3 4 7 2" xfId="4396" xr:uid="{00000000-0005-0000-0000-00005E1A0000}"/>
    <cellStyle name="Normal 5 3 4 7 2 2" xfId="8619" xr:uid="{00000000-0005-0000-0000-00005F1A0000}"/>
    <cellStyle name="Normal 5 3 4 7 2 2 2" xfId="25502" xr:uid="{5BCD1732-784D-481D-9C3E-3652F2CF066B}"/>
    <cellStyle name="Normal 5 3 4 7 2 2 3" xfId="33948" xr:uid="{D0004298-890B-4F7F-B07B-C0D6EB6D312C}"/>
    <cellStyle name="Normal 5 3 4 7 2 2 4" xfId="17061" xr:uid="{2BBB12E4-CCEF-4F77-BFD5-726146D66719}"/>
    <cellStyle name="Normal 5 3 4 7 2 3" xfId="21284" xr:uid="{7C3F661A-0107-4028-A2DF-08259829E749}"/>
    <cellStyle name="Normal 5 3 4 7 2 4" xfId="29731" xr:uid="{32AA3142-BA14-49D6-9A0C-512C5456FEF5}"/>
    <cellStyle name="Normal 5 3 4 7 2 5" xfId="12843" xr:uid="{945001D2-9EBA-45C6-BB80-344953A9C1D8}"/>
    <cellStyle name="Normal 5 3 4 7 3" xfId="6474" xr:uid="{00000000-0005-0000-0000-0000601A0000}"/>
    <cellStyle name="Normal 5 3 4 7 3 2" xfId="23357" xr:uid="{80D7B3FE-5917-4682-B552-3131A0FD5CE4}"/>
    <cellStyle name="Normal 5 3 4 7 3 3" xfId="31803" xr:uid="{973A40D3-B67A-4E06-9271-8572E9DB2CC6}"/>
    <cellStyle name="Normal 5 3 4 7 3 4" xfId="14916" xr:uid="{7DE4E044-4CA3-44F3-B74B-7D17619C9A92}"/>
    <cellStyle name="Normal 5 3 4 7 4" xfId="19139" xr:uid="{BD4C88C3-815E-44EF-BB97-DB87F1F10DB8}"/>
    <cellStyle name="Normal 5 3 4 7 5" xfId="27584" xr:uid="{21D470DD-AA78-4B3F-BBD0-2053F8D9D24A}"/>
    <cellStyle name="Normal 5 3 4 7 6" xfId="10698" xr:uid="{46FEC05F-E1DF-43BE-B212-87DCC9D75419}"/>
    <cellStyle name="Normal 5 3 4 8" xfId="2603" xr:uid="{00000000-0005-0000-0000-0000611A0000}"/>
    <cellStyle name="Normal 5 3 4 8 2" xfId="6887" xr:uid="{00000000-0005-0000-0000-0000621A0000}"/>
    <cellStyle name="Normal 5 3 4 8 2 2" xfId="23770" xr:uid="{9A46CDCB-5577-4C96-AEDB-3D2755A2EF8F}"/>
    <cellStyle name="Normal 5 3 4 8 2 3" xfId="32216" xr:uid="{272BFCEF-9C46-4139-98A8-15F7AC908454}"/>
    <cellStyle name="Normal 5 3 4 8 2 4" xfId="15329" xr:uid="{9CC70998-810A-4A1F-A53A-4DADEE0681CA}"/>
    <cellStyle name="Normal 5 3 4 8 3" xfId="19552" xr:uid="{A495C145-CDC8-4E00-B62B-CFF4D49346A6}"/>
    <cellStyle name="Normal 5 3 4 8 4" xfId="27997" xr:uid="{E25ED97D-E129-4CDB-A6EB-AAB9C19D43B2}"/>
    <cellStyle name="Normal 5 3 4 8 5" xfId="11111" xr:uid="{0E233CC5-753B-40B4-874F-0BCD96482402}"/>
    <cellStyle name="Normal 5 3 4 9" xfId="4822" xr:uid="{00000000-0005-0000-0000-0000631A0000}"/>
    <cellStyle name="Normal 5 3 4 9 2" xfId="21705" xr:uid="{4384BCE0-8581-4FFF-BE77-314DD606A465}"/>
    <cellStyle name="Normal 5 3 4 9 3" xfId="30151" xr:uid="{9E8AFA2E-7596-4B7B-9DC1-6139F003BAAB}"/>
    <cellStyle name="Normal 5 3 4 9 4" xfId="13264" xr:uid="{E2116769-FD4D-44B4-94C3-9564F29363E1}"/>
    <cellStyle name="Normal 5 3 5" xfId="453" xr:uid="{00000000-0005-0000-0000-0000641A0000}"/>
    <cellStyle name="Normal 5 3 5 10" xfId="25935" xr:uid="{B7CBE572-8E32-4472-8135-0733251D4572}"/>
    <cellStyle name="Normal 5 3 5 11" xfId="9050" xr:uid="{0C521D69-D34A-4153-A152-8C5A5E24A002}"/>
    <cellStyle name="Normal 5 3 5 2" xfId="454" xr:uid="{00000000-0005-0000-0000-0000651A0000}"/>
    <cellStyle name="Normal 5 3 5 2 10" xfId="9051" xr:uid="{BF0368A1-360A-40F5-860C-2972B0891F4E}"/>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24268" xr:uid="{1A545F6C-C52B-43CA-A4C0-F86C02277CEC}"/>
    <cellStyle name="Normal 5 3 5 2 2 2 2 3" xfId="32714" xr:uid="{81954347-F48B-496C-80E1-3C4AA18C7AEA}"/>
    <cellStyle name="Normal 5 3 5 2 2 2 2 4" xfId="15827" xr:uid="{1052D75A-CCB2-4E0F-9B9C-303C2F7D1F38}"/>
    <cellStyle name="Normal 5 3 5 2 2 2 3" xfId="20050" xr:uid="{9F4B0610-D8A2-4D8D-A24F-3059C44F82A8}"/>
    <cellStyle name="Normal 5 3 5 2 2 2 4" xfId="28497" xr:uid="{12C76C7F-F067-4A48-A9A4-1BCBB4BF72DD}"/>
    <cellStyle name="Normal 5 3 5 2 2 2 5" xfId="11609" xr:uid="{FAF742E9-8638-42B3-924A-832D0AB0FDF3}"/>
    <cellStyle name="Normal 5 3 5 2 2 3" xfId="5240" xr:uid="{00000000-0005-0000-0000-0000691A0000}"/>
    <cellStyle name="Normal 5 3 5 2 2 3 2" xfId="22123" xr:uid="{10E4F9D1-2A83-480A-B623-80BC8295FD96}"/>
    <cellStyle name="Normal 5 3 5 2 2 3 3" xfId="30569" xr:uid="{98ABAC4C-72C4-4466-B987-AD9842BEF0E6}"/>
    <cellStyle name="Normal 5 3 5 2 2 3 4" xfId="13682" xr:uid="{1EB1F292-A0F4-4A70-BE96-2F4391D36E88}"/>
    <cellStyle name="Normal 5 3 5 2 2 4" xfId="17905" xr:uid="{2B1AB0DC-F602-4CE1-9D3C-D60D6977F7CB}"/>
    <cellStyle name="Normal 5 3 5 2 2 5" xfId="26350" xr:uid="{D8C59D28-3B02-46B2-9B98-2844428A6144}"/>
    <cellStyle name="Normal 5 3 5 2 2 6" xfId="9464" xr:uid="{BBE5AE1B-B75A-4470-8C69-98D0EFE47E0C}"/>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24681" xr:uid="{5203E53B-41B2-4E0A-B6FF-279721E1B17B}"/>
    <cellStyle name="Normal 5 3 5 2 3 2 2 3" xfId="33127" xr:uid="{ED94B251-5DFE-4CD4-A787-49ED05DF2D79}"/>
    <cellStyle name="Normal 5 3 5 2 3 2 2 4" xfId="16240" xr:uid="{107E75D4-A888-4976-B90A-4AD2AB877651}"/>
    <cellStyle name="Normal 5 3 5 2 3 2 3" xfId="20463" xr:uid="{CD07428D-082D-4023-8677-EB8FC3C437E7}"/>
    <cellStyle name="Normal 5 3 5 2 3 2 4" xfId="28910" xr:uid="{29F85F01-F005-4604-AC22-9B38E252EAFA}"/>
    <cellStyle name="Normal 5 3 5 2 3 2 5" xfId="12022" xr:uid="{8EAEA2E9-A6D5-4F7A-8A10-E9AB8BCB4443}"/>
    <cellStyle name="Normal 5 3 5 2 3 3" xfId="5653" xr:uid="{00000000-0005-0000-0000-00006D1A0000}"/>
    <cellStyle name="Normal 5 3 5 2 3 3 2" xfId="22536" xr:uid="{C3F84DB0-F7D5-4BDB-8E24-D60497B2AFEC}"/>
    <cellStyle name="Normal 5 3 5 2 3 3 3" xfId="30982" xr:uid="{2FB3F786-0F54-4334-BE05-3E1A1C16DCD9}"/>
    <cellStyle name="Normal 5 3 5 2 3 3 4" xfId="14095" xr:uid="{B5B69BE8-264F-4129-8B84-F105863D19DC}"/>
    <cellStyle name="Normal 5 3 5 2 3 4" xfId="18318" xr:uid="{FB80306E-4C9C-4CD0-B062-78A38EA188AA}"/>
    <cellStyle name="Normal 5 3 5 2 3 5" xfId="26763" xr:uid="{09599199-A1B7-4B35-A88E-8D4862857564}"/>
    <cellStyle name="Normal 5 3 5 2 3 6" xfId="9877" xr:uid="{0E8EEBB4-6B35-4AD7-9D84-E555EDE962B6}"/>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25094" xr:uid="{12CD4684-1E85-405A-953E-715EE67F05E1}"/>
    <cellStyle name="Normal 5 3 5 2 4 2 2 3" xfId="33540" xr:uid="{1549187A-BFEA-4D7F-AC54-CC0B139FCD90}"/>
    <cellStyle name="Normal 5 3 5 2 4 2 2 4" xfId="16653" xr:uid="{41819286-848B-4BF8-8C2B-5FCC4633DD6A}"/>
    <cellStyle name="Normal 5 3 5 2 4 2 3" xfId="20876" xr:uid="{AB82E64A-CBFC-4904-B30B-3594A7C62F87}"/>
    <cellStyle name="Normal 5 3 5 2 4 2 4" xfId="29323" xr:uid="{747FE197-6506-49E5-8E06-551DEA979AB6}"/>
    <cellStyle name="Normal 5 3 5 2 4 2 5" xfId="12435" xr:uid="{1411E1D8-7CDA-4C3E-A301-C2A6B52CBFC8}"/>
    <cellStyle name="Normal 5 3 5 2 4 3" xfId="6066" xr:uid="{00000000-0005-0000-0000-0000711A0000}"/>
    <cellStyle name="Normal 5 3 5 2 4 3 2" xfId="22949" xr:uid="{83068388-9246-4B3A-946F-7587CBD0C04D}"/>
    <cellStyle name="Normal 5 3 5 2 4 3 3" xfId="31395" xr:uid="{9B09BC86-00A9-40A5-8EC5-6F69DBEC00E2}"/>
    <cellStyle name="Normal 5 3 5 2 4 3 4" xfId="14508" xr:uid="{1258FBFC-C033-41F9-ADE1-1C618A7E57FD}"/>
    <cellStyle name="Normal 5 3 5 2 4 4" xfId="18731" xr:uid="{E0F5473F-45AB-4CEC-A0C5-2CD190D4EA40}"/>
    <cellStyle name="Normal 5 3 5 2 4 5" xfId="27176" xr:uid="{2DB9FB15-8C0B-4BAC-889E-08E8D8FE4715}"/>
    <cellStyle name="Normal 5 3 5 2 4 6" xfId="10290" xr:uid="{0B89E417-AADC-4A4D-A6D1-A784DC1649BC}"/>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25507" xr:uid="{974214A6-443E-4D63-AFB0-5E382B0142AE}"/>
    <cellStyle name="Normal 5 3 5 2 5 2 2 3" xfId="33953" xr:uid="{CE38B80F-5505-4874-9C0C-58C7CCFFC97B}"/>
    <cellStyle name="Normal 5 3 5 2 5 2 2 4" xfId="17066" xr:uid="{32687820-FC40-4F9C-BE2D-5B5F1EDB5E45}"/>
    <cellStyle name="Normal 5 3 5 2 5 2 3" xfId="21289" xr:uid="{95731190-A5EC-40F7-9E90-438EC569ACFF}"/>
    <cellStyle name="Normal 5 3 5 2 5 2 4" xfId="29736" xr:uid="{F7C92A64-3848-4744-AEF1-6852BE14C3C0}"/>
    <cellStyle name="Normal 5 3 5 2 5 2 5" xfId="12848" xr:uid="{F21292AD-A702-4A5C-916C-E49D85473BD5}"/>
    <cellStyle name="Normal 5 3 5 2 5 3" xfId="6479" xr:uid="{00000000-0005-0000-0000-0000751A0000}"/>
    <cellStyle name="Normal 5 3 5 2 5 3 2" xfId="23362" xr:uid="{F428A7FF-E5BC-4723-84E2-6D344B0C6C41}"/>
    <cellStyle name="Normal 5 3 5 2 5 3 3" xfId="31808" xr:uid="{27B5E6BE-474E-4C30-90BF-9A66375EFBCA}"/>
    <cellStyle name="Normal 5 3 5 2 5 3 4" xfId="14921" xr:uid="{01448B0F-BB9A-4AC6-AB15-CEF400129807}"/>
    <cellStyle name="Normal 5 3 5 2 5 4" xfId="19144" xr:uid="{FE66E90B-0DE0-461D-9B0D-CF4CB0FE3B42}"/>
    <cellStyle name="Normal 5 3 5 2 5 5" xfId="27589" xr:uid="{C1AF9FE9-74F9-4F91-BB7E-026F53771499}"/>
    <cellStyle name="Normal 5 3 5 2 5 6" xfId="10703" xr:uid="{B30FCA1C-830E-4A20-83BE-279FBD1964C6}"/>
    <cellStyle name="Normal 5 3 5 2 6" xfId="2608" xr:uid="{00000000-0005-0000-0000-0000761A0000}"/>
    <cellStyle name="Normal 5 3 5 2 6 2" xfId="6892" xr:uid="{00000000-0005-0000-0000-0000771A0000}"/>
    <cellStyle name="Normal 5 3 5 2 6 2 2" xfId="23775" xr:uid="{C2608075-0F7F-43EE-84E4-F6FB3F3D2A47}"/>
    <cellStyle name="Normal 5 3 5 2 6 2 3" xfId="32221" xr:uid="{8403CD18-08EB-4B2C-85A6-DA5D4E1E6262}"/>
    <cellStyle name="Normal 5 3 5 2 6 2 4" xfId="15334" xr:uid="{852609E6-8910-4E8A-8824-0808FC948691}"/>
    <cellStyle name="Normal 5 3 5 2 6 3" xfId="19557" xr:uid="{0C20991F-9204-42C5-BD6F-0A67274CB251}"/>
    <cellStyle name="Normal 5 3 5 2 6 4" xfId="28002" xr:uid="{88B7C634-60A8-4077-8426-0A2DDEC3BD05}"/>
    <cellStyle name="Normal 5 3 5 2 6 5" xfId="11116" xr:uid="{BEFA6E22-3A1C-4229-8D09-B5673EFD33E5}"/>
    <cellStyle name="Normal 5 3 5 2 7" xfId="4827" xr:uid="{00000000-0005-0000-0000-0000781A0000}"/>
    <cellStyle name="Normal 5 3 5 2 7 2" xfId="21710" xr:uid="{F02779D5-67E3-49CD-B267-E76A230EE09C}"/>
    <cellStyle name="Normal 5 3 5 2 7 3" xfId="30156" xr:uid="{D1E2AB6B-6255-4FB0-AF97-D2CF42BDA3C0}"/>
    <cellStyle name="Normal 5 3 5 2 7 4" xfId="13269" xr:uid="{394936D7-E4A6-48B1-9FE9-52F27D952170}"/>
    <cellStyle name="Normal 5 3 5 2 8" xfId="17492" xr:uid="{C32FE0ED-250B-44D3-BA85-F72CCEEF9572}"/>
    <cellStyle name="Normal 5 3 5 2 9" xfId="25936" xr:uid="{482232B4-B720-4D07-8E29-DDF2ADDCDC15}"/>
    <cellStyle name="Normal 5 3 5 3" xfId="927" xr:uid="{00000000-0005-0000-0000-0000791A0000}"/>
    <cellStyle name="Normal 5 3 5 3 2" xfId="3161" xr:uid="{00000000-0005-0000-0000-00007A1A0000}"/>
    <cellStyle name="Normal 5 3 5 3 2 2" xfId="7384" xr:uid="{00000000-0005-0000-0000-00007B1A0000}"/>
    <cellStyle name="Normal 5 3 5 3 2 2 2" xfId="24267" xr:uid="{4570C573-9F49-489F-AD58-4E213165CC78}"/>
    <cellStyle name="Normal 5 3 5 3 2 2 3" xfId="32713" xr:uid="{B38C06EF-2175-42E1-BBF7-A93D94B086C1}"/>
    <cellStyle name="Normal 5 3 5 3 2 2 4" xfId="15826" xr:uid="{A8189E6B-AC11-4917-A3A2-9B54850FBBC6}"/>
    <cellStyle name="Normal 5 3 5 3 2 3" xfId="20049" xr:uid="{8EFE9635-01A8-45E0-9329-8ED5A559D87F}"/>
    <cellStyle name="Normal 5 3 5 3 2 4" xfId="28496" xr:uid="{5BD3A7A1-F06D-472B-9E39-D17D59C072D5}"/>
    <cellStyle name="Normal 5 3 5 3 2 5" xfId="11608" xr:uid="{19973CE4-EDA3-413C-82B4-8B3FF64A17E2}"/>
    <cellStyle name="Normal 5 3 5 3 3" xfId="5239" xr:uid="{00000000-0005-0000-0000-00007C1A0000}"/>
    <cellStyle name="Normal 5 3 5 3 3 2" xfId="22122" xr:uid="{813C3631-3CA4-4A51-B6A5-80A58CBD8ADC}"/>
    <cellStyle name="Normal 5 3 5 3 3 3" xfId="30568" xr:uid="{2247307C-6272-47C2-A278-44AFCAF400AA}"/>
    <cellStyle name="Normal 5 3 5 3 3 4" xfId="13681" xr:uid="{931F7FBF-911C-4426-9007-DFC245D0864D}"/>
    <cellStyle name="Normal 5 3 5 3 4" xfId="17904" xr:uid="{FD49498B-B5FE-43F7-878E-082A6781B7CB}"/>
    <cellStyle name="Normal 5 3 5 3 5" xfId="26349" xr:uid="{4064EB33-351E-43B2-829F-5471C9A0F4FF}"/>
    <cellStyle name="Normal 5 3 5 3 6" xfId="9463" xr:uid="{DCF09754-A344-48A1-9777-408E3F51A5B2}"/>
    <cellStyle name="Normal 5 3 5 4" xfId="1344" xr:uid="{00000000-0005-0000-0000-00007D1A0000}"/>
    <cellStyle name="Normal 5 3 5 4 2" xfId="3574" xr:uid="{00000000-0005-0000-0000-00007E1A0000}"/>
    <cellStyle name="Normal 5 3 5 4 2 2" xfId="7797" xr:uid="{00000000-0005-0000-0000-00007F1A0000}"/>
    <cellStyle name="Normal 5 3 5 4 2 2 2" xfId="24680" xr:uid="{25F8CCC7-9BFC-4F4A-A07F-097BC1DF2225}"/>
    <cellStyle name="Normal 5 3 5 4 2 2 3" xfId="33126" xr:uid="{BABE3794-AB30-4587-B13A-C657730DEEFD}"/>
    <cellStyle name="Normal 5 3 5 4 2 2 4" xfId="16239" xr:uid="{2F5FAE8C-4EEB-4909-8E60-3D35962349A8}"/>
    <cellStyle name="Normal 5 3 5 4 2 3" xfId="20462" xr:uid="{FCDB7515-BEC6-41C1-8539-B19AFB9B64CD}"/>
    <cellStyle name="Normal 5 3 5 4 2 4" xfId="28909" xr:uid="{F78BC402-58B7-46B2-ABD7-B6D6E79D6FD8}"/>
    <cellStyle name="Normal 5 3 5 4 2 5" xfId="12021" xr:uid="{F945F1B9-EEB8-443D-B594-E5FFF87443CF}"/>
    <cellStyle name="Normal 5 3 5 4 3" xfId="5652" xr:uid="{00000000-0005-0000-0000-0000801A0000}"/>
    <cellStyle name="Normal 5 3 5 4 3 2" xfId="22535" xr:uid="{BF87B5CC-882B-4E83-8766-2640172FD7BA}"/>
    <cellStyle name="Normal 5 3 5 4 3 3" xfId="30981" xr:uid="{11B29029-0B75-4CE3-817E-FE3EE355CEB9}"/>
    <cellStyle name="Normal 5 3 5 4 3 4" xfId="14094" xr:uid="{9351531F-D407-4031-947A-0F472CAA13F7}"/>
    <cellStyle name="Normal 5 3 5 4 4" xfId="18317" xr:uid="{10C44029-9B01-4B1D-B838-B7F3CE21CA0C}"/>
    <cellStyle name="Normal 5 3 5 4 5" xfId="26762" xr:uid="{CA85B2AD-10B6-4EBB-9CD7-4CCC3996F975}"/>
    <cellStyle name="Normal 5 3 5 4 6" xfId="9876" xr:uid="{6C7022CC-F1C6-4A1D-A4C6-B3B678FC4611}"/>
    <cellStyle name="Normal 5 3 5 5" xfId="1757" xr:uid="{00000000-0005-0000-0000-0000811A0000}"/>
    <cellStyle name="Normal 5 3 5 5 2" xfId="3987" xr:uid="{00000000-0005-0000-0000-0000821A0000}"/>
    <cellStyle name="Normal 5 3 5 5 2 2" xfId="8210" xr:uid="{00000000-0005-0000-0000-0000831A0000}"/>
    <cellStyle name="Normal 5 3 5 5 2 2 2" xfId="25093" xr:uid="{3F33E040-15E0-4B3F-84AA-66CE07AFD58C}"/>
    <cellStyle name="Normal 5 3 5 5 2 2 3" xfId="33539" xr:uid="{D731F57E-DA01-4189-B18F-EF695A470B9F}"/>
    <cellStyle name="Normal 5 3 5 5 2 2 4" xfId="16652" xr:uid="{C7BE4658-D8E6-4545-8643-14773235313D}"/>
    <cellStyle name="Normal 5 3 5 5 2 3" xfId="20875" xr:uid="{9E493796-544D-4065-B4BB-CEA4333861ED}"/>
    <cellStyle name="Normal 5 3 5 5 2 4" xfId="29322" xr:uid="{1E541455-395B-4E5B-A42E-5B868D3ADFB5}"/>
    <cellStyle name="Normal 5 3 5 5 2 5" xfId="12434" xr:uid="{F622473A-D3FC-4A1F-BB41-16FDC4563119}"/>
    <cellStyle name="Normal 5 3 5 5 3" xfId="6065" xr:uid="{00000000-0005-0000-0000-0000841A0000}"/>
    <cellStyle name="Normal 5 3 5 5 3 2" xfId="22948" xr:uid="{0E1E002B-A39E-4BC6-A3CC-C4B0915ABA3A}"/>
    <cellStyle name="Normal 5 3 5 5 3 3" xfId="31394" xr:uid="{69BE6185-EE50-48E0-8C0C-3495263C689E}"/>
    <cellStyle name="Normal 5 3 5 5 3 4" xfId="14507" xr:uid="{886658FD-BE64-4099-818D-B2F8E67CBC74}"/>
    <cellStyle name="Normal 5 3 5 5 4" xfId="18730" xr:uid="{95DDCFB1-F8F9-4480-95CF-D11930F63055}"/>
    <cellStyle name="Normal 5 3 5 5 5" xfId="27175" xr:uid="{0CDDA574-4002-4DFA-8F9D-CE8E91C08BC0}"/>
    <cellStyle name="Normal 5 3 5 5 6" xfId="10289" xr:uid="{9DA61E74-BAEA-4537-9667-1F93E1BA79A2}"/>
    <cellStyle name="Normal 5 3 5 6" xfId="2171" xr:uid="{00000000-0005-0000-0000-0000851A0000}"/>
    <cellStyle name="Normal 5 3 5 6 2" xfId="4400" xr:uid="{00000000-0005-0000-0000-0000861A0000}"/>
    <cellStyle name="Normal 5 3 5 6 2 2" xfId="8623" xr:uid="{00000000-0005-0000-0000-0000871A0000}"/>
    <cellStyle name="Normal 5 3 5 6 2 2 2" xfId="25506" xr:uid="{659B4A8E-776E-4611-A197-5EF4FB1766F8}"/>
    <cellStyle name="Normal 5 3 5 6 2 2 3" xfId="33952" xr:uid="{121E959E-A76A-453D-86DF-B6CF26B32CA3}"/>
    <cellStyle name="Normal 5 3 5 6 2 2 4" xfId="17065" xr:uid="{C6727AB3-4F0C-48AC-8947-4424BCE2B5A3}"/>
    <cellStyle name="Normal 5 3 5 6 2 3" xfId="21288" xr:uid="{702710AD-43DD-441C-B613-F795FB2774AA}"/>
    <cellStyle name="Normal 5 3 5 6 2 4" xfId="29735" xr:uid="{7E1CE3BA-9AD1-4106-8096-1ABF6907BD16}"/>
    <cellStyle name="Normal 5 3 5 6 2 5" xfId="12847" xr:uid="{5AF050E9-9C07-4FF0-89FE-C8CA9815A38B}"/>
    <cellStyle name="Normal 5 3 5 6 3" xfId="6478" xr:uid="{00000000-0005-0000-0000-0000881A0000}"/>
    <cellStyle name="Normal 5 3 5 6 3 2" xfId="23361" xr:uid="{83AD3EC3-B5C9-4A1D-A9CF-03A2CA126003}"/>
    <cellStyle name="Normal 5 3 5 6 3 3" xfId="31807" xr:uid="{6832A307-CE01-4B70-BB2C-558762FE721B}"/>
    <cellStyle name="Normal 5 3 5 6 3 4" xfId="14920" xr:uid="{4E683258-925F-4E03-8D6C-67B88F9BFA06}"/>
    <cellStyle name="Normal 5 3 5 6 4" xfId="19143" xr:uid="{5869CA10-2320-43F4-85D2-8B0269B787DD}"/>
    <cellStyle name="Normal 5 3 5 6 5" xfId="27588" xr:uid="{79D20A18-81C1-4AE7-B981-DD19B1EA95AE}"/>
    <cellStyle name="Normal 5 3 5 6 6" xfId="10702" xr:uid="{0C8BB949-639F-482F-8E3E-80461DDB78DB}"/>
    <cellStyle name="Normal 5 3 5 7" xfId="2607" xr:uid="{00000000-0005-0000-0000-0000891A0000}"/>
    <cellStyle name="Normal 5 3 5 7 2" xfId="6891" xr:uid="{00000000-0005-0000-0000-00008A1A0000}"/>
    <cellStyle name="Normal 5 3 5 7 2 2" xfId="23774" xr:uid="{F488FBB3-AF96-4C6A-A588-29A72B2EE60A}"/>
    <cellStyle name="Normal 5 3 5 7 2 3" xfId="32220" xr:uid="{71A48C2E-2DDA-4F18-A8D1-BC9AB0856DDB}"/>
    <cellStyle name="Normal 5 3 5 7 2 4" xfId="15333" xr:uid="{8DF35A7E-8437-458F-B537-A77461C78BA5}"/>
    <cellStyle name="Normal 5 3 5 7 3" xfId="19556" xr:uid="{63A28BE4-95CD-46EC-BFA3-FD8E7315A3F8}"/>
    <cellStyle name="Normal 5 3 5 7 4" xfId="28001" xr:uid="{F5069216-EF33-4D5E-B6AB-593C88B99A32}"/>
    <cellStyle name="Normal 5 3 5 7 5" xfId="11115" xr:uid="{AE8E27DE-FA94-450B-8449-651AE0CE6632}"/>
    <cellStyle name="Normal 5 3 5 8" xfId="4826" xr:uid="{00000000-0005-0000-0000-00008B1A0000}"/>
    <cellStyle name="Normal 5 3 5 8 2" xfId="21709" xr:uid="{DFBEA618-932F-4440-9CB4-651751253DDE}"/>
    <cellStyle name="Normal 5 3 5 8 3" xfId="30155" xr:uid="{AAE2BB6E-4631-4DA7-ADF9-0286470FC3D5}"/>
    <cellStyle name="Normal 5 3 5 8 4" xfId="13268" xr:uid="{C001A086-80D8-49A7-B303-6C6EA1AD5504}"/>
    <cellStyle name="Normal 5 3 5 9" xfId="17491" xr:uid="{7D1AE841-ECF9-4E79-A840-C6CC1CC24D87}"/>
    <cellStyle name="Normal 5 3 6" xfId="455" xr:uid="{00000000-0005-0000-0000-00008C1A0000}"/>
    <cellStyle name="Normal 5 3 6 10" xfId="9052" xr:uid="{384E9650-2B67-4D8F-B528-358FDE13AF24}"/>
    <cellStyle name="Normal 5 3 6 2" xfId="929" xr:uid="{00000000-0005-0000-0000-00008D1A0000}"/>
    <cellStyle name="Normal 5 3 6 2 2" xfId="3163" xr:uid="{00000000-0005-0000-0000-00008E1A0000}"/>
    <cellStyle name="Normal 5 3 6 2 2 2" xfId="7386" xr:uid="{00000000-0005-0000-0000-00008F1A0000}"/>
    <cellStyle name="Normal 5 3 6 2 2 2 2" xfId="24269" xr:uid="{5F9A00C6-A823-4EA4-B631-1573188C188D}"/>
    <cellStyle name="Normal 5 3 6 2 2 2 3" xfId="32715" xr:uid="{94CB37EA-83E7-4137-9BD5-B0191BED71CE}"/>
    <cellStyle name="Normal 5 3 6 2 2 2 4" xfId="15828" xr:uid="{080F9603-602E-408B-A316-3A79FC4FC46D}"/>
    <cellStyle name="Normal 5 3 6 2 2 3" xfId="20051" xr:uid="{A86C450C-BF73-477D-8C1B-D7974D457C6F}"/>
    <cellStyle name="Normal 5 3 6 2 2 4" xfId="28498" xr:uid="{38D48E77-A242-4AD4-BADB-A3350DFA9475}"/>
    <cellStyle name="Normal 5 3 6 2 2 5" xfId="11610" xr:uid="{3F1D17AF-886B-4524-AEDC-08A65B6A6F01}"/>
    <cellStyle name="Normal 5 3 6 2 3" xfId="5241" xr:uid="{00000000-0005-0000-0000-0000901A0000}"/>
    <cellStyle name="Normal 5 3 6 2 3 2" xfId="22124" xr:uid="{69D7019E-DDB1-4F06-A635-14F22A7B4D95}"/>
    <cellStyle name="Normal 5 3 6 2 3 3" xfId="30570" xr:uid="{AC32A875-5C6A-48D2-98D0-6CF81923A13F}"/>
    <cellStyle name="Normal 5 3 6 2 3 4" xfId="13683" xr:uid="{8592555E-7E68-4E40-9137-73BC37ED2205}"/>
    <cellStyle name="Normal 5 3 6 2 4" xfId="17906" xr:uid="{26424B2E-150B-497D-8B01-EBEC9155BE38}"/>
    <cellStyle name="Normal 5 3 6 2 5" xfId="26351" xr:uid="{15267FF6-3ABF-4625-A662-2B9035C5DF2C}"/>
    <cellStyle name="Normal 5 3 6 2 6" xfId="9465" xr:uid="{72F6BAC8-DEF6-45F9-8151-6859FFF559F5}"/>
    <cellStyle name="Normal 5 3 6 3" xfId="1346" xr:uid="{00000000-0005-0000-0000-0000911A0000}"/>
    <cellStyle name="Normal 5 3 6 3 2" xfId="3576" xr:uid="{00000000-0005-0000-0000-0000921A0000}"/>
    <cellStyle name="Normal 5 3 6 3 2 2" xfId="7799" xr:uid="{00000000-0005-0000-0000-0000931A0000}"/>
    <cellStyle name="Normal 5 3 6 3 2 2 2" xfId="24682" xr:uid="{2DF804E1-AA1F-4FED-8781-EE6A75E0BDAD}"/>
    <cellStyle name="Normal 5 3 6 3 2 2 3" xfId="33128" xr:uid="{04B83254-B01C-45A1-B1F3-816B8A5FB7E4}"/>
    <cellStyle name="Normal 5 3 6 3 2 2 4" xfId="16241" xr:uid="{EA2A7BF7-4AC3-4741-A793-0A1AD6FD951E}"/>
    <cellStyle name="Normal 5 3 6 3 2 3" xfId="20464" xr:uid="{F9A4CAA7-15C4-4D66-8A4D-A9BF6BCCB2AE}"/>
    <cellStyle name="Normal 5 3 6 3 2 4" xfId="28911" xr:uid="{94C7D9F9-635F-47D3-8928-32182BB71D4B}"/>
    <cellStyle name="Normal 5 3 6 3 2 5" xfId="12023" xr:uid="{676D7177-2330-4F55-A131-66CACC33D51A}"/>
    <cellStyle name="Normal 5 3 6 3 3" xfId="5654" xr:uid="{00000000-0005-0000-0000-0000941A0000}"/>
    <cellStyle name="Normal 5 3 6 3 3 2" xfId="22537" xr:uid="{7E948C5F-58A1-49AA-AF60-DE1EA0F660E8}"/>
    <cellStyle name="Normal 5 3 6 3 3 3" xfId="30983" xr:uid="{79A7EA48-50CC-4F37-9109-E5178104FFBE}"/>
    <cellStyle name="Normal 5 3 6 3 3 4" xfId="14096" xr:uid="{30CEE3A1-F099-4C3C-BA1A-D7E5E09600DE}"/>
    <cellStyle name="Normal 5 3 6 3 4" xfId="18319" xr:uid="{3F990934-3BEF-4D93-B319-414F15B127C9}"/>
    <cellStyle name="Normal 5 3 6 3 5" xfId="26764" xr:uid="{34B93485-2265-4DDC-82C3-9B362C0E3688}"/>
    <cellStyle name="Normal 5 3 6 3 6" xfId="9878" xr:uid="{24944919-15EA-4338-9FAC-53882BFD41A3}"/>
    <cellStyle name="Normal 5 3 6 4" xfId="1759" xr:uid="{00000000-0005-0000-0000-0000951A0000}"/>
    <cellStyle name="Normal 5 3 6 4 2" xfId="3989" xr:uid="{00000000-0005-0000-0000-0000961A0000}"/>
    <cellStyle name="Normal 5 3 6 4 2 2" xfId="8212" xr:uid="{00000000-0005-0000-0000-0000971A0000}"/>
    <cellStyle name="Normal 5 3 6 4 2 2 2" xfId="25095" xr:uid="{39508718-8FF6-4746-81A6-AE58F0D10E70}"/>
    <cellStyle name="Normal 5 3 6 4 2 2 3" xfId="33541" xr:uid="{77EE4FAC-16E8-4A62-B60D-61393E30CD1D}"/>
    <cellStyle name="Normal 5 3 6 4 2 2 4" xfId="16654" xr:uid="{FD86FA4E-CE2D-4086-A05E-E89CCE2197A8}"/>
    <cellStyle name="Normal 5 3 6 4 2 3" xfId="20877" xr:uid="{1BB94640-E545-45B0-97EC-B247EED09E1A}"/>
    <cellStyle name="Normal 5 3 6 4 2 4" xfId="29324" xr:uid="{FDAAE4CE-2DC0-4407-8299-D00B57A68289}"/>
    <cellStyle name="Normal 5 3 6 4 2 5" xfId="12436" xr:uid="{E48EC36F-5F47-48B7-BCF8-F0D3ABFE1734}"/>
    <cellStyle name="Normal 5 3 6 4 3" xfId="6067" xr:uid="{00000000-0005-0000-0000-0000981A0000}"/>
    <cellStyle name="Normal 5 3 6 4 3 2" xfId="22950" xr:uid="{6839585A-9E5C-4946-A2A6-492B494FFA95}"/>
    <cellStyle name="Normal 5 3 6 4 3 3" xfId="31396" xr:uid="{DF55CBF7-0505-4820-87A8-FD9CE0B19F75}"/>
    <cellStyle name="Normal 5 3 6 4 3 4" xfId="14509" xr:uid="{E2C10FDE-6462-42C1-BC0B-992575F4651C}"/>
    <cellStyle name="Normal 5 3 6 4 4" xfId="18732" xr:uid="{6179B1ED-7DF5-4DFC-B26B-1B8937B0C833}"/>
    <cellStyle name="Normal 5 3 6 4 5" xfId="27177" xr:uid="{68CA5BE3-35A3-4D0F-AD15-9E04C7C4A3AC}"/>
    <cellStyle name="Normal 5 3 6 4 6" xfId="10291" xr:uid="{1B4C41FF-FFCA-4FA1-A2CA-1D5755FF60E9}"/>
    <cellStyle name="Normal 5 3 6 5" xfId="2173" xr:uid="{00000000-0005-0000-0000-0000991A0000}"/>
    <cellStyle name="Normal 5 3 6 5 2" xfId="4402" xr:uid="{00000000-0005-0000-0000-00009A1A0000}"/>
    <cellStyle name="Normal 5 3 6 5 2 2" xfId="8625" xr:uid="{00000000-0005-0000-0000-00009B1A0000}"/>
    <cellStyle name="Normal 5 3 6 5 2 2 2" xfId="25508" xr:uid="{C6E73248-72B0-450C-B839-FC1FDCB10E4A}"/>
    <cellStyle name="Normal 5 3 6 5 2 2 3" xfId="33954" xr:uid="{74E052D9-1188-433D-BAA6-C63318343ACB}"/>
    <cellStyle name="Normal 5 3 6 5 2 2 4" xfId="17067" xr:uid="{289145EF-F173-49EE-ADB7-89E13425D415}"/>
    <cellStyle name="Normal 5 3 6 5 2 3" xfId="21290" xr:uid="{5E983167-88BF-4B30-87EF-2768FB5B219A}"/>
    <cellStyle name="Normal 5 3 6 5 2 4" xfId="29737" xr:uid="{EAE278D0-BFFB-4B3D-9021-75D68D901699}"/>
    <cellStyle name="Normal 5 3 6 5 2 5" xfId="12849" xr:uid="{1D706F48-D997-4FA2-B3BC-9C5A8A5F7644}"/>
    <cellStyle name="Normal 5 3 6 5 3" xfId="6480" xr:uid="{00000000-0005-0000-0000-00009C1A0000}"/>
    <cellStyle name="Normal 5 3 6 5 3 2" xfId="23363" xr:uid="{F2B68640-9C60-44C7-B700-89D0E69928EC}"/>
    <cellStyle name="Normal 5 3 6 5 3 3" xfId="31809" xr:uid="{6B750FC4-C968-44D8-9597-673D786F64D4}"/>
    <cellStyle name="Normal 5 3 6 5 3 4" xfId="14922" xr:uid="{692FCF12-E1B2-4035-9F5A-6EBA9FED5158}"/>
    <cellStyle name="Normal 5 3 6 5 4" xfId="19145" xr:uid="{63984051-0332-4662-B912-7FDEAE23C462}"/>
    <cellStyle name="Normal 5 3 6 5 5" xfId="27590" xr:uid="{69E6887C-80D9-44E9-BCCF-F5CD1A39D824}"/>
    <cellStyle name="Normal 5 3 6 5 6" xfId="10704" xr:uid="{FFDF8CB3-2128-4C1D-9B22-A81281B94130}"/>
    <cellStyle name="Normal 5 3 6 6" xfId="2609" xr:uid="{00000000-0005-0000-0000-00009D1A0000}"/>
    <cellStyle name="Normal 5 3 6 6 2" xfId="6893" xr:uid="{00000000-0005-0000-0000-00009E1A0000}"/>
    <cellStyle name="Normal 5 3 6 6 2 2" xfId="23776" xr:uid="{D3960844-1CB3-474E-A182-2D9903F9CF5D}"/>
    <cellStyle name="Normal 5 3 6 6 2 3" xfId="32222" xr:uid="{2235F9E6-446A-4602-8D75-E6EFD2AD1A02}"/>
    <cellStyle name="Normal 5 3 6 6 2 4" xfId="15335" xr:uid="{FE226A3B-ABB9-4543-BF4E-4BBDC6AAADB6}"/>
    <cellStyle name="Normal 5 3 6 6 3" xfId="19558" xr:uid="{EED5C1A7-A6C0-4945-BFA3-BCF051008594}"/>
    <cellStyle name="Normal 5 3 6 6 4" xfId="28003" xr:uid="{E14CDCCD-509D-49D7-AA8E-5C8088519E22}"/>
    <cellStyle name="Normal 5 3 6 6 5" xfId="11117" xr:uid="{B9EA13A7-37AB-42B1-BB3D-2AFA04022D37}"/>
    <cellStyle name="Normal 5 3 6 7" xfId="4828" xr:uid="{00000000-0005-0000-0000-00009F1A0000}"/>
    <cellStyle name="Normal 5 3 6 7 2" xfId="21711" xr:uid="{CC2B4750-579A-42D4-A568-3269E9D0D394}"/>
    <cellStyle name="Normal 5 3 6 7 3" xfId="30157" xr:uid="{99815573-C515-453B-9F7C-6C1F8E2317FE}"/>
    <cellStyle name="Normal 5 3 6 7 4" xfId="13270" xr:uid="{901AA4C4-9DEB-4CBC-847A-E77FF17D4110}"/>
    <cellStyle name="Normal 5 3 6 8" xfId="17493" xr:uid="{CB749284-9754-4E80-ADA2-A5A98D18C934}"/>
    <cellStyle name="Normal 5 3 6 9" xfId="25937" xr:uid="{A848D0CB-07D9-4979-B6C9-7036A3FA225A}"/>
    <cellStyle name="Normal 5 3 7" xfId="913" xr:uid="{00000000-0005-0000-0000-0000A01A0000}"/>
    <cellStyle name="Normal 5 3 7 2" xfId="3148" xr:uid="{00000000-0005-0000-0000-0000A11A0000}"/>
    <cellStyle name="Normal 5 3 7 2 2" xfId="7371" xr:uid="{00000000-0005-0000-0000-0000A21A0000}"/>
    <cellStyle name="Normal 5 3 7 2 2 2" xfId="24254" xr:uid="{E8EBC1B5-792A-4569-A767-B1FFB1E05DC2}"/>
    <cellStyle name="Normal 5 3 7 2 2 3" xfId="32700" xr:uid="{B32BBC1C-9F31-4BCD-AC6A-25BF217E4B57}"/>
    <cellStyle name="Normal 5 3 7 2 2 4" xfId="15813" xr:uid="{0E9963AC-6DCF-4959-BA9B-66118A620AE1}"/>
    <cellStyle name="Normal 5 3 7 2 3" xfId="20036" xr:uid="{6C546001-BB8B-429C-BFEC-5D681B4D89BA}"/>
    <cellStyle name="Normal 5 3 7 2 4" xfId="28483" xr:uid="{DE09676E-9C78-4855-9F19-2A737989E966}"/>
    <cellStyle name="Normal 5 3 7 2 5" xfId="11595" xr:uid="{1780EC35-9EDD-413E-BFA3-C03B4EE1E819}"/>
    <cellStyle name="Normal 5 3 7 3" xfId="5226" xr:uid="{00000000-0005-0000-0000-0000A31A0000}"/>
    <cellStyle name="Normal 5 3 7 3 2" xfId="22109" xr:uid="{455770F5-EAAB-4B44-A18E-E708851575D0}"/>
    <cellStyle name="Normal 5 3 7 3 3" xfId="30555" xr:uid="{CB1D4B44-E3D8-4A54-BC60-91455A856A68}"/>
    <cellStyle name="Normal 5 3 7 3 4" xfId="13668" xr:uid="{79E68262-1FF6-48AE-8122-ED75EDD01C98}"/>
    <cellStyle name="Normal 5 3 7 4" xfId="17891" xr:uid="{03F72912-7A96-4BE7-B93F-747D6AEA8E17}"/>
    <cellStyle name="Normal 5 3 7 5" xfId="26336" xr:uid="{30CFE71E-E5B9-44CA-92C1-4243F601FDC5}"/>
    <cellStyle name="Normal 5 3 7 6" xfId="9450" xr:uid="{56B5781D-9EE4-4E74-8D82-7D35D64CBE44}"/>
    <cellStyle name="Normal 5 3 8" xfId="1331" xr:uid="{00000000-0005-0000-0000-0000A41A0000}"/>
    <cellStyle name="Normal 5 3 8 2" xfId="3561" xr:uid="{00000000-0005-0000-0000-0000A51A0000}"/>
    <cellStyle name="Normal 5 3 8 2 2" xfId="7784" xr:uid="{00000000-0005-0000-0000-0000A61A0000}"/>
    <cellStyle name="Normal 5 3 8 2 2 2" xfId="24667" xr:uid="{4DDB948C-B37A-47CB-B9A8-8494697CBE4C}"/>
    <cellStyle name="Normal 5 3 8 2 2 3" xfId="33113" xr:uid="{11AFBDED-E6CD-4B7E-AAB7-DF40049F8486}"/>
    <cellStyle name="Normal 5 3 8 2 2 4" xfId="16226" xr:uid="{631F4680-1A40-4522-A780-582A9B36DF2E}"/>
    <cellStyle name="Normal 5 3 8 2 3" xfId="20449" xr:uid="{E4D0D026-8AFF-42A6-822F-5B02C3932047}"/>
    <cellStyle name="Normal 5 3 8 2 4" xfId="28896" xr:uid="{C00A0C87-910A-4B43-9427-BEC6C30B1298}"/>
    <cellStyle name="Normal 5 3 8 2 5" xfId="12008" xr:uid="{F23C1C28-7761-46EB-9F5B-72A7311E0B97}"/>
    <cellStyle name="Normal 5 3 8 3" xfId="5639" xr:uid="{00000000-0005-0000-0000-0000A71A0000}"/>
    <cellStyle name="Normal 5 3 8 3 2" xfId="22522" xr:uid="{EBFD4BEE-25C2-4B62-98B9-3B3883C75D7C}"/>
    <cellStyle name="Normal 5 3 8 3 3" xfId="30968" xr:uid="{029D3F4A-4C2A-4F14-B8ED-DD222ADC43F2}"/>
    <cellStyle name="Normal 5 3 8 3 4" xfId="14081" xr:uid="{AA1ED10A-E6FB-4C02-800B-1D0A861D5A79}"/>
    <cellStyle name="Normal 5 3 8 4" xfId="18304" xr:uid="{768357DD-97A6-480D-9E6F-23F7468EBECB}"/>
    <cellStyle name="Normal 5 3 8 5" xfId="26749" xr:uid="{43BA5798-B23D-4E38-88FB-EE6BE0155C80}"/>
    <cellStyle name="Normal 5 3 8 6" xfId="9863" xr:uid="{0AAD2586-BFB3-43FC-85B5-A77422221EB2}"/>
    <cellStyle name="Normal 5 3 9" xfId="1744" xr:uid="{00000000-0005-0000-0000-0000A81A0000}"/>
    <cellStyle name="Normal 5 3 9 2" xfId="3974" xr:uid="{00000000-0005-0000-0000-0000A91A0000}"/>
    <cellStyle name="Normal 5 3 9 2 2" xfId="8197" xr:uid="{00000000-0005-0000-0000-0000AA1A0000}"/>
    <cellStyle name="Normal 5 3 9 2 2 2" xfId="25080" xr:uid="{1D7295A3-E840-474C-8E63-1F644B4969F7}"/>
    <cellStyle name="Normal 5 3 9 2 2 3" xfId="33526" xr:uid="{5BFF1E4F-44E1-4960-8778-EB801EA91A09}"/>
    <cellStyle name="Normal 5 3 9 2 2 4" xfId="16639" xr:uid="{975F1FD7-DF2C-456F-A5FA-7299A1314622}"/>
    <cellStyle name="Normal 5 3 9 2 3" xfId="20862" xr:uid="{737A2CBB-CEEF-4AB5-806C-7ECF3E3D86A5}"/>
    <cellStyle name="Normal 5 3 9 2 4" xfId="29309" xr:uid="{333AAFF5-3FC9-4D60-BDFC-1ED589740880}"/>
    <cellStyle name="Normal 5 3 9 2 5" xfId="12421" xr:uid="{8E9910A5-28DC-413A-875A-A95F6EA4F031}"/>
    <cellStyle name="Normal 5 3 9 3" xfId="6052" xr:uid="{00000000-0005-0000-0000-0000AB1A0000}"/>
    <cellStyle name="Normal 5 3 9 3 2" xfId="22935" xr:uid="{DAD1102F-A2DF-41C8-B49A-931F22640B80}"/>
    <cellStyle name="Normal 5 3 9 3 3" xfId="31381" xr:uid="{481ECFDB-75FF-4239-A14F-90E4ED98F234}"/>
    <cellStyle name="Normal 5 3 9 3 4" xfId="14494" xr:uid="{6CE83058-09EF-47DA-8AD1-68FF75109C13}"/>
    <cellStyle name="Normal 5 3 9 4" xfId="18717" xr:uid="{72FC4D4F-51D6-4B45-9BD3-77AF03F6B9F3}"/>
    <cellStyle name="Normal 5 3 9 5" xfId="27162" xr:uid="{3BFEBB2E-50A7-4D33-8B62-DC183871B63B}"/>
    <cellStyle name="Normal 5 3 9 6" xfId="10276" xr:uid="{9197B169-1E40-4AD5-96CA-E416BBA3165F}"/>
    <cellStyle name="Normal 5 4" xfId="456" xr:uid="{00000000-0005-0000-0000-0000AC1A0000}"/>
    <cellStyle name="Normal 5 4 10" xfId="4829" xr:uid="{00000000-0005-0000-0000-0000AD1A0000}"/>
    <cellStyle name="Normal 5 4 10 2" xfId="21712" xr:uid="{6B0DD646-BCEC-42D5-A7C7-8E2FE134E91A}"/>
    <cellStyle name="Normal 5 4 10 3" xfId="30158" xr:uid="{EF5C3D39-C346-417E-A58A-E07075E655B5}"/>
    <cellStyle name="Normal 5 4 10 4" xfId="13271" xr:uid="{058B3040-17A3-455C-9D67-1A53B9FC46E1}"/>
    <cellStyle name="Normal 5 4 11" xfId="17494" xr:uid="{4473D202-47B9-4EE6-8782-3DA615DA5A82}"/>
    <cellStyle name="Normal 5 4 12" xfId="25938" xr:uid="{8AEEE5BC-985E-4D25-8B4B-83F7FAA43A20}"/>
    <cellStyle name="Normal 5 4 13" xfId="34108" xr:uid="{757C3E4F-061F-4955-A380-301BA83B90B0}"/>
    <cellStyle name="Normal 5 4 14" xfId="9053" xr:uid="{EC1841B5-7E42-4875-9EAD-F6E75222C658}"/>
    <cellStyle name="Normal 5 4 2" xfId="457" xr:uid="{00000000-0005-0000-0000-0000AE1A0000}"/>
    <cellStyle name="Normal 5 4 2 10" xfId="17495" xr:uid="{E46EC71A-9B22-41BB-8E5D-C2F30C64E71A}"/>
    <cellStyle name="Normal 5 4 2 11" xfId="25939" xr:uid="{BAC26306-4E58-4ECE-AA00-558D004185A9}"/>
    <cellStyle name="Normal 5 4 2 12" xfId="9054" xr:uid="{88000EE3-E52E-401E-AF9C-3D7AF7B8B580}"/>
    <cellStyle name="Normal 5 4 2 2" xfId="458" xr:uid="{00000000-0005-0000-0000-0000AF1A0000}"/>
    <cellStyle name="Normal 5 4 2 2 10" xfId="25940" xr:uid="{708AFC27-0F18-4277-82D2-C6F24A86D983}"/>
    <cellStyle name="Normal 5 4 2 2 11" xfId="9055" xr:uid="{461FE16A-A0FF-4143-AA34-2B7BC9BC4745}"/>
    <cellStyle name="Normal 5 4 2 2 2" xfId="459" xr:uid="{00000000-0005-0000-0000-0000B01A0000}"/>
    <cellStyle name="Normal 5 4 2 2 2 10" xfId="9056" xr:uid="{CCB3C105-C9FB-4F77-8A9D-F2337EBEA6F4}"/>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24273" xr:uid="{A6675C46-048E-4FA1-AD74-E54380B93FB3}"/>
    <cellStyle name="Normal 5 4 2 2 2 2 2 2 3" xfId="32719" xr:uid="{9F6A0314-AC43-47E9-83FA-8EF961B2650F}"/>
    <cellStyle name="Normal 5 4 2 2 2 2 2 2 4" xfId="15832" xr:uid="{09A16A81-9640-41B9-80F9-82F7B98188EA}"/>
    <cellStyle name="Normal 5 4 2 2 2 2 2 3" xfId="20055" xr:uid="{B1F149A9-83AC-4688-B470-B6214FF76D58}"/>
    <cellStyle name="Normal 5 4 2 2 2 2 2 4" xfId="28502" xr:uid="{3CC5D956-934B-4DFF-A31E-B001A072C2E7}"/>
    <cellStyle name="Normal 5 4 2 2 2 2 2 5" xfId="11614" xr:uid="{8B5F79CF-25F8-467B-A3B2-B1F4D6F1FC79}"/>
    <cellStyle name="Normal 5 4 2 2 2 2 3" xfId="5245" xr:uid="{00000000-0005-0000-0000-0000B41A0000}"/>
    <cellStyle name="Normal 5 4 2 2 2 2 3 2" xfId="22128" xr:uid="{255D01B2-BC72-4F22-BC24-940F7B1FEBA4}"/>
    <cellStyle name="Normal 5 4 2 2 2 2 3 3" xfId="30574" xr:uid="{9F5C8552-6E6B-4324-B2B2-96AB6D79794D}"/>
    <cellStyle name="Normal 5 4 2 2 2 2 3 4" xfId="13687" xr:uid="{5D969DF8-AE7C-46B0-9948-78CEC2896595}"/>
    <cellStyle name="Normal 5 4 2 2 2 2 4" xfId="17910" xr:uid="{4386657B-614C-416E-8982-73153749B94E}"/>
    <cellStyle name="Normal 5 4 2 2 2 2 5" xfId="26355" xr:uid="{DA500697-A9CE-4C08-8282-C733B4D73E70}"/>
    <cellStyle name="Normal 5 4 2 2 2 2 6" xfId="9469" xr:uid="{669A605B-693A-400C-BB8A-9F5D2E7A92B5}"/>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24686" xr:uid="{89F04739-6E47-4907-A2A7-50B52D8EDFBD}"/>
    <cellStyle name="Normal 5 4 2 2 2 3 2 2 3" xfId="33132" xr:uid="{2894FC7C-A75E-4C64-AFE0-FEB121101A74}"/>
    <cellStyle name="Normal 5 4 2 2 2 3 2 2 4" xfId="16245" xr:uid="{8A041A96-2F02-4D3A-BEBC-18F7519C461F}"/>
    <cellStyle name="Normal 5 4 2 2 2 3 2 3" xfId="20468" xr:uid="{52B57ED0-8810-4E2D-BC91-DAE0C2E997D3}"/>
    <cellStyle name="Normal 5 4 2 2 2 3 2 4" xfId="28915" xr:uid="{93CB91D8-DD1B-4FB5-A13B-226A346D8F19}"/>
    <cellStyle name="Normal 5 4 2 2 2 3 2 5" xfId="12027" xr:uid="{B3C97643-C0B4-47AF-8B36-DC6FEBB591B5}"/>
    <cellStyle name="Normal 5 4 2 2 2 3 3" xfId="5658" xr:uid="{00000000-0005-0000-0000-0000B81A0000}"/>
    <cellStyle name="Normal 5 4 2 2 2 3 3 2" xfId="22541" xr:uid="{DEAAFF69-0796-449D-A8FC-B9CB670B39CC}"/>
    <cellStyle name="Normal 5 4 2 2 2 3 3 3" xfId="30987" xr:uid="{0FD43839-2155-42AF-99DE-73AF9D4202B4}"/>
    <cellStyle name="Normal 5 4 2 2 2 3 3 4" xfId="14100" xr:uid="{E1EE023E-C708-416D-A641-A09A05B36917}"/>
    <cellStyle name="Normal 5 4 2 2 2 3 4" xfId="18323" xr:uid="{D3423D4F-D399-45A5-8A80-080EA433E9F2}"/>
    <cellStyle name="Normal 5 4 2 2 2 3 5" xfId="26768" xr:uid="{9F641CE2-D708-4393-A8F0-68582A7A5B67}"/>
    <cellStyle name="Normal 5 4 2 2 2 3 6" xfId="9882" xr:uid="{5BD5D970-A3AD-4156-ABFC-2B84028A29D8}"/>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25099" xr:uid="{7FDE898F-71F9-4E7B-8584-D19F20303181}"/>
    <cellStyle name="Normal 5 4 2 2 2 4 2 2 3" xfId="33545" xr:uid="{DD975F93-2052-4428-9B56-B4B694C60098}"/>
    <cellStyle name="Normal 5 4 2 2 2 4 2 2 4" xfId="16658" xr:uid="{04D1F310-3440-4A01-8568-C28067CC1F48}"/>
    <cellStyle name="Normal 5 4 2 2 2 4 2 3" xfId="20881" xr:uid="{D19B9ECE-120E-4D26-80D8-D4A98D0A8988}"/>
    <cellStyle name="Normal 5 4 2 2 2 4 2 4" xfId="29328" xr:uid="{19022F46-DB5B-4B16-BFD1-B7269B967728}"/>
    <cellStyle name="Normal 5 4 2 2 2 4 2 5" xfId="12440" xr:uid="{BE826740-90B9-4B84-94EA-070B8E80C362}"/>
    <cellStyle name="Normal 5 4 2 2 2 4 3" xfId="6071" xr:uid="{00000000-0005-0000-0000-0000BC1A0000}"/>
    <cellStyle name="Normal 5 4 2 2 2 4 3 2" xfId="22954" xr:uid="{AB975162-47BD-41CD-8D8A-8CA74D33C4EE}"/>
    <cellStyle name="Normal 5 4 2 2 2 4 3 3" xfId="31400" xr:uid="{4BB79934-8F0B-44A2-A1D5-C68E5E10BCB9}"/>
    <cellStyle name="Normal 5 4 2 2 2 4 3 4" xfId="14513" xr:uid="{1ADE2D0A-ADAE-447E-AD4D-B98072C8EA8F}"/>
    <cellStyle name="Normal 5 4 2 2 2 4 4" xfId="18736" xr:uid="{4B6097F1-4AC4-44A6-87B9-26F8BECB4D86}"/>
    <cellStyle name="Normal 5 4 2 2 2 4 5" xfId="27181" xr:uid="{9C5395BE-8A17-4256-8CE5-7DE2DE46E047}"/>
    <cellStyle name="Normal 5 4 2 2 2 4 6" xfId="10295" xr:uid="{3B2666C4-1BB6-4897-A478-FCA04AA4CE04}"/>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25512" xr:uid="{687D92AC-AE44-4F13-BF54-751E9E0FFE3F}"/>
    <cellStyle name="Normal 5 4 2 2 2 5 2 2 3" xfId="33958" xr:uid="{D3F4F8EB-8C59-4EA8-9327-FAD103ADC3C3}"/>
    <cellStyle name="Normal 5 4 2 2 2 5 2 2 4" xfId="17071" xr:uid="{D8AAC5C6-562F-4DAE-95BD-4B2FFEEAE96F}"/>
    <cellStyle name="Normal 5 4 2 2 2 5 2 3" xfId="21294" xr:uid="{3CC46BF3-EB06-4585-9F13-CF4B58F8277A}"/>
    <cellStyle name="Normal 5 4 2 2 2 5 2 4" xfId="29741" xr:uid="{15D30C68-476B-419A-9A04-74C5E9BBAF4D}"/>
    <cellStyle name="Normal 5 4 2 2 2 5 2 5" xfId="12853" xr:uid="{FCE8C928-464F-4D96-954E-0073568D73BC}"/>
    <cellStyle name="Normal 5 4 2 2 2 5 3" xfId="6484" xr:uid="{00000000-0005-0000-0000-0000C01A0000}"/>
    <cellStyle name="Normal 5 4 2 2 2 5 3 2" xfId="23367" xr:uid="{F842B5D5-4914-4B15-BA6D-E3EED0E749B9}"/>
    <cellStyle name="Normal 5 4 2 2 2 5 3 3" xfId="31813" xr:uid="{0C70DFDF-E78F-4CA5-B5B1-EAD1BE246FB7}"/>
    <cellStyle name="Normal 5 4 2 2 2 5 3 4" xfId="14926" xr:uid="{ED61DCF4-7A64-4581-9FD8-805EE8FF704A}"/>
    <cellStyle name="Normal 5 4 2 2 2 5 4" xfId="19149" xr:uid="{3880605E-1F60-460B-9735-54A67E2C6DA0}"/>
    <cellStyle name="Normal 5 4 2 2 2 5 5" xfId="27594" xr:uid="{35F10F9B-B064-402F-96B5-1F785AE2B0CD}"/>
    <cellStyle name="Normal 5 4 2 2 2 5 6" xfId="10708" xr:uid="{D37D8CCD-EFAB-448D-B648-EA16523EC97B}"/>
    <cellStyle name="Normal 5 4 2 2 2 6" xfId="2613" xr:uid="{00000000-0005-0000-0000-0000C11A0000}"/>
    <cellStyle name="Normal 5 4 2 2 2 6 2" xfId="6897" xr:uid="{00000000-0005-0000-0000-0000C21A0000}"/>
    <cellStyle name="Normal 5 4 2 2 2 6 2 2" xfId="23780" xr:uid="{DE6C355E-D21F-4B28-8EF3-8F239F5F319E}"/>
    <cellStyle name="Normal 5 4 2 2 2 6 2 3" xfId="32226" xr:uid="{C24AECEB-E111-419E-9BB0-B38DD48C760B}"/>
    <cellStyle name="Normal 5 4 2 2 2 6 2 4" xfId="15339" xr:uid="{BC486E9F-299B-43C7-BEA8-3245FE00A8E9}"/>
    <cellStyle name="Normal 5 4 2 2 2 6 3" xfId="19562" xr:uid="{E5FB85D8-6D04-4AD7-928C-936583DCA3DE}"/>
    <cellStyle name="Normal 5 4 2 2 2 6 4" xfId="28007" xr:uid="{26B60019-568A-4DD8-9FAD-FE686AE1B7E1}"/>
    <cellStyle name="Normal 5 4 2 2 2 6 5" xfId="11121" xr:uid="{A0C2DAA9-BF50-4A83-A850-408F225FDDD2}"/>
    <cellStyle name="Normal 5 4 2 2 2 7" xfId="4832" xr:uid="{00000000-0005-0000-0000-0000C31A0000}"/>
    <cellStyle name="Normal 5 4 2 2 2 7 2" xfId="21715" xr:uid="{8DD2BA2A-8800-47AA-8C13-BF953E22C607}"/>
    <cellStyle name="Normal 5 4 2 2 2 7 3" xfId="30161" xr:uid="{AD5722C9-5DA5-404E-B920-4859D6DF7617}"/>
    <cellStyle name="Normal 5 4 2 2 2 7 4" xfId="13274" xr:uid="{68626931-7117-4802-9A29-D9088FFA32CD}"/>
    <cellStyle name="Normal 5 4 2 2 2 8" xfId="17497" xr:uid="{F624D5D4-29FE-4DD0-9CD9-48816BEB9E80}"/>
    <cellStyle name="Normal 5 4 2 2 2 9" xfId="25941" xr:uid="{D2D5E9CC-0BE7-4050-81B3-D56DF51C1FDB}"/>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24272" xr:uid="{22204EDD-FD8D-4304-AEB5-C20E75D66DAB}"/>
    <cellStyle name="Normal 5 4 2 2 3 2 2 3" xfId="32718" xr:uid="{E02FCC77-BACB-4D07-B715-E56B8415CDCB}"/>
    <cellStyle name="Normal 5 4 2 2 3 2 2 4" xfId="15831" xr:uid="{164F9BDE-4352-4616-813E-8B2604E43601}"/>
    <cellStyle name="Normal 5 4 2 2 3 2 3" xfId="20054" xr:uid="{5347AF13-310C-4857-A495-6D7C9E1523D7}"/>
    <cellStyle name="Normal 5 4 2 2 3 2 4" xfId="28501" xr:uid="{FA9C1C43-0A4A-4224-A032-CD9DC586B782}"/>
    <cellStyle name="Normal 5 4 2 2 3 2 5" xfId="11613" xr:uid="{15041293-60B6-4900-80BD-82B16CD4F78E}"/>
    <cellStyle name="Normal 5 4 2 2 3 3" xfId="5244" xr:uid="{00000000-0005-0000-0000-0000C71A0000}"/>
    <cellStyle name="Normal 5 4 2 2 3 3 2" xfId="22127" xr:uid="{6A2B05FF-A1CA-41FE-BCA1-EBBF5EF67C86}"/>
    <cellStyle name="Normal 5 4 2 2 3 3 3" xfId="30573" xr:uid="{EC905316-882E-4048-9CD7-876F631B5740}"/>
    <cellStyle name="Normal 5 4 2 2 3 3 4" xfId="13686" xr:uid="{441E9A31-12CB-4386-B006-CE61356674A6}"/>
    <cellStyle name="Normal 5 4 2 2 3 4" xfId="17909" xr:uid="{41E41335-5A8E-4B36-8FA1-C1C6D4F7AB9F}"/>
    <cellStyle name="Normal 5 4 2 2 3 5" xfId="26354" xr:uid="{6E415D19-3942-47FF-8EE1-68058111FF52}"/>
    <cellStyle name="Normal 5 4 2 2 3 6" xfId="9468" xr:uid="{2DEBE31D-8B9C-434C-9FD7-305BFE768FA1}"/>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24685" xr:uid="{39927450-A83C-40BC-A454-42B8DCE4F860}"/>
    <cellStyle name="Normal 5 4 2 2 4 2 2 3" xfId="33131" xr:uid="{04ABD37F-C1F7-4542-9912-566C6A677885}"/>
    <cellStyle name="Normal 5 4 2 2 4 2 2 4" xfId="16244" xr:uid="{080A47B2-E346-4A0F-A0BA-48FA9DE84133}"/>
    <cellStyle name="Normal 5 4 2 2 4 2 3" xfId="20467" xr:uid="{19A20AC2-7D8D-47E9-A02C-63C671F156B3}"/>
    <cellStyle name="Normal 5 4 2 2 4 2 4" xfId="28914" xr:uid="{D7A084A1-436B-44F9-A7AC-AA339F3FF47A}"/>
    <cellStyle name="Normal 5 4 2 2 4 2 5" xfId="12026" xr:uid="{7B107BD9-22FB-47B9-9269-F5528A79EC6D}"/>
    <cellStyle name="Normal 5 4 2 2 4 3" xfId="5657" xr:uid="{00000000-0005-0000-0000-0000CB1A0000}"/>
    <cellStyle name="Normal 5 4 2 2 4 3 2" xfId="22540" xr:uid="{B8F26446-1FB1-4962-9B8E-55A8A22E773A}"/>
    <cellStyle name="Normal 5 4 2 2 4 3 3" xfId="30986" xr:uid="{9D54D007-F4B0-46E7-8EE4-8B966411DCF8}"/>
    <cellStyle name="Normal 5 4 2 2 4 3 4" xfId="14099" xr:uid="{5C0C68B8-6C41-4B9B-AC8B-39BE1B83FB88}"/>
    <cellStyle name="Normal 5 4 2 2 4 4" xfId="18322" xr:uid="{74F4D708-825F-4056-BAA0-0191BD9B0F92}"/>
    <cellStyle name="Normal 5 4 2 2 4 5" xfId="26767" xr:uid="{55704D92-01F6-4209-B0AB-93213E5BE393}"/>
    <cellStyle name="Normal 5 4 2 2 4 6" xfId="9881" xr:uid="{A6E2B567-1AEE-4E45-BE8E-B86C5ADAE4CB}"/>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25098" xr:uid="{BB4D2200-99E1-493B-9B52-9556F0303D54}"/>
    <cellStyle name="Normal 5 4 2 2 5 2 2 3" xfId="33544" xr:uid="{2565CEC5-1CF9-4C87-A1CE-DE558FE9CDFD}"/>
    <cellStyle name="Normal 5 4 2 2 5 2 2 4" xfId="16657" xr:uid="{B1D12526-9219-4D93-987F-2608FB0EAF95}"/>
    <cellStyle name="Normal 5 4 2 2 5 2 3" xfId="20880" xr:uid="{15F878F1-0BA3-472D-A5ED-C3520C37398B}"/>
    <cellStyle name="Normal 5 4 2 2 5 2 4" xfId="29327" xr:uid="{294FC6F1-7FEB-4BA9-9317-B5089D2C624B}"/>
    <cellStyle name="Normal 5 4 2 2 5 2 5" xfId="12439" xr:uid="{657D0349-C979-426E-8FE1-417C35382216}"/>
    <cellStyle name="Normal 5 4 2 2 5 3" xfId="6070" xr:uid="{00000000-0005-0000-0000-0000CF1A0000}"/>
    <cellStyle name="Normal 5 4 2 2 5 3 2" xfId="22953" xr:uid="{2BEE1BE8-3441-4921-82CD-F47F24903AC5}"/>
    <cellStyle name="Normal 5 4 2 2 5 3 3" xfId="31399" xr:uid="{7F49F16B-EC02-4F63-A5A3-CF01D9DC2DD1}"/>
    <cellStyle name="Normal 5 4 2 2 5 3 4" xfId="14512" xr:uid="{0BD2AAAE-BA8A-4471-B48C-3A0D571069C4}"/>
    <cellStyle name="Normal 5 4 2 2 5 4" xfId="18735" xr:uid="{DB78E4A6-333C-405D-91AC-CB7812AD7925}"/>
    <cellStyle name="Normal 5 4 2 2 5 5" xfId="27180" xr:uid="{B755FAF5-C2D3-403D-95A2-116B4CCE59BC}"/>
    <cellStyle name="Normal 5 4 2 2 5 6" xfId="10294" xr:uid="{BF58BB3F-1FF3-47ED-8957-8752F6763E80}"/>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25511" xr:uid="{8969DD8F-785B-44FF-9D58-C98DAC868D5D}"/>
    <cellStyle name="Normal 5 4 2 2 6 2 2 3" xfId="33957" xr:uid="{C0B59674-FA67-4F98-8B64-A65F8C84F448}"/>
    <cellStyle name="Normal 5 4 2 2 6 2 2 4" xfId="17070" xr:uid="{B337386F-EA58-40A3-8099-3FAEF91F1FC6}"/>
    <cellStyle name="Normal 5 4 2 2 6 2 3" xfId="21293" xr:uid="{104B26EC-5A3B-4075-A31E-8193128FF771}"/>
    <cellStyle name="Normal 5 4 2 2 6 2 4" xfId="29740" xr:uid="{3E3A2CE5-C660-4C74-B73A-61673B4E1F70}"/>
    <cellStyle name="Normal 5 4 2 2 6 2 5" xfId="12852" xr:uid="{5C405F2C-9D5C-4693-80A1-B1E0F94F1B30}"/>
    <cellStyle name="Normal 5 4 2 2 6 3" xfId="6483" xr:uid="{00000000-0005-0000-0000-0000D31A0000}"/>
    <cellStyle name="Normal 5 4 2 2 6 3 2" xfId="23366" xr:uid="{64012601-5472-418F-9AA4-295871166658}"/>
    <cellStyle name="Normal 5 4 2 2 6 3 3" xfId="31812" xr:uid="{4D52663A-757E-418E-9986-B92245BE25C1}"/>
    <cellStyle name="Normal 5 4 2 2 6 3 4" xfId="14925" xr:uid="{C5556FAC-EE13-4815-9EAA-C966804AB621}"/>
    <cellStyle name="Normal 5 4 2 2 6 4" xfId="19148" xr:uid="{FAC9B6F2-C2A5-4A5C-ACB8-CF79618EF1B5}"/>
    <cellStyle name="Normal 5 4 2 2 6 5" xfId="27593" xr:uid="{E607BAD3-50D4-4CBB-B505-0062B65ADC8E}"/>
    <cellStyle name="Normal 5 4 2 2 6 6" xfId="10707" xr:uid="{EBD92FCA-B0EB-4460-85D4-4B87A9F5F6E8}"/>
    <cellStyle name="Normal 5 4 2 2 7" xfId="2612" xr:uid="{00000000-0005-0000-0000-0000D41A0000}"/>
    <cellStyle name="Normal 5 4 2 2 7 2" xfId="6896" xr:uid="{00000000-0005-0000-0000-0000D51A0000}"/>
    <cellStyle name="Normal 5 4 2 2 7 2 2" xfId="23779" xr:uid="{D20F08A9-D5C8-4DFC-A100-D1CFE105FED3}"/>
    <cellStyle name="Normal 5 4 2 2 7 2 3" xfId="32225" xr:uid="{BC640AFB-1F78-4D99-BA21-26EF037CD0D2}"/>
    <cellStyle name="Normal 5 4 2 2 7 2 4" xfId="15338" xr:uid="{D4F3C940-2B0D-499E-9D3D-F7CE407C29BB}"/>
    <cellStyle name="Normal 5 4 2 2 7 3" xfId="19561" xr:uid="{0D960039-1C0F-486E-B830-3AFBA3BE183C}"/>
    <cellStyle name="Normal 5 4 2 2 7 4" xfId="28006" xr:uid="{80887D34-3871-4A2B-B693-BC1448520DE6}"/>
    <cellStyle name="Normal 5 4 2 2 7 5" xfId="11120" xr:uid="{8D939761-62E0-4CB1-B7AA-F597B0CC5351}"/>
    <cellStyle name="Normal 5 4 2 2 8" xfId="4831" xr:uid="{00000000-0005-0000-0000-0000D61A0000}"/>
    <cellStyle name="Normal 5 4 2 2 8 2" xfId="21714" xr:uid="{7719E01E-D636-4496-9EBC-0240985AFA37}"/>
    <cellStyle name="Normal 5 4 2 2 8 3" xfId="30160" xr:uid="{371F5B05-220A-42C5-A6DE-DD901C62EB0B}"/>
    <cellStyle name="Normal 5 4 2 2 8 4" xfId="13273" xr:uid="{6C5D3DCF-D34E-4A12-8605-BB783C1F6E19}"/>
    <cellStyle name="Normal 5 4 2 2 9" xfId="17496" xr:uid="{A61D25AD-9CDE-4CEA-87DD-CE58329239A0}"/>
    <cellStyle name="Normal 5 4 2 3" xfId="460" xr:uid="{00000000-0005-0000-0000-0000D71A0000}"/>
    <cellStyle name="Normal 5 4 2 3 10" xfId="9057" xr:uid="{3B2E9374-052C-4F9E-BC74-BC412E28AC93}"/>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24274" xr:uid="{E6209D91-E782-4D66-B3D9-98562DC0C6D2}"/>
    <cellStyle name="Normal 5 4 2 3 2 2 2 3" xfId="32720" xr:uid="{1B0990B5-CB38-48C8-8CDF-EEFBD07E15CB}"/>
    <cellStyle name="Normal 5 4 2 3 2 2 2 4" xfId="15833" xr:uid="{605E23DA-0F93-4C13-9307-F4ED35DBB0C7}"/>
    <cellStyle name="Normal 5 4 2 3 2 2 3" xfId="20056" xr:uid="{2660523B-5BCB-417F-8801-9C3588EAD29E}"/>
    <cellStyle name="Normal 5 4 2 3 2 2 4" xfId="28503" xr:uid="{CC5856EE-51EA-4771-A41A-B944F1716455}"/>
    <cellStyle name="Normal 5 4 2 3 2 2 5" xfId="11615" xr:uid="{4B17D25B-49B6-4C00-AD12-F3710E59C045}"/>
    <cellStyle name="Normal 5 4 2 3 2 3" xfId="5246" xr:uid="{00000000-0005-0000-0000-0000DB1A0000}"/>
    <cellStyle name="Normal 5 4 2 3 2 3 2" xfId="22129" xr:uid="{65232B4A-BB8B-4722-A360-D36D878D7FF3}"/>
    <cellStyle name="Normal 5 4 2 3 2 3 3" xfId="30575" xr:uid="{9573D17D-97B4-4996-8538-F9E75D83B68B}"/>
    <cellStyle name="Normal 5 4 2 3 2 3 4" xfId="13688" xr:uid="{015A327E-36C2-41FE-8BBE-1BDB91A03BF6}"/>
    <cellStyle name="Normal 5 4 2 3 2 4" xfId="17911" xr:uid="{A94A69EB-9D06-4F81-9F14-C0D0198A666B}"/>
    <cellStyle name="Normal 5 4 2 3 2 5" xfId="26356" xr:uid="{1C160DB6-53B2-4796-A900-0D2D3858524E}"/>
    <cellStyle name="Normal 5 4 2 3 2 6" xfId="9470" xr:uid="{CF760E2E-B034-4264-94A9-74F2189A8F09}"/>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24687" xr:uid="{1D6E50FB-58F4-4A2B-B9E0-95C7EC2EC1BD}"/>
    <cellStyle name="Normal 5 4 2 3 3 2 2 3" xfId="33133" xr:uid="{63C494D5-B3F9-4B5D-B836-7800B0B28064}"/>
    <cellStyle name="Normal 5 4 2 3 3 2 2 4" xfId="16246" xr:uid="{22185D89-4E49-4A14-8494-79826CC238B4}"/>
    <cellStyle name="Normal 5 4 2 3 3 2 3" xfId="20469" xr:uid="{5DDD2052-328F-4EBC-B6A9-A833E0A1CBAD}"/>
    <cellStyle name="Normal 5 4 2 3 3 2 4" xfId="28916" xr:uid="{D885A38F-A637-4254-99A2-3CF10F523FEA}"/>
    <cellStyle name="Normal 5 4 2 3 3 2 5" xfId="12028" xr:uid="{785CCDB6-AAE7-4E69-A474-5F683204905A}"/>
    <cellStyle name="Normal 5 4 2 3 3 3" xfId="5659" xr:uid="{00000000-0005-0000-0000-0000DF1A0000}"/>
    <cellStyle name="Normal 5 4 2 3 3 3 2" xfId="22542" xr:uid="{D791F90C-D720-45F5-B570-1DBC240FEAE9}"/>
    <cellStyle name="Normal 5 4 2 3 3 3 3" xfId="30988" xr:uid="{D2A7926A-7160-470E-B616-CBA8A535CD68}"/>
    <cellStyle name="Normal 5 4 2 3 3 3 4" xfId="14101" xr:uid="{6D2A5CF1-A767-4105-BCC3-CF89A5232EA0}"/>
    <cellStyle name="Normal 5 4 2 3 3 4" xfId="18324" xr:uid="{60DC25A0-786A-4A28-AA95-AD5FE66F0ABC}"/>
    <cellStyle name="Normal 5 4 2 3 3 5" xfId="26769" xr:uid="{18E444EC-2ADD-439A-8C2B-84D919D0D146}"/>
    <cellStyle name="Normal 5 4 2 3 3 6" xfId="9883" xr:uid="{A14EA792-EB67-4E6B-A687-BDFE79880332}"/>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25100" xr:uid="{87A57DAF-9D33-47E4-BE67-C6307D4A4583}"/>
    <cellStyle name="Normal 5 4 2 3 4 2 2 3" xfId="33546" xr:uid="{8C19D818-B399-45F8-BE5B-CF897FE60343}"/>
    <cellStyle name="Normal 5 4 2 3 4 2 2 4" xfId="16659" xr:uid="{76245614-B236-4E68-8772-722F8CE4AE69}"/>
    <cellStyle name="Normal 5 4 2 3 4 2 3" xfId="20882" xr:uid="{EE538253-780D-4F00-81E8-CE98E5C11F9B}"/>
    <cellStyle name="Normal 5 4 2 3 4 2 4" xfId="29329" xr:uid="{97D5A0B3-F2C0-43E5-90F9-87378A05C09B}"/>
    <cellStyle name="Normal 5 4 2 3 4 2 5" xfId="12441" xr:uid="{4F0F9381-53EC-4490-B3FA-FCAC8F3C084E}"/>
    <cellStyle name="Normal 5 4 2 3 4 3" xfId="6072" xr:uid="{00000000-0005-0000-0000-0000E31A0000}"/>
    <cellStyle name="Normal 5 4 2 3 4 3 2" xfId="22955" xr:uid="{DF887397-F4B2-42A5-B5B3-0CB9FD3B357F}"/>
    <cellStyle name="Normal 5 4 2 3 4 3 3" xfId="31401" xr:uid="{056EE10D-07F2-4A27-A5B1-D12DA84C9F56}"/>
    <cellStyle name="Normal 5 4 2 3 4 3 4" xfId="14514" xr:uid="{C0F1B0C3-3A7E-4F2F-9B70-420607C7C789}"/>
    <cellStyle name="Normal 5 4 2 3 4 4" xfId="18737" xr:uid="{0B64378A-293B-4F51-90AF-E41E34A715DA}"/>
    <cellStyle name="Normal 5 4 2 3 4 5" xfId="27182" xr:uid="{FE20C943-B279-49AF-BACD-A51B18B763DE}"/>
    <cellStyle name="Normal 5 4 2 3 4 6" xfId="10296" xr:uid="{5CF83968-D8FD-4CC4-9E79-C65DAEAB6C87}"/>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25513" xr:uid="{B5A2D96C-8B2C-4C46-9096-ABB500B7CC42}"/>
    <cellStyle name="Normal 5 4 2 3 5 2 2 3" xfId="33959" xr:uid="{B680614C-4EA7-40F3-BB0A-E8B8A1EFCA51}"/>
    <cellStyle name="Normal 5 4 2 3 5 2 2 4" xfId="17072" xr:uid="{2F4B7C36-A2CA-46E8-A205-D2CBC9F99C35}"/>
    <cellStyle name="Normal 5 4 2 3 5 2 3" xfId="21295" xr:uid="{3EC0A078-8B2A-43B3-93FD-256921005C7F}"/>
    <cellStyle name="Normal 5 4 2 3 5 2 4" xfId="29742" xr:uid="{76F5331A-CB61-4522-851A-C18E2C94CD66}"/>
    <cellStyle name="Normal 5 4 2 3 5 2 5" xfId="12854" xr:uid="{276A266A-185B-4245-BF69-EF9AC0D4E13A}"/>
    <cellStyle name="Normal 5 4 2 3 5 3" xfId="6485" xr:uid="{00000000-0005-0000-0000-0000E71A0000}"/>
    <cellStyle name="Normal 5 4 2 3 5 3 2" xfId="23368" xr:uid="{0D51A485-488C-4339-A150-48B1F2ACDBAF}"/>
    <cellStyle name="Normal 5 4 2 3 5 3 3" xfId="31814" xr:uid="{87E37E0B-F33E-4A44-8F44-414955FDF5E8}"/>
    <cellStyle name="Normal 5 4 2 3 5 3 4" xfId="14927" xr:uid="{986C5A5B-BECF-4852-8F30-17525459C53C}"/>
    <cellStyle name="Normal 5 4 2 3 5 4" xfId="19150" xr:uid="{051D9577-EFC8-459B-80A7-E4BE04C18FE6}"/>
    <cellStyle name="Normal 5 4 2 3 5 5" xfId="27595" xr:uid="{90F251B1-62A8-4F46-986F-A7FC6547894C}"/>
    <cellStyle name="Normal 5 4 2 3 5 6" xfId="10709" xr:uid="{B29FD0E8-5F35-45A4-937C-A660F274B2F9}"/>
    <cellStyle name="Normal 5 4 2 3 6" xfId="2614" xr:uid="{00000000-0005-0000-0000-0000E81A0000}"/>
    <cellStyle name="Normal 5 4 2 3 6 2" xfId="6898" xr:uid="{00000000-0005-0000-0000-0000E91A0000}"/>
    <cellStyle name="Normal 5 4 2 3 6 2 2" xfId="23781" xr:uid="{3F1AF4AD-5D5C-43C6-A841-330D7813E033}"/>
    <cellStyle name="Normal 5 4 2 3 6 2 3" xfId="32227" xr:uid="{0E8C66D0-4C24-4623-B6EB-AB8B96295DEE}"/>
    <cellStyle name="Normal 5 4 2 3 6 2 4" xfId="15340" xr:uid="{A0E493A1-AA90-432E-9936-2338919428E0}"/>
    <cellStyle name="Normal 5 4 2 3 6 3" xfId="19563" xr:uid="{BB72C5F2-18FD-420B-A72B-98B6D419A829}"/>
    <cellStyle name="Normal 5 4 2 3 6 4" xfId="28008" xr:uid="{16E42D0D-0ACF-41EE-9AE4-09306A825B3F}"/>
    <cellStyle name="Normal 5 4 2 3 6 5" xfId="11122" xr:uid="{5FBBEE58-3BB9-42CC-8715-A443C4E40BAE}"/>
    <cellStyle name="Normal 5 4 2 3 7" xfId="4833" xr:uid="{00000000-0005-0000-0000-0000EA1A0000}"/>
    <cellStyle name="Normal 5 4 2 3 7 2" xfId="21716" xr:uid="{01F3AFBC-99A8-4AFD-869C-CE8B576DF7B0}"/>
    <cellStyle name="Normal 5 4 2 3 7 3" xfId="30162" xr:uid="{915E7850-5945-4C38-83DA-D1BBD983A299}"/>
    <cellStyle name="Normal 5 4 2 3 7 4" xfId="13275" xr:uid="{55089306-6D20-427F-BC36-09D1BB578BD3}"/>
    <cellStyle name="Normal 5 4 2 3 8" xfId="17498" xr:uid="{6FD6C62B-317E-4A24-9303-229C11CD834C}"/>
    <cellStyle name="Normal 5 4 2 3 9" xfId="25942" xr:uid="{33DFB5AE-8B98-4C63-A359-31E09785787F}"/>
    <cellStyle name="Normal 5 4 2 4" xfId="931" xr:uid="{00000000-0005-0000-0000-0000EB1A0000}"/>
    <cellStyle name="Normal 5 4 2 4 2" xfId="3165" xr:uid="{00000000-0005-0000-0000-0000EC1A0000}"/>
    <cellStyle name="Normal 5 4 2 4 2 2" xfId="7388" xr:uid="{00000000-0005-0000-0000-0000ED1A0000}"/>
    <cellStyle name="Normal 5 4 2 4 2 2 2" xfId="24271" xr:uid="{D6BCF99A-4E5E-4417-9255-BD8A9F59E642}"/>
    <cellStyle name="Normal 5 4 2 4 2 2 3" xfId="32717" xr:uid="{522354D6-AF10-4A93-B794-9AE5255CA4D8}"/>
    <cellStyle name="Normal 5 4 2 4 2 2 4" xfId="15830" xr:uid="{3E932D91-383E-4BD1-8C47-DAA22BE6BD27}"/>
    <cellStyle name="Normal 5 4 2 4 2 3" xfId="20053" xr:uid="{B14D9870-62F3-461A-B5D9-CA29A814936C}"/>
    <cellStyle name="Normal 5 4 2 4 2 4" xfId="28500" xr:uid="{85C1B1AB-1C35-483B-99E0-A88B0A8EB55B}"/>
    <cellStyle name="Normal 5 4 2 4 2 5" xfId="11612" xr:uid="{EFFA0858-D561-411D-9540-0D3E68A5776D}"/>
    <cellStyle name="Normal 5 4 2 4 3" xfId="5243" xr:uid="{00000000-0005-0000-0000-0000EE1A0000}"/>
    <cellStyle name="Normal 5 4 2 4 3 2" xfId="22126" xr:uid="{5F39CC21-892A-4E51-9285-0833A5A2355F}"/>
    <cellStyle name="Normal 5 4 2 4 3 3" xfId="30572" xr:uid="{5862168E-F75D-459D-AD6A-A82FD24B2740}"/>
    <cellStyle name="Normal 5 4 2 4 3 4" xfId="13685" xr:uid="{C8D4F94C-AFFB-49DE-921C-CFF2FB941EBD}"/>
    <cellStyle name="Normal 5 4 2 4 4" xfId="17908" xr:uid="{9422FD22-173B-407C-8CCD-C7A8186C7B69}"/>
    <cellStyle name="Normal 5 4 2 4 5" xfId="26353" xr:uid="{400F4089-B92F-4CE8-B00E-056A96072BFC}"/>
    <cellStyle name="Normal 5 4 2 4 6" xfId="9467" xr:uid="{A997A90F-F76D-4338-9224-145EC061ACDE}"/>
    <cellStyle name="Normal 5 4 2 5" xfId="1348" xr:uid="{00000000-0005-0000-0000-0000EF1A0000}"/>
    <cellStyle name="Normal 5 4 2 5 2" xfId="3578" xr:uid="{00000000-0005-0000-0000-0000F01A0000}"/>
    <cellStyle name="Normal 5 4 2 5 2 2" xfId="7801" xr:uid="{00000000-0005-0000-0000-0000F11A0000}"/>
    <cellStyle name="Normal 5 4 2 5 2 2 2" xfId="24684" xr:uid="{2AE03BC0-7DA5-45D5-A309-7F3110CB0D33}"/>
    <cellStyle name="Normal 5 4 2 5 2 2 3" xfId="33130" xr:uid="{7E984769-05B8-4503-A961-45275E829470}"/>
    <cellStyle name="Normal 5 4 2 5 2 2 4" xfId="16243" xr:uid="{629563D4-3213-4EC3-BE82-2B1A4DEFCDBB}"/>
    <cellStyle name="Normal 5 4 2 5 2 3" xfId="20466" xr:uid="{8496F0CB-C606-4242-AC3E-0862B73152C0}"/>
    <cellStyle name="Normal 5 4 2 5 2 4" xfId="28913" xr:uid="{0313FD12-1952-4A95-9D5F-F29DCDD9A642}"/>
    <cellStyle name="Normal 5 4 2 5 2 5" xfId="12025" xr:uid="{944C90C5-6B04-4251-99F0-A1B51AAC8526}"/>
    <cellStyle name="Normal 5 4 2 5 3" xfId="5656" xr:uid="{00000000-0005-0000-0000-0000F21A0000}"/>
    <cellStyle name="Normal 5 4 2 5 3 2" xfId="22539" xr:uid="{078C77C0-518D-403E-94C5-EEACC14ECE91}"/>
    <cellStyle name="Normal 5 4 2 5 3 3" xfId="30985" xr:uid="{98D83078-FF67-41ED-8EDE-19320FD7D39F}"/>
    <cellStyle name="Normal 5 4 2 5 3 4" xfId="14098" xr:uid="{A5E1315E-7FF8-4F44-B948-1AA6636008B4}"/>
    <cellStyle name="Normal 5 4 2 5 4" xfId="18321" xr:uid="{2A2C6B02-8218-4753-AB97-3E43B4A39799}"/>
    <cellStyle name="Normal 5 4 2 5 5" xfId="26766" xr:uid="{88819E67-B7CB-4127-AC1A-8EC69BB689F0}"/>
    <cellStyle name="Normal 5 4 2 5 6" xfId="9880" xr:uid="{E227FCB6-A786-44AD-BA1E-FD333AD5C0E6}"/>
    <cellStyle name="Normal 5 4 2 6" xfId="1761" xr:uid="{00000000-0005-0000-0000-0000F31A0000}"/>
    <cellStyle name="Normal 5 4 2 6 2" xfId="3991" xr:uid="{00000000-0005-0000-0000-0000F41A0000}"/>
    <cellStyle name="Normal 5 4 2 6 2 2" xfId="8214" xr:uid="{00000000-0005-0000-0000-0000F51A0000}"/>
    <cellStyle name="Normal 5 4 2 6 2 2 2" xfId="25097" xr:uid="{B7820D12-7F94-4960-ACDC-34418BBB36BE}"/>
    <cellStyle name="Normal 5 4 2 6 2 2 3" xfId="33543" xr:uid="{41EE39A7-3B6E-48DA-836E-03887F6CBFB1}"/>
    <cellStyle name="Normal 5 4 2 6 2 2 4" xfId="16656" xr:uid="{DF3CAC82-243D-4C48-B318-A71B85D499E7}"/>
    <cellStyle name="Normal 5 4 2 6 2 3" xfId="20879" xr:uid="{4B0539A0-B3F2-41E1-9E8B-BD923B7ED145}"/>
    <cellStyle name="Normal 5 4 2 6 2 4" xfId="29326" xr:uid="{27F74386-ABB7-4E14-B06F-29FD60C03E22}"/>
    <cellStyle name="Normal 5 4 2 6 2 5" xfId="12438" xr:uid="{AE39C4AA-777E-4422-AFC9-B859FF6AD9C5}"/>
    <cellStyle name="Normal 5 4 2 6 3" xfId="6069" xr:uid="{00000000-0005-0000-0000-0000F61A0000}"/>
    <cellStyle name="Normal 5 4 2 6 3 2" xfId="22952" xr:uid="{01495244-1C84-43ED-97EB-26A51749E8F0}"/>
    <cellStyle name="Normal 5 4 2 6 3 3" xfId="31398" xr:uid="{4756FA32-DCCB-4A14-84B9-41216481F4BE}"/>
    <cellStyle name="Normal 5 4 2 6 3 4" xfId="14511" xr:uid="{CE69798A-5702-46F9-AFE4-D40D9C32EA64}"/>
    <cellStyle name="Normal 5 4 2 6 4" xfId="18734" xr:uid="{BAA9AE6B-9809-4AC2-BA48-9571812A38EC}"/>
    <cellStyle name="Normal 5 4 2 6 5" xfId="27179" xr:uid="{A4222F10-8DAA-4E3B-9473-EBC33B625EA7}"/>
    <cellStyle name="Normal 5 4 2 6 6" xfId="10293" xr:uid="{5A3FA3EC-EF10-4E96-BBD9-39A5381BDA84}"/>
    <cellStyle name="Normal 5 4 2 7" xfId="2175" xr:uid="{00000000-0005-0000-0000-0000F71A0000}"/>
    <cellStyle name="Normal 5 4 2 7 2" xfId="4404" xr:uid="{00000000-0005-0000-0000-0000F81A0000}"/>
    <cellStyle name="Normal 5 4 2 7 2 2" xfId="8627" xr:uid="{00000000-0005-0000-0000-0000F91A0000}"/>
    <cellStyle name="Normal 5 4 2 7 2 2 2" xfId="25510" xr:uid="{7DE62D09-C3AD-43AD-9BA7-93736693C94A}"/>
    <cellStyle name="Normal 5 4 2 7 2 2 3" xfId="33956" xr:uid="{C11545CC-CC14-4DAC-BB07-744A585517BA}"/>
    <cellStyle name="Normal 5 4 2 7 2 2 4" xfId="17069" xr:uid="{8CA93BAE-043E-46D4-9EFA-C9F0F7C5D779}"/>
    <cellStyle name="Normal 5 4 2 7 2 3" xfId="21292" xr:uid="{7C1B7A31-3A40-4EE2-8C8D-8E0B631B7B04}"/>
    <cellStyle name="Normal 5 4 2 7 2 4" xfId="29739" xr:uid="{24DDFCFE-16D2-418A-BDA1-22FE0B74EF8E}"/>
    <cellStyle name="Normal 5 4 2 7 2 5" xfId="12851" xr:uid="{FE4BEE6C-4468-4B55-AB3D-E359B727C718}"/>
    <cellStyle name="Normal 5 4 2 7 3" xfId="6482" xr:uid="{00000000-0005-0000-0000-0000FA1A0000}"/>
    <cellStyle name="Normal 5 4 2 7 3 2" xfId="23365" xr:uid="{62715445-C695-4D1C-936E-EB5BC10F12C3}"/>
    <cellStyle name="Normal 5 4 2 7 3 3" xfId="31811" xr:uid="{87643105-EA0A-47E9-B8EA-FB4D0F8FBE9A}"/>
    <cellStyle name="Normal 5 4 2 7 3 4" xfId="14924" xr:uid="{6F3DA15B-22CB-4A3C-B771-5758A47B0E0D}"/>
    <cellStyle name="Normal 5 4 2 7 4" xfId="19147" xr:uid="{5D3A4723-BD46-4FD3-9A99-AEA1AE0219C8}"/>
    <cellStyle name="Normal 5 4 2 7 5" xfId="27592" xr:uid="{1BCB3C5C-1A72-405A-BA79-B3A2D8ABC81E}"/>
    <cellStyle name="Normal 5 4 2 7 6" xfId="10706" xr:uid="{FCF889AA-2788-404B-95F2-609A4B94FB1D}"/>
    <cellStyle name="Normal 5 4 2 8" xfId="2611" xr:uid="{00000000-0005-0000-0000-0000FB1A0000}"/>
    <cellStyle name="Normal 5 4 2 8 2" xfId="6895" xr:uid="{00000000-0005-0000-0000-0000FC1A0000}"/>
    <cellStyle name="Normal 5 4 2 8 2 2" xfId="23778" xr:uid="{C9D903D9-41C7-4347-AF22-904CF38BE822}"/>
    <cellStyle name="Normal 5 4 2 8 2 3" xfId="32224" xr:uid="{11D032C5-49DC-4EA0-B490-7940BA17B6FA}"/>
    <cellStyle name="Normal 5 4 2 8 2 4" xfId="15337" xr:uid="{354BE3F0-4FDD-44A7-B909-A4AB21D9805A}"/>
    <cellStyle name="Normal 5 4 2 8 3" xfId="19560" xr:uid="{5CCD2E35-393D-4302-8872-40FF39569ADD}"/>
    <cellStyle name="Normal 5 4 2 8 4" xfId="28005" xr:uid="{944BEC92-0C95-4B19-8080-E2EA83B62472}"/>
    <cellStyle name="Normal 5 4 2 8 5" xfId="11119" xr:uid="{1008517B-CABA-4592-B6F9-51B99160E3C1}"/>
    <cellStyle name="Normal 5 4 2 9" xfId="4830" xr:uid="{00000000-0005-0000-0000-0000FD1A0000}"/>
    <cellStyle name="Normal 5 4 2 9 2" xfId="21713" xr:uid="{9B259049-5DC3-4731-908D-132674818E9F}"/>
    <cellStyle name="Normal 5 4 2 9 3" xfId="30159" xr:uid="{5C86F841-A7A7-4D9B-A06F-B3A81220868E}"/>
    <cellStyle name="Normal 5 4 2 9 4" xfId="13272" xr:uid="{369E2FBE-6FE6-4584-BD25-19B748561A1A}"/>
    <cellStyle name="Normal 5 4 3" xfId="461" xr:uid="{00000000-0005-0000-0000-0000FE1A0000}"/>
    <cellStyle name="Normal 5 4 3 10" xfId="25943" xr:uid="{3371D6B9-A09F-4852-8936-919211BF9F0F}"/>
    <cellStyle name="Normal 5 4 3 11" xfId="9058" xr:uid="{2A656103-596A-484B-8E19-C0FBD29D7B27}"/>
    <cellStyle name="Normal 5 4 3 2" xfId="462" xr:uid="{00000000-0005-0000-0000-0000FF1A0000}"/>
    <cellStyle name="Normal 5 4 3 2 10" xfId="9059" xr:uid="{7B798EAB-B377-482D-8AF9-232ECC23A15A}"/>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24276" xr:uid="{49631D94-2C8E-436C-9132-67546BEAE8BB}"/>
    <cellStyle name="Normal 5 4 3 2 2 2 2 3" xfId="32722" xr:uid="{739505E3-24F2-4A92-871D-9C8033D5FE6F}"/>
    <cellStyle name="Normal 5 4 3 2 2 2 2 4" xfId="15835" xr:uid="{9EA23F7F-6925-4381-A45B-C296D5BF43C6}"/>
    <cellStyle name="Normal 5 4 3 2 2 2 3" xfId="20058" xr:uid="{CDA6A61F-C92C-425A-B444-17DC8A7B341F}"/>
    <cellStyle name="Normal 5 4 3 2 2 2 4" xfId="28505" xr:uid="{9CEBFA62-0D0F-4776-91F4-9D55B154905F}"/>
    <cellStyle name="Normal 5 4 3 2 2 2 5" xfId="11617" xr:uid="{37FE8CE5-D111-4E33-95F9-11E623CF3015}"/>
    <cellStyle name="Normal 5 4 3 2 2 3" xfId="5248" xr:uid="{00000000-0005-0000-0000-0000031B0000}"/>
    <cellStyle name="Normal 5 4 3 2 2 3 2" xfId="22131" xr:uid="{5016C9EC-6E05-4CCA-A2D1-0C0F741DF4D0}"/>
    <cellStyle name="Normal 5 4 3 2 2 3 3" xfId="30577" xr:uid="{D38D9FED-6089-4F6B-95FA-CD8A21FC44B8}"/>
    <cellStyle name="Normal 5 4 3 2 2 3 4" xfId="13690" xr:uid="{8A1A493C-0FE7-413C-A2A2-E5EDA07A5BD0}"/>
    <cellStyle name="Normal 5 4 3 2 2 4" xfId="17913" xr:uid="{9C07E6EB-D626-4954-910A-E99712CC1FD7}"/>
    <cellStyle name="Normal 5 4 3 2 2 5" xfId="26358" xr:uid="{37D8AFD0-13A2-46F0-85BA-FEEE6D6DDAA8}"/>
    <cellStyle name="Normal 5 4 3 2 2 6" xfId="9472" xr:uid="{D6E3F60E-9810-4033-9EE3-C36430CA2E76}"/>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24689" xr:uid="{0FDE0C0C-3DEB-472E-B87A-E8ECA2542491}"/>
    <cellStyle name="Normal 5 4 3 2 3 2 2 3" xfId="33135" xr:uid="{A91E670A-84F1-4F99-AEDD-A4512D4C5CA2}"/>
    <cellStyle name="Normal 5 4 3 2 3 2 2 4" xfId="16248" xr:uid="{5E45C1EA-9B5E-4054-862D-BB95C9299A90}"/>
    <cellStyle name="Normal 5 4 3 2 3 2 3" xfId="20471" xr:uid="{05C97A44-1822-4861-A509-55DF4369C107}"/>
    <cellStyle name="Normal 5 4 3 2 3 2 4" xfId="28918" xr:uid="{710AA768-BC2D-4C2B-B746-758420A3E58D}"/>
    <cellStyle name="Normal 5 4 3 2 3 2 5" xfId="12030" xr:uid="{E0C5688C-9E5B-41DF-9A0F-371F6B54BC12}"/>
    <cellStyle name="Normal 5 4 3 2 3 3" xfId="5661" xr:uid="{00000000-0005-0000-0000-0000071B0000}"/>
    <cellStyle name="Normal 5 4 3 2 3 3 2" xfId="22544" xr:uid="{635A093B-6308-423A-9D4F-1140AEDF6848}"/>
    <cellStyle name="Normal 5 4 3 2 3 3 3" xfId="30990" xr:uid="{6FDA973A-99F6-4CA4-8CAC-96B68DC5DAE8}"/>
    <cellStyle name="Normal 5 4 3 2 3 3 4" xfId="14103" xr:uid="{EA581A28-7F20-4970-8697-54AFA2120218}"/>
    <cellStyle name="Normal 5 4 3 2 3 4" xfId="18326" xr:uid="{5BBEF657-41BC-4C42-B833-95450031206C}"/>
    <cellStyle name="Normal 5 4 3 2 3 5" xfId="26771" xr:uid="{26129D17-792E-4EE0-9907-E1C147123F64}"/>
    <cellStyle name="Normal 5 4 3 2 3 6" xfId="9885" xr:uid="{0667FC7E-EBD2-4EA0-A0CD-DF554D185F47}"/>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25102" xr:uid="{1D3610EF-575E-4080-91CF-55542971D89C}"/>
    <cellStyle name="Normal 5 4 3 2 4 2 2 3" xfId="33548" xr:uid="{40AE22E6-4ED6-410D-965C-EF0797596D47}"/>
    <cellStyle name="Normal 5 4 3 2 4 2 2 4" xfId="16661" xr:uid="{29D9967A-F3EB-44AC-9CFB-2E70D91B19B5}"/>
    <cellStyle name="Normal 5 4 3 2 4 2 3" xfId="20884" xr:uid="{210E2228-0F61-40F1-9CA0-D0EAED8FE3D0}"/>
    <cellStyle name="Normal 5 4 3 2 4 2 4" xfId="29331" xr:uid="{BCC19187-B269-478C-9201-29C9FA282C60}"/>
    <cellStyle name="Normal 5 4 3 2 4 2 5" xfId="12443" xr:uid="{65AC41FD-157C-42FB-BDFA-06451F624DCB}"/>
    <cellStyle name="Normal 5 4 3 2 4 3" xfId="6074" xr:uid="{00000000-0005-0000-0000-00000B1B0000}"/>
    <cellStyle name="Normal 5 4 3 2 4 3 2" xfId="22957" xr:uid="{9EA66725-30AD-45A9-A836-E8F9B0668114}"/>
    <cellStyle name="Normal 5 4 3 2 4 3 3" xfId="31403" xr:uid="{AE19D2F2-6D40-4AFA-903E-BB3940ADCAB0}"/>
    <cellStyle name="Normal 5 4 3 2 4 3 4" xfId="14516" xr:uid="{9AB295FB-2F59-45E4-9C15-841C4ABCD577}"/>
    <cellStyle name="Normal 5 4 3 2 4 4" xfId="18739" xr:uid="{794DC89C-B466-487A-AD06-B7AF96F37528}"/>
    <cellStyle name="Normal 5 4 3 2 4 5" xfId="27184" xr:uid="{D6B4BFB9-D43A-4DFA-96AB-9B450C15C39A}"/>
    <cellStyle name="Normal 5 4 3 2 4 6" xfId="10298" xr:uid="{BE611F09-D93C-446D-A4B6-E93F33A71C50}"/>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25515" xr:uid="{BBDF6201-A34A-4892-A74E-FCE462C93073}"/>
    <cellStyle name="Normal 5 4 3 2 5 2 2 3" xfId="33961" xr:uid="{444858DD-F815-4E5B-9331-310787ED5E54}"/>
    <cellStyle name="Normal 5 4 3 2 5 2 2 4" xfId="17074" xr:uid="{D88664D9-0692-4894-B942-262B583B240F}"/>
    <cellStyle name="Normal 5 4 3 2 5 2 3" xfId="21297" xr:uid="{02D3BA8F-140E-4166-8EF2-5D6A7DE62B4C}"/>
    <cellStyle name="Normal 5 4 3 2 5 2 4" xfId="29744" xr:uid="{DC625E29-B359-4512-B5C9-AC6E427EE3D5}"/>
    <cellStyle name="Normal 5 4 3 2 5 2 5" xfId="12856" xr:uid="{9D361C67-D65C-4BBE-83D4-C0346A480BDE}"/>
    <cellStyle name="Normal 5 4 3 2 5 3" xfId="6487" xr:uid="{00000000-0005-0000-0000-00000F1B0000}"/>
    <cellStyle name="Normal 5 4 3 2 5 3 2" xfId="23370" xr:uid="{60D2E5EF-9479-4F79-A307-6ED07ADDB313}"/>
    <cellStyle name="Normal 5 4 3 2 5 3 3" xfId="31816" xr:uid="{43A962B1-B011-4ED4-8081-E0048C67E986}"/>
    <cellStyle name="Normal 5 4 3 2 5 3 4" xfId="14929" xr:uid="{D698E347-3E9A-4BC6-BD86-F1C721F3FFD7}"/>
    <cellStyle name="Normal 5 4 3 2 5 4" xfId="19152" xr:uid="{73F8DAF7-BCD2-4729-B17B-0DA653A579A5}"/>
    <cellStyle name="Normal 5 4 3 2 5 5" xfId="27597" xr:uid="{B896FEC1-C98B-48F4-906B-CEB5C9755D3B}"/>
    <cellStyle name="Normal 5 4 3 2 5 6" xfId="10711" xr:uid="{BE0526EA-0C10-4B28-8AB9-9BA15DA8365F}"/>
    <cellStyle name="Normal 5 4 3 2 6" xfId="2616" xr:uid="{00000000-0005-0000-0000-0000101B0000}"/>
    <cellStyle name="Normal 5 4 3 2 6 2" xfId="6900" xr:uid="{00000000-0005-0000-0000-0000111B0000}"/>
    <cellStyle name="Normal 5 4 3 2 6 2 2" xfId="23783" xr:uid="{9236E94F-0CD6-4E8D-9361-7F81C66EB9B5}"/>
    <cellStyle name="Normal 5 4 3 2 6 2 3" xfId="32229" xr:uid="{6E18C767-4339-4B1E-AA46-B46F1A451ED8}"/>
    <cellStyle name="Normal 5 4 3 2 6 2 4" xfId="15342" xr:uid="{E8CAA01E-A5C8-4C5D-B680-1A6F69B0DCE7}"/>
    <cellStyle name="Normal 5 4 3 2 6 3" xfId="19565" xr:uid="{0346FDA4-8535-405E-8055-B93E45B14DFD}"/>
    <cellStyle name="Normal 5 4 3 2 6 4" xfId="28010" xr:uid="{E89E83FB-B367-47A7-B818-986A6299BA17}"/>
    <cellStyle name="Normal 5 4 3 2 6 5" xfId="11124" xr:uid="{2FC9C29C-729E-4000-BE54-EA700B1065C2}"/>
    <cellStyle name="Normal 5 4 3 2 7" xfId="4835" xr:uid="{00000000-0005-0000-0000-0000121B0000}"/>
    <cellStyle name="Normal 5 4 3 2 7 2" xfId="21718" xr:uid="{7704A626-D3FE-4413-8282-C81F7AF503AD}"/>
    <cellStyle name="Normal 5 4 3 2 7 3" xfId="30164" xr:uid="{4CBC8D8C-A684-4DAF-84E3-839E20C8673F}"/>
    <cellStyle name="Normal 5 4 3 2 7 4" xfId="13277" xr:uid="{789E4B14-5AAA-4748-89D1-9849FEE3AFC6}"/>
    <cellStyle name="Normal 5 4 3 2 8" xfId="17500" xr:uid="{26CAEDCC-B693-4887-BB76-7E397549197F}"/>
    <cellStyle name="Normal 5 4 3 2 9" xfId="25944" xr:uid="{EA349656-0D0A-42A2-A482-A431D01E263B}"/>
    <cellStyle name="Normal 5 4 3 3" xfId="935" xr:uid="{00000000-0005-0000-0000-0000131B0000}"/>
    <cellStyle name="Normal 5 4 3 3 2" xfId="3169" xr:uid="{00000000-0005-0000-0000-0000141B0000}"/>
    <cellStyle name="Normal 5 4 3 3 2 2" xfId="7392" xr:uid="{00000000-0005-0000-0000-0000151B0000}"/>
    <cellStyle name="Normal 5 4 3 3 2 2 2" xfId="24275" xr:uid="{5DB3E126-2D3D-4E43-9C46-7931A7C60A6E}"/>
    <cellStyle name="Normal 5 4 3 3 2 2 3" xfId="32721" xr:uid="{73741F03-9AFE-4DEB-B402-1EB9C41429D3}"/>
    <cellStyle name="Normal 5 4 3 3 2 2 4" xfId="15834" xr:uid="{4DA08168-0ED1-4E61-BA8F-0B74BC9AFA46}"/>
    <cellStyle name="Normal 5 4 3 3 2 3" xfId="20057" xr:uid="{462AF3DA-0A8C-4723-9614-CE19C34914D5}"/>
    <cellStyle name="Normal 5 4 3 3 2 4" xfId="28504" xr:uid="{AC14F715-2644-4C7F-A44A-77381F80B20D}"/>
    <cellStyle name="Normal 5 4 3 3 2 5" xfId="11616" xr:uid="{06066626-E8CA-433D-AC4C-F4FFDFD9DF00}"/>
    <cellStyle name="Normal 5 4 3 3 3" xfId="5247" xr:uid="{00000000-0005-0000-0000-0000161B0000}"/>
    <cellStyle name="Normal 5 4 3 3 3 2" xfId="22130" xr:uid="{C0BBA973-E88B-49C9-B362-36F9A199294F}"/>
    <cellStyle name="Normal 5 4 3 3 3 3" xfId="30576" xr:uid="{0EB25F29-8C86-44D3-85BF-7FE166677AEA}"/>
    <cellStyle name="Normal 5 4 3 3 3 4" xfId="13689" xr:uid="{18FF3268-D563-4F7B-ABD7-6FCFDF3E65E7}"/>
    <cellStyle name="Normal 5 4 3 3 4" xfId="17912" xr:uid="{70372A7D-7974-4E7D-B128-D7F62A7CD08F}"/>
    <cellStyle name="Normal 5 4 3 3 5" xfId="26357" xr:uid="{467CA4CB-EF62-46A3-AC57-9D16D9B46A87}"/>
    <cellStyle name="Normal 5 4 3 3 6" xfId="9471" xr:uid="{B1DA2FF8-C0A8-4C71-837C-7F3252111B97}"/>
    <cellStyle name="Normal 5 4 3 4" xfId="1352" xr:uid="{00000000-0005-0000-0000-0000171B0000}"/>
    <cellStyle name="Normal 5 4 3 4 2" xfId="3582" xr:uid="{00000000-0005-0000-0000-0000181B0000}"/>
    <cellStyle name="Normal 5 4 3 4 2 2" xfId="7805" xr:uid="{00000000-0005-0000-0000-0000191B0000}"/>
    <cellStyle name="Normal 5 4 3 4 2 2 2" xfId="24688" xr:uid="{208BBEB8-FE91-41EA-A661-B97EAE6770DF}"/>
    <cellStyle name="Normal 5 4 3 4 2 2 3" xfId="33134" xr:uid="{CCBDD838-C512-4B14-97C1-EA47A825746B}"/>
    <cellStyle name="Normal 5 4 3 4 2 2 4" xfId="16247" xr:uid="{A6D22937-DD26-4328-8031-5D0D05BFDB95}"/>
    <cellStyle name="Normal 5 4 3 4 2 3" xfId="20470" xr:uid="{FEBDFFEB-D3A7-4A29-AB6C-1EB82483DF51}"/>
    <cellStyle name="Normal 5 4 3 4 2 4" xfId="28917" xr:uid="{BFA89416-99F6-4FC8-8739-9C73B6C2E1E4}"/>
    <cellStyle name="Normal 5 4 3 4 2 5" xfId="12029" xr:uid="{5C91A0C5-A076-40D5-B42A-C489DC14BE13}"/>
    <cellStyle name="Normal 5 4 3 4 3" xfId="5660" xr:uid="{00000000-0005-0000-0000-00001A1B0000}"/>
    <cellStyle name="Normal 5 4 3 4 3 2" xfId="22543" xr:uid="{F6FE8169-347E-42B0-9D3D-83BC1685E210}"/>
    <cellStyle name="Normal 5 4 3 4 3 3" xfId="30989" xr:uid="{D92A4499-4E16-4E52-A1C1-3046CAD53B3B}"/>
    <cellStyle name="Normal 5 4 3 4 3 4" xfId="14102" xr:uid="{7AE7BF41-D0DA-4AB4-8F31-63343347B0B3}"/>
    <cellStyle name="Normal 5 4 3 4 4" xfId="18325" xr:uid="{6F6D0302-CEF3-4716-B2FE-555079B23D5A}"/>
    <cellStyle name="Normal 5 4 3 4 5" xfId="26770" xr:uid="{6B23132F-3251-4650-889A-FCCF5DE3F9A8}"/>
    <cellStyle name="Normal 5 4 3 4 6" xfId="9884" xr:uid="{3FF36244-5081-4BF0-8B7C-0EB873428E54}"/>
    <cellStyle name="Normal 5 4 3 5" xfId="1765" xr:uid="{00000000-0005-0000-0000-00001B1B0000}"/>
    <cellStyle name="Normal 5 4 3 5 2" xfId="3995" xr:uid="{00000000-0005-0000-0000-00001C1B0000}"/>
    <cellStyle name="Normal 5 4 3 5 2 2" xfId="8218" xr:uid="{00000000-0005-0000-0000-00001D1B0000}"/>
    <cellStyle name="Normal 5 4 3 5 2 2 2" xfId="25101" xr:uid="{D65D0C7F-BAB2-4C68-8CAE-AFCCE449A7ED}"/>
    <cellStyle name="Normal 5 4 3 5 2 2 3" xfId="33547" xr:uid="{C152F265-B243-4521-A02F-D5FE01EEBE6D}"/>
    <cellStyle name="Normal 5 4 3 5 2 2 4" xfId="16660" xr:uid="{0B413A68-1B78-44D9-B7A8-2B99E8426999}"/>
    <cellStyle name="Normal 5 4 3 5 2 3" xfId="20883" xr:uid="{04711DA9-07C4-4428-A744-B64DDD16BCBE}"/>
    <cellStyle name="Normal 5 4 3 5 2 4" xfId="29330" xr:uid="{23E90B43-8775-4FF4-94DC-5D4C5766846A}"/>
    <cellStyle name="Normal 5 4 3 5 2 5" xfId="12442" xr:uid="{57299AB5-6463-482B-A898-69E8029100EA}"/>
    <cellStyle name="Normal 5 4 3 5 3" xfId="6073" xr:uid="{00000000-0005-0000-0000-00001E1B0000}"/>
    <cellStyle name="Normal 5 4 3 5 3 2" xfId="22956" xr:uid="{15AA6A1D-43CF-4002-82C7-0317B665D342}"/>
    <cellStyle name="Normal 5 4 3 5 3 3" xfId="31402" xr:uid="{8F95B8BB-D338-4CF8-BF7E-33F5A9AF8634}"/>
    <cellStyle name="Normal 5 4 3 5 3 4" xfId="14515" xr:uid="{5672FD78-A2F3-4478-969C-80F72AFF5B89}"/>
    <cellStyle name="Normal 5 4 3 5 4" xfId="18738" xr:uid="{6171D763-D62D-4EF2-AEF5-91D0A920617E}"/>
    <cellStyle name="Normal 5 4 3 5 5" xfId="27183" xr:uid="{D2C8B592-2BA7-4099-A0B1-EFADB21E3CF0}"/>
    <cellStyle name="Normal 5 4 3 5 6" xfId="10297" xr:uid="{641E8E36-5193-4DCF-A830-FECCF2ABBE4B}"/>
    <cellStyle name="Normal 5 4 3 6" xfId="2179" xr:uid="{00000000-0005-0000-0000-00001F1B0000}"/>
    <cellStyle name="Normal 5 4 3 6 2" xfId="4408" xr:uid="{00000000-0005-0000-0000-0000201B0000}"/>
    <cellStyle name="Normal 5 4 3 6 2 2" xfId="8631" xr:uid="{00000000-0005-0000-0000-0000211B0000}"/>
    <cellStyle name="Normal 5 4 3 6 2 2 2" xfId="25514" xr:uid="{3FF68F7F-38B2-4D33-81E0-AE578E9CD851}"/>
    <cellStyle name="Normal 5 4 3 6 2 2 3" xfId="33960" xr:uid="{D8B4366A-E0E8-4EAA-9607-5CA4765D6A0A}"/>
    <cellStyle name="Normal 5 4 3 6 2 2 4" xfId="17073" xr:uid="{01605498-EE7C-4F80-ADF9-944177AC46E2}"/>
    <cellStyle name="Normal 5 4 3 6 2 3" xfId="21296" xr:uid="{A15E5AEF-CB68-4CCF-BAAB-2674FF30B4A2}"/>
    <cellStyle name="Normal 5 4 3 6 2 4" xfId="29743" xr:uid="{7A7C7571-B545-4B0C-9F56-CA6451DA4D5B}"/>
    <cellStyle name="Normal 5 4 3 6 2 5" xfId="12855" xr:uid="{4390F44D-B93B-497E-931E-D0A14F6E6AF1}"/>
    <cellStyle name="Normal 5 4 3 6 3" xfId="6486" xr:uid="{00000000-0005-0000-0000-0000221B0000}"/>
    <cellStyle name="Normal 5 4 3 6 3 2" xfId="23369" xr:uid="{F3807907-C918-4740-9A81-FCFED8DE5174}"/>
    <cellStyle name="Normal 5 4 3 6 3 3" xfId="31815" xr:uid="{B07138C3-3359-450E-8101-F87821E44477}"/>
    <cellStyle name="Normal 5 4 3 6 3 4" xfId="14928" xr:uid="{119063A7-8BD5-4A82-A219-99BA0FBE967D}"/>
    <cellStyle name="Normal 5 4 3 6 4" xfId="19151" xr:uid="{452518F6-BB71-46E8-BE59-874540897124}"/>
    <cellStyle name="Normal 5 4 3 6 5" xfId="27596" xr:uid="{3E9EE29A-DF1E-423A-B1D4-631597903283}"/>
    <cellStyle name="Normal 5 4 3 6 6" xfId="10710" xr:uid="{B41A4A16-5294-4DEF-877A-DF38BA35C667}"/>
    <cellStyle name="Normal 5 4 3 7" xfId="2615" xr:uid="{00000000-0005-0000-0000-0000231B0000}"/>
    <cellStyle name="Normal 5 4 3 7 2" xfId="6899" xr:uid="{00000000-0005-0000-0000-0000241B0000}"/>
    <cellStyle name="Normal 5 4 3 7 2 2" xfId="23782" xr:uid="{BF05BBD0-5571-4F4C-9577-A9B8DA336B45}"/>
    <cellStyle name="Normal 5 4 3 7 2 3" xfId="32228" xr:uid="{5329EF8A-BB2D-44FD-ADE0-A38AFE8EF879}"/>
    <cellStyle name="Normal 5 4 3 7 2 4" xfId="15341" xr:uid="{67FA425E-207A-44DC-8C68-35A5E27C3430}"/>
    <cellStyle name="Normal 5 4 3 7 3" xfId="19564" xr:uid="{6F9C5ECC-19A4-4F2E-9083-6B1C1B27080B}"/>
    <cellStyle name="Normal 5 4 3 7 4" xfId="28009" xr:uid="{8D2802A6-D96B-473D-8008-651E3EFD13BC}"/>
    <cellStyle name="Normal 5 4 3 7 5" xfId="11123" xr:uid="{B6C267E4-2165-419B-AFE0-47C5F5A3A507}"/>
    <cellStyle name="Normal 5 4 3 8" xfId="4834" xr:uid="{00000000-0005-0000-0000-0000251B0000}"/>
    <cellStyle name="Normal 5 4 3 8 2" xfId="21717" xr:uid="{D577AFF8-8C6E-4DFE-B7C7-9863C807DF11}"/>
    <cellStyle name="Normal 5 4 3 8 3" xfId="30163" xr:uid="{C9F7D49B-D75F-47D0-8728-2AC5B28E2914}"/>
    <cellStyle name="Normal 5 4 3 8 4" xfId="13276" xr:uid="{FAE66520-0CB5-4E82-935A-1255E5EF45BE}"/>
    <cellStyle name="Normal 5 4 3 9" xfId="17499" xr:uid="{24046BB5-95E5-4E20-94E6-817B6B86C888}"/>
    <cellStyle name="Normal 5 4 4" xfId="463" xr:uid="{00000000-0005-0000-0000-0000261B0000}"/>
    <cellStyle name="Normal 5 4 4 10" xfId="9060" xr:uid="{A30EF75D-02D8-4D42-BF33-1AC70C56C214}"/>
    <cellStyle name="Normal 5 4 4 2" xfId="937" xr:uid="{00000000-0005-0000-0000-0000271B0000}"/>
    <cellStyle name="Normal 5 4 4 2 2" xfId="3171" xr:uid="{00000000-0005-0000-0000-0000281B0000}"/>
    <cellStyle name="Normal 5 4 4 2 2 2" xfId="7394" xr:uid="{00000000-0005-0000-0000-0000291B0000}"/>
    <cellStyle name="Normal 5 4 4 2 2 2 2" xfId="24277" xr:uid="{84C4EBAA-CD5A-42CB-B581-2DA32461DC4F}"/>
    <cellStyle name="Normal 5 4 4 2 2 2 3" xfId="32723" xr:uid="{B82A3C10-7E68-45CE-AD27-1A09D9EE450A}"/>
    <cellStyle name="Normal 5 4 4 2 2 2 4" xfId="15836" xr:uid="{C6007939-641B-404E-AFB5-6A381E45C795}"/>
    <cellStyle name="Normal 5 4 4 2 2 3" xfId="20059" xr:uid="{00928A26-CC0A-4B57-90ED-DDDBC960C85E}"/>
    <cellStyle name="Normal 5 4 4 2 2 4" xfId="28506" xr:uid="{5CF60191-8BE1-46E6-9FF3-2660CEEAB5C1}"/>
    <cellStyle name="Normal 5 4 4 2 2 5" xfId="11618" xr:uid="{B69C42AB-FBAB-4F04-985B-9CDE7752B478}"/>
    <cellStyle name="Normal 5 4 4 2 3" xfId="5249" xr:uid="{00000000-0005-0000-0000-00002A1B0000}"/>
    <cellStyle name="Normal 5 4 4 2 3 2" xfId="22132" xr:uid="{703A0447-DAFF-4CD7-ACAD-BCED204DE387}"/>
    <cellStyle name="Normal 5 4 4 2 3 3" xfId="30578" xr:uid="{07533126-D60C-4D65-8375-60FDBCC1F0D5}"/>
    <cellStyle name="Normal 5 4 4 2 3 4" xfId="13691" xr:uid="{51B4F2AC-50C4-4F50-999D-BA08210083D2}"/>
    <cellStyle name="Normal 5 4 4 2 4" xfId="17914" xr:uid="{63049833-37CB-487F-82E4-CD68543F8CF5}"/>
    <cellStyle name="Normal 5 4 4 2 5" xfId="26359" xr:uid="{3AE0D817-997B-4127-AE00-AF09B731A2FC}"/>
    <cellStyle name="Normal 5 4 4 2 6" xfId="9473" xr:uid="{076C6A75-0680-44BF-BB8D-0BAE5F212605}"/>
    <cellStyle name="Normal 5 4 4 3" xfId="1354" xr:uid="{00000000-0005-0000-0000-00002B1B0000}"/>
    <cellStyle name="Normal 5 4 4 3 2" xfId="3584" xr:uid="{00000000-0005-0000-0000-00002C1B0000}"/>
    <cellStyle name="Normal 5 4 4 3 2 2" xfId="7807" xr:uid="{00000000-0005-0000-0000-00002D1B0000}"/>
    <cellStyle name="Normal 5 4 4 3 2 2 2" xfId="24690" xr:uid="{562EB03C-BFB2-4940-BF36-BC50C9E9F6B5}"/>
    <cellStyle name="Normal 5 4 4 3 2 2 3" xfId="33136" xr:uid="{E68B0350-5548-49EE-8360-5FE39BCECEDC}"/>
    <cellStyle name="Normal 5 4 4 3 2 2 4" xfId="16249" xr:uid="{9E0E3F5C-ECF7-48B4-952E-BFD0D760B4FD}"/>
    <cellStyle name="Normal 5 4 4 3 2 3" xfId="20472" xr:uid="{08F51210-AE64-491F-90FD-2A613F7F87C2}"/>
    <cellStyle name="Normal 5 4 4 3 2 4" xfId="28919" xr:uid="{EDEF6085-9B69-431E-8E05-DE344EDA1C16}"/>
    <cellStyle name="Normal 5 4 4 3 2 5" xfId="12031" xr:uid="{684ED0AD-3306-40CC-A6CE-792DE1E6B822}"/>
    <cellStyle name="Normal 5 4 4 3 3" xfId="5662" xr:uid="{00000000-0005-0000-0000-00002E1B0000}"/>
    <cellStyle name="Normal 5 4 4 3 3 2" xfId="22545" xr:uid="{4CFB8E1E-87CE-424B-B86A-4800F34E387C}"/>
    <cellStyle name="Normal 5 4 4 3 3 3" xfId="30991" xr:uid="{67767291-98F8-4B15-89CF-C3F4D8DDCFAA}"/>
    <cellStyle name="Normal 5 4 4 3 3 4" xfId="14104" xr:uid="{95EB73F2-5724-428B-8C09-ACBF0B751945}"/>
    <cellStyle name="Normal 5 4 4 3 4" xfId="18327" xr:uid="{CEEAFF12-7DA1-4D7E-B23E-EE530C18DA86}"/>
    <cellStyle name="Normal 5 4 4 3 5" xfId="26772" xr:uid="{A8FB554D-AAEF-4542-B264-5A7D88AB6741}"/>
    <cellStyle name="Normal 5 4 4 3 6" xfId="9886" xr:uid="{CB759D21-6C29-43EC-9D9B-6E0BFE0082EF}"/>
    <cellStyle name="Normal 5 4 4 4" xfId="1767" xr:uid="{00000000-0005-0000-0000-00002F1B0000}"/>
    <cellStyle name="Normal 5 4 4 4 2" xfId="3997" xr:uid="{00000000-0005-0000-0000-0000301B0000}"/>
    <cellStyle name="Normal 5 4 4 4 2 2" xfId="8220" xr:uid="{00000000-0005-0000-0000-0000311B0000}"/>
    <cellStyle name="Normal 5 4 4 4 2 2 2" xfId="25103" xr:uid="{CE12B717-1CF2-47C0-9601-FD7210FD69CD}"/>
    <cellStyle name="Normal 5 4 4 4 2 2 3" xfId="33549" xr:uid="{BE345E05-DD34-43F3-939B-1294E9D0E56A}"/>
    <cellStyle name="Normal 5 4 4 4 2 2 4" xfId="16662" xr:uid="{D37CBA08-BFF2-4DFD-9B8D-AE696FE97A4B}"/>
    <cellStyle name="Normal 5 4 4 4 2 3" xfId="20885" xr:uid="{19899D6B-C806-436C-9D1F-198D31E460EE}"/>
    <cellStyle name="Normal 5 4 4 4 2 4" xfId="29332" xr:uid="{3A15DD6C-816E-4D62-BA26-87B73256987F}"/>
    <cellStyle name="Normal 5 4 4 4 2 5" xfId="12444" xr:uid="{5DF70126-0D71-481B-AB35-78FB8618E12D}"/>
    <cellStyle name="Normal 5 4 4 4 3" xfId="6075" xr:uid="{00000000-0005-0000-0000-0000321B0000}"/>
    <cellStyle name="Normal 5 4 4 4 3 2" xfId="22958" xr:uid="{6178C9DD-F7FB-43EB-BB00-2E38ED5F3476}"/>
    <cellStyle name="Normal 5 4 4 4 3 3" xfId="31404" xr:uid="{09ACF342-7D65-4416-9432-49A9801CA2F6}"/>
    <cellStyle name="Normal 5 4 4 4 3 4" xfId="14517" xr:uid="{167AEB02-1260-478C-9D94-3418CD52B11E}"/>
    <cellStyle name="Normal 5 4 4 4 4" xfId="18740" xr:uid="{AC20B9CF-BB65-4FC4-B506-C5462A6B6512}"/>
    <cellStyle name="Normal 5 4 4 4 5" xfId="27185" xr:uid="{B3395180-C53D-40B3-8D09-373C3198BC05}"/>
    <cellStyle name="Normal 5 4 4 4 6" xfId="10299" xr:uid="{C07D9920-DB78-4C27-9F97-DD203704AA24}"/>
    <cellStyle name="Normal 5 4 4 5" xfId="2181" xr:uid="{00000000-0005-0000-0000-0000331B0000}"/>
    <cellStyle name="Normal 5 4 4 5 2" xfId="4410" xr:uid="{00000000-0005-0000-0000-0000341B0000}"/>
    <cellStyle name="Normal 5 4 4 5 2 2" xfId="8633" xr:uid="{00000000-0005-0000-0000-0000351B0000}"/>
    <cellStyle name="Normal 5 4 4 5 2 2 2" xfId="25516" xr:uid="{3FC1BE88-90F8-42D7-A2C4-4000E47337C8}"/>
    <cellStyle name="Normal 5 4 4 5 2 2 3" xfId="33962" xr:uid="{4DEAEF09-8795-4962-874D-4D4079AC1C06}"/>
    <cellStyle name="Normal 5 4 4 5 2 2 4" xfId="17075" xr:uid="{5EE33833-96C7-43BD-AACD-6F3D836B310B}"/>
    <cellStyle name="Normal 5 4 4 5 2 3" xfId="21298" xr:uid="{53F3FEDF-38A8-4D30-BED7-B22AC754A08E}"/>
    <cellStyle name="Normal 5 4 4 5 2 4" xfId="29745" xr:uid="{D22226BF-1FCB-421F-AFA9-84DF5365957D}"/>
    <cellStyle name="Normal 5 4 4 5 2 5" xfId="12857" xr:uid="{D0FC7EA8-37E8-4821-B245-EC8F4A42A467}"/>
    <cellStyle name="Normal 5 4 4 5 3" xfId="6488" xr:uid="{00000000-0005-0000-0000-0000361B0000}"/>
    <cellStyle name="Normal 5 4 4 5 3 2" xfId="23371" xr:uid="{DD22A6F4-2937-4533-A99C-7205D841F73E}"/>
    <cellStyle name="Normal 5 4 4 5 3 3" xfId="31817" xr:uid="{DFB874B1-9053-4B21-A547-B29B75FB54BA}"/>
    <cellStyle name="Normal 5 4 4 5 3 4" xfId="14930" xr:uid="{01892CB8-48C3-4E1C-B539-CA583C50EFE5}"/>
    <cellStyle name="Normal 5 4 4 5 4" xfId="19153" xr:uid="{1C88E14C-588F-4C8A-A61A-7BC4074DB990}"/>
    <cellStyle name="Normal 5 4 4 5 5" xfId="27598" xr:uid="{1D9F4CCD-E84A-4B39-A874-BF2BBFD86BE8}"/>
    <cellStyle name="Normal 5 4 4 5 6" xfId="10712" xr:uid="{E79BCBDB-7AD5-4A9B-A22E-EF5F23CFF5DD}"/>
    <cellStyle name="Normal 5 4 4 6" xfId="2617" xr:uid="{00000000-0005-0000-0000-0000371B0000}"/>
    <cellStyle name="Normal 5 4 4 6 2" xfId="6901" xr:uid="{00000000-0005-0000-0000-0000381B0000}"/>
    <cellStyle name="Normal 5 4 4 6 2 2" xfId="23784" xr:uid="{E9580068-0A46-4CE7-B85D-438DB998CB65}"/>
    <cellStyle name="Normal 5 4 4 6 2 3" xfId="32230" xr:uid="{2683E4B0-020A-4B38-B771-DD9B4C414947}"/>
    <cellStyle name="Normal 5 4 4 6 2 4" xfId="15343" xr:uid="{7B9A98E3-EB16-4650-A581-9797DC2F77BD}"/>
    <cellStyle name="Normal 5 4 4 6 3" xfId="19566" xr:uid="{2BD842B5-BD00-42A8-8C91-8D29D89E64D1}"/>
    <cellStyle name="Normal 5 4 4 6 4" xfId="28011" xr:uid="{84F28B43-0D38-4072-86B9-0B8BC6EEA8FA}"/>
    <cellStyle name="Normal 5 4 4 6 5" xfId="11125" xr:uid="{A8592F46-AD18-4BD3-9716-E04B4D2C55C5}"/>
    <cellStyle name="Normal 5 4 4 7" xfId="4836" xr:uid="{00000000-0005-0000-0000-0000391B0000}"/>
    <cellStyle name="Normal 5 4 4 7 2" xfId="21719" xr:uid="{8BD3DFAD-50A0-41AE-8601-5C736B247656}"/>
    <cellStyle name="Normal 5 4 4 7 3" xfId="30165" xr:uid="{B4578EEA-931F-4AAB-84C4-6E3EE96B60C9}"/>
    <cellStyle name="Normal 5 4 4 7 4" xfId="13278" xr:uid="{1AE525C1-D71C-4079-A30A-E91131E5191F}"/>
    <cellStyle name="Normal 5 4 4 8" xfId="17501" xr:uid="{F1F483F2-B822-4844-A500-810FB2D8E064}"/>
    <cellStyle name="Normal 5 4 4 9" xfId="25945" xr:uid="{A6EE2E22-348A-4503-8B11-18D06344D8B8}"/>
    <cellStyle name="Normal 5 4 5" xfId="930" xr:uid="{00000000-0005-0000-0000-00003A1B0000}"/>
    <cellStyle name="Normal 5 4 5 2" xfId="3164" xr:uid="{00000000-0005-0000-0000-00003B1B0000}"/>
    <cellStyle name="Normal 5 4 5 2 2" xfId="7387" xr:uid="{00000000-0005-0000-0000-00003C1B0000}"/>
    <cellStyle name="Normal 5 4 5 2 2 2" xfId="24270" xr:uid="{514B4BFA-BD5F-4BDB-93B4-FDDAC1C1DBDA}"/>
    <cellStyle name="Normal 5 4 5 2 2 3" xfId="32716" xr:uid="{81A25712-F8DC-480D-9AFF-42672ED67197}"/>
    <cellStyle name="Normal 5 4 5 2 2 4" xfId="15829" xr:uid="{C6EFBE00-FF09-4444-AB77-2ECB5279A802}"/>
    <cellStyle name="Normal 5 4 5 2 3" xfId="20052" xr:uid="{9679F618-F12A-421C-8CE8-45930BC6F66F}"/>
    <cellStyle name="Normal 5 4 5 2 4" xfId="28499" xr:uid="{E745129C-DE06-4D72-9D2F-0589BC5D353C}"/>
    <cellStyle name="Normal 5 4 5 2 5" xfId="11611" xr:uid="{4AAAE670-4AF6-455E-B40F-003BA1FB5A24}"/>
    <cellStyle name="Normal 5 4 5 3" xfId="5242" xr:uid="{00000000-0005-0000-0000-00003D1B0000}"/>
    <cellStyle name="Normal 5 4 5 3 2" xfId="22125" xr:uid="{B0B36E0E-3621-45B1-917A-E144941F9983}"/>
    <cellStyle name="Normal 5 4 5 3 3" xfId="30571" xr:uid="{22400E6A-49E2-4822-9763-9331C33BDF62}"/>
    <cellStyle name="Normal 5 4 5 3 4" xfId="13684" xr:uid="{292C8902-89E7-4DA4-B13D-091C4FBB7A52}"/>
    <cellStyle name="Normal 5 4 5 4" xfId="17907" xr:uid="{F23891D0-7FFF-445F-8B3D-31EAB56937B7}"/>
    <cellStyle name="Normal 5 4 5 5" xfId="26352" xr:uid="{4C2CF71C-4C86-4DE2-8400-4BEEA470C3AB}"/>
    <cellStyle name="Normal 5 4 5 6" xfId="9466" xr:uid="{701004B5-4FF8-4FBD-B644-FECAF2D630E0}"/>
    <cellStyle name="Normal 5 4 6" xfId="1347" xr:uid="{00000000-0005-0000-0000-00003E1B0000}"/>
    <cellStyle name="Normal 5 4 6 2" xfId="3577" xr:uid="{00000000-0005-0000-0000-00003F1B0000}"/>
    <cellStyle name="Normal 5 4 6 2 2" xfId="7800" xr:uid="{00000000-0005-0000-0000-0000401B0000}"/>
    <cellStyle name="Normal 5 4 6 2 2 2" xfId="24683" xr:uid="{9BF6ABC4-1227-45B5-8A69-D00AB8BE3F4A}"/>
    <cellStyle name="Normal 5 4 6 2 2 3" xfId="33129" xr:uid="{F1E10E83-FDF3-497A-B766-616C38D5ADE0}"/>
    <cellStyle name="Normal 5 4 6 2 2 4" xfId="16242" xr:uid="{500CEA9A-143F-4012-A738-BEBEECF4FFEF}"/>
    <cellStyle name="Normal 5 4 6 2 3" xfId="20465" xr:uid="{8CB0FCBB-E50B-4B01-AA5C-62F0EB592233}"/>
    <cellStyle name="Normal 5 4 6 2 4" xfId="28912" xr:uid="{A38321D1-5AF6-481E-A8EC-43653B4CF402}"/>
    <cellStyle name="Normal 5 4 6 2 5" xfId="12024" xr:uid="{E39EB623-1B29-4C6B-AE09-8BCD7DC85B78}"/>
    <cellStyle name="Normal 5 4 6 3" xfId="5655" xr:uid="{00000000-0005-0000-0000-0000411B0000}"/>
    <cellStyle name="Normal 5 4 6 3 2" xfId="22538" xr:uid="{472BD0CD-0651-4F0E-8BAF-D517A33A71FF}"/>
    <cellStyle name="Normal 5 4 6 3 3" xfId="30984" xr:uid="{3EE7CAC5-E4E7-42D5-B743-67D1781FD4D9}"/>
    <cellStyle name="Normal 5 4 6 3 4" xfId="14097" xr:uid="{F0F3A3EE-EFEE-4779-A50D-0CDF9581E504}"/>
    <cellStyle name="Normal 5 4 6 4" xfId="18320" xr:uid="{2513D6A2-B535-4384-B060-A967EAB8078A}"/>
    <cellStyle name="Normal 5 4 6 5" xfId="26765" xr:uid="{480C54A2-7861-418B-A428-2F65CED69111}"/>
    <cellStyle name="Normal 5 4 6 6" xfId="9879" xr:uid="{55E7D1DE-03D5-4DBC-B62B-B474A36FD71F}"/>
    <cellStyle name="Normal 5 4 7" xfId="1760" xr:uid="{00000000-0005-0000-0000-0000421B0000}"/>
    <cellStyle name="Normal 5 4 7 2" xfId="3990" xr:uid="{00000000-0005-0000-0000-0000431B0000}"/>
    <cellStyle name="Normal 5 4 7 2 2" xfId="8213" xr:uid="{00000000-0005-0000-0000-0000441B0000}"/>
    <cellStyle name="Normal 5 4 7 2 2 2" xfId="25096" xr:uid="{DCC3E3FD-88CF-45C1-B646-A44BAF2C8CF8}"/>
    <cellStyle name="Normal 5 4 7 2 2 3" xfId="33542" xr:uid="{20F20616-53DF-4C43-8334-2C2E7652BE09}"/>
    <cellStyle name="Normal 5 4 7 2 2 4" xfId="16655" xr:uid="{5AF2167E-72B1-483E-B2A6-6F325681E8E0}"/>
    <cellStyle name="Normal 5 4 7 2 3" xfId="20878" xr:uid="{A8004AEB-6834-47A0-A0EF-1418FD889231}"/>
    <cellStyle name="Normal 5 4 7 2 4" xfId="29325" xr:uid="{B74CACD7-A53B-4939-8BD4-09AF678AF7EF}"/>
    <cellStyle name="Normal 5 4 7 2 5" xfId="12437" xr:uid="{B755197F-53A0-44AA-885B-F50075B49B0F}"/>
    <cellStyle name="Normal 5 4 7 3" xfId="6068" xr:uid="{00000000-0005-0000-0000-0000451B0000}"/>
    <cellStyle name="Normal 5 4 7 3 2" xfId="22951" xr:uid="{0B72A9CF-D36E-4303-B181-54CE4207D0E7}"/>
    <cellStyle name="Normal 5 4 7 3 3" xfId="31397" xr:uid="{A37BF1C5-4DF7-4C3C-AFF8-EF1F7B33B73E}"/>
    <cellStyle name="Normal 5 4 7 3 4" xfId="14510" xr:uid="{A21A99CE-C2D7-41E5-9C2E-13E4D267FA85}"/>
    <cellStyle name="Normal 5 4 7 4" xfId="18733" xr:uid="{B2808E3C-E436-4C47-800D-8C640C1DFD6F}"/>
    <cellStyle name="Normal 5 4 7 5" xfId="27178" xr:uid="{2ADE6343-19E8-432B-AF41-382EE934A42B}"/>
    <cellStyle name="Normal 5 4 7 6" xfId="10292" xr:uid="{95D2C693-A201-4C7D-BB6F-C4309FC0ABFD}"/>
    <cellStyle name="Normal 5 4 8" xfId="2174" xr:uid="{00000000-0005-0000-0000-0000461B0000}"/>
    <cellStyle name="Normal 5 4 8 2" xfId="4403" xr:uid="{00000000-0005-0000-0000-0000471B0000}"/>
    <cellStyle name="Normal 5 4 8 2 2" xfId="8626" xr:uid="{00000000-0005-0000-0000-0000481B0000}"/>
    <cellStyle name="Normal 5 4 8 2 2 2" xfId="25509" xr:uid="{2DEC9D81-C3C1-4871-80EA-92F0078306A0}"/>
    <cellStyle name="Normal 5 4 8 2 2 3" xfId="33955" xr:uid="{003772C8-8849-44BC-865A-49D6C88D67B9}"/>
    <cellStyle name="Normal 5 4 8 2 2 4" xfId="17068" xr:uid="{3F5ED574-685C-4014-A328-9378BF2AB9D9}"/>
    <cellStyle name="Normal 5 4 8 2 3" xfId="21291" xr:uid="{5C1E5743-8902-4CA1-8B9E-826A9765CC45}"/>
    <cellStyle name="Normal 5 4 8 2 4" xfId="29738" xr:uid="{56895E2F-B236-4571-8606-054868C1F857}"/>
    <cellStyle name="Normal 5 4 8 2 5" xfId="12850" xr:uid="{0880A6C9-AEDB-49E2-A697-DD191ED78EF0}"/>
    <cellStyle name="Normal 5 4 8 3" xfId="6481" xr:uid="{00000000-0005-0000-0000-0000491B0000}"/>
    <cellStyle name="Normal 5 4 8 3 2" xfId="23364" xr:uid="{448268E1-5EEF-4395-AC80-E7076E61924C}"/>
    <cellStyle name="Normal 5 4 8 3 3" xfId="31810" xr:uid="{3C7FCD96-A8C0-4470-8238-DB1F0D08909A}"/>
    <cellStyle name="Normal 5 4 8 3 4" xfId="14923" xr:uid="{7E894966-2157-43F5-9008-A8C08E0728CD}"/>
    <cellStyle name="Normal 5 4 8 4" xfId="19146" xr:uid="{20FE86C8-9350-424D-946E-88FC7CCDECFA}"/>
    <cellStyle name="Normal 5 4 8 5" xfId="27591" xr:uid="{51379692-2B6B-49D9-9C07-F7F67A0BF1BB}"/>
    <cellStyle name="Normal 5 4 8 6" xfId="10705" xr:uid="{8ACF435C-8903-4AE0-94BB-4D0B97381318}"/>
    <cellStyle name="Normal 5 4 9" xfId="2610" xr:uid="{00000000-0005-0000-0000-00004A1B0000}"/>
    <cellStyle name="Normal 5 4 9 2" xfId="6894" xr:uid="{00000000-0005-0000-0000-00004B1B0000}"/>
    <cellStyle name="Normal 5 4 9 2 2" xfId="23777" xr:uid="{1E1F11E7-1484-45F3-8A46-C730FBCBEB60}"/>
    <cellStyle name="Normal 5 4 9 2 3" xfId="32223" xr:uid="{E4B4C2CC-4111-4C73-B1E6-0344AD8696B2}"/>
    <cellStyle name="Normal 5 4 9 2 4" xfId="15336" xr:uid="{1D7AAD66-840C-4123-9D10-5729721DBF04}"/>
    <cellStyle name="Normal 5 4 9 3" xfId="19559" xr:uid="{EE622B48-64A1-4BD1-8E0F-483A245507B1}"/>
    <cellStyle name="Normal 5 4 9 4" xfId="28004" xr:uid="{BC5E5C9D-14AB-4557-8CB6-4A7B3EFB3C35}"/>
    <cellStyle name="Normal 5 4 9 5" xfId="11118" xr:uid="{F24585F9-EE40-42C2-87C9-6231CA9B460C}"/>
    <cellStyle name="Normal 5 5" xfId="464" xr:uid="{00000000-0005-0000-0000-00004C1B0000}"/>
    <cellStyle name="Normal 5 5 10" xfId="17502" xr:uid="{828D7A37-F7F4-4802-A9E1-F158D84881E3}"/>
    <cellStyle name="Normal 5 5 11" xfId="25946" xr:uid="{82914391-3D88-4D2D-A31E-D9399E926B91}"/>
    <cellStyle name="Normal 5 5 12" xfId="9061" xr:uid="{12E58496-F886-4322-B5D1-09906EEDC057}"/>
    <cellStyle name="Normal 5 5 2" xfId="465" xr:uid="{00000000-0005-0000-0000-00004D1B0000}"/>
    <cellStyle name="Normal 5 5 2 10" xfId="25947" xr:uid="{03B148A3-6142-4BDC-B438-073DB13A4A9B}"/>
    <cellStyle name="Normal 5 5 2 11" xfId="9062" xr:uid="{E4AB2805-7E90-41C0-8EB3-2DC66CB89FAC}"/>
    <cellStyle name="Normal 5 5 2 2" xfId="466" xr:uid="{00000000-0005-0000-0000-00004E1B0000}"/>
    <cellStyle name="Normal 5 5 2 2 10" xfId="9063" xr:uid="{0EA5D315-157C-4CBF-8F9F-BF527BB93547}"/>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24280" xr:uid="{CCF41380-CECA-4730-8C41-8D2FEB5E822E}"/>
    <cellStyle name="Normal 5 5 2 2 2 2 2 3" xfId="32726" xr:uid="{F1B97151-59D6-4718-8B42-5EDE056B18BF}"/>
    <cellStyle name="Normal 5 5 2 2 2 2 2 4" xfId="15839" xr:uid="{43E2C0E7-9A17-4403-84F0-70BCEBA303C1}"/>
    <cellStyle name="Normal 5 5 2 2 2 2 3" xfId="20062" xr:uid="{AB94CB56-2B55-47D2-98AB-49094DC12503}"/>
    <cellStyle name="Normal 5 5 2 2 2 2 4" xfId="28509" xr:uid="{925FEEAC-B91A-46E5-8517-80B1F995C488}"/>
    <cellStyle name="Normal 5 5 2 2 2 2 5" xfId="11621" xr:uid="{DFF0EE82-F403-4623-875E-A577C52A32FF}"/>
    <cellStyle name="Normal 5 5 2 2 2 3" xfId="5252" xr:uid="{00000000-0005-0000-0000-0000521B0000}"/>
    <cellStyle name="Normal 5 5 2 2 2 3 2" xfId="22135" xr:uid="{6331A0B4-4ADC-4387-BB68-CDD677E2AE7B}"/>
    <cellStyle name="Normal 5 5 2 2 2 3 3" xfId="30581" xr:uid="{1BAB45CB-C80B-4381-B90C-E09D05975C3F}"/>
    <cellStyle name="Normal 5 5 2 2 2 3 4" xfId="13694" xr:uid="{46D3BC73-9E48-40BB-8F21-4DC2398805DC}"/>
    <cellStyle name="Normal 5 5 2 2 2 4" xfId="17917" xr:uid="{911651F5-7DCF-4BDC-93A5-B62E4D5FDB60}"/>
    <cellStyle name="Normal 5 5 2 2 2 5" xfId="26362" xr:uid="{3E53B00B-5A02-4D0B-BE43-F5E0BEA5BE0E}"/>
    <cellStyle name="Normal 5 5 2 2 2 6" xfId="9476" xr:uid="{AC6FB4DE-3D15-410A-86F7-2363089BEA09}"/>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24693" xr:uid="{31897419-62F2-4D0B-8E21-2A90F44782B4}"/>
    <cellStyle name="Normal 5 5 2 2 3 2 2 3" xfId="33139" xr:uid="{2A34786A-ADC5-4E31-98EB-D14A3A81D7D2}"/>
    <cellStyle name="Normal 5 5 2 2 3 2 2 4" xfId="16252" xr:uid="{B097A254-077D-4835-947F-FD4D534C9D16}"/>
    <cellStyle name="Normal 5 5 2 2 3 2 3" xfId="20475" xr:uid="{001EDC48-90A2-495E-BAD3-36225C684F7A}"/>
    <cellStyle name="Normal 5 5 2 2 3 2 4" xfId="28922" xr:uid="{229F4A04-8A40-4929-8DBE-A380E81363A6}"/>
    <cellStyle name="Normal 5 5 2 2 3 2 5" xfId="12034" xr:uid="{A3095295-AA19-4819-8977-23AB1D226A30}"/>
    <cellStyle name="Normal 5 5 2 2 3 3" xfId="5665" xr:uid="{00000000-0005-0000-0000-0000561B0000}"/>
    <cellStyle name="Normal 5 5 2 2 3 3 2" xfId="22548" xr:uid="{A5830CAE-56B3-456F-9A1A-02A705CEE8E6}"/>
    <cellStyle name="Normal 5 5 2 2 3 3 3" xfId="30994" xr:uid="{04D3A97A-B755-41C6-B5D6-62FCCCAB4A32}"/>
    <cellStyle name="Normal 5 5 2 2 3 3 4" xfId="14107" xr:uid="{3BEE6BE6-3FCC-4273-B972-0A0014591530}"/>
    <cellStyle name="Normal 5 5 2 2 3 4" xfId="18330" xr:uid="{D93A17E2-301E-4080-853F-A96759EF2D2D}"/>
    <cellStyle name="Normal 5 5 2 2 3 5" xfId="26775" xr:uid="{2EBFE813-A379-43E3-9749-3406E86F0B32}"/>
    <cellStyle name="Normal 5 5 2 2 3 6" xfId="9889" xr:uid="{08B7D03A-379B-4342-8434-E48C5A50EC92}"/>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25106" xr:uid="{1421A74E-46E1-44E8-A701-956A96878294}"/>
    <cellStyle name="Normal 5 5 2 2 4 2 2 3" xfId="33552" xr:uid="{203B43D3-BF88-41E1-849A-C8263D7275BF}"/>
    <cellStyle name="Normal 5 5 2 2 4 2 2 4" xfId="16665" xr:uid="{7EF948CD-1F1C-4E69-86D0-5E71C38C34A8}"/>
    <cellStyle name="Normal 5 5 2 2 4 2 3" xfId="20888" xr:uid="{D227E874-7D8C-4C4A-B745-AA17A94C2C74}"/>
    <cellStyle name="Normal 5 5 2 2 4 2 4" xfId="29335" xr:uid="{C8426BBD-9662-4F15-B295-D9C199AC0EE3}"/>
    <cellStyle name="Normal 5 5 2 2 4 2 5" xfId="12447" xr:uid="{7696E8F9-343F-405E-BE7B-A5E39F9099D1}"/>
    <cellStyle name="Normal 5 5 2 2 4 3" xfId="6078" xr:uid="{00000000-0005-0000-0000-00005A1B0000}"/>
    <cellStyle name="Normal 5 5 2 2 4 3 2" xfId="22961" xr:uid="{9DA056B4-8E5F-459E-A6C1-5BD81ADABA2C}"/>
    <cellStyle name="Normal 5 5 2 2 4 3 3" xfId="31407" xr:uid="{A2F4270C-1AE1-4A38-8B99-1F931C9C936E}"/>
    <cellStyle name="Normal 5 5 2 2 4 3 4" xfId="14520" xr:uid="{608AAC2D-5DFD-4E91-9F50-FCDF7821FF8A}"/>
    <cellStyle name="Normal 5 5 2 2 4 4" xfId="18743" xr:uid="{E0D930F6-1B17-4CBE-9D2B-F34BB1ADFF51}"/>
    <cellStyle name="Normal 5 5 2 2 4 5" xfId="27188" xr:uid="{0493B2B6-8CFA-4C5C-83E8-5B7542E14A5C}"/>
    <cellStyle name="Normal 5 5 2 2 4 6" xfId="10302" xr:uid="{66242E7C-9B2B-4AA2-B3BE-33A19409EA4F}"/>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25519" xr:uid="{F6A5FD0C-4A45-4F00-A52F-84401F5BC089}"/>
    <cellStyle name="Normal 5 5 2 2 5 2 2 3" xfId="33965" xr:uid="{99082C66-DDA7-4E26-848C-DF160B1ECCB7}"/>
    <cellStyle name="Normal 5 5 2 2 5 2 2 4" xfId="17078" xr:uid="{41165604-F9D9-47B1-98BD-02E1E92B0942}"/>
    <cellStyle name="Normal 5 5 2 2 5 2 3" xfId="21301" xr:uid="{767553DB-5CFA-4C44-B2A9-8FFC8842C8D1}"/>
    <cellStyle name="Normal 5 5 2 2 5 2 4" xfId="29748" xr:uid="{3539DBC0-7994-45CF-A8C3-6A17184F1D10}"/>
    <cellStyle name="Normal 5 5 2 2 5 2 5" xfId="12860" xr:uid="{C1765000-514A-4958-984F-4B88F5955E02}"/>
    <cellStyle name="Normal 5 5 2 2 5 3" xfId="6491" xr:uid="{00000000-0005-0000-0000-00005E1B0000}"/>
    <cellStyle name="Normal 5 5 2 2 5 3 2" xfId="23374" xr:uid="{9EC9AD1A-73C8-4598-8050-A9608D1A1B9A}"/>
    <cellStyle name="Normal 5 5 2 2 5 3 3" xfId="31820" xr:uid="{C79D0F18-B8F5-43C8-B06B-4F0E3BD69BB0}"/>
    <cellStyle name="Normal 5 5 2 2 5 3 4" xfId="14933" xr:uid="{243EA29A-3CAC-4311-A4D2-FF92B1BEAD80}"/>
    <cellStyle name="Normal 5 5 2 2 5 4" xfId="19156" xr:uid="{3C3CDD69-2C6E-4316-845C-7CBC6C3F1795}"/>
    <cellStyle name="Normal 5 5 2 2 5 5" xfId="27601" xr:uid="{54009A2F-4ABA-4B89-A876-8358ACA57BC1}"/>
    <cellStyle name="Normal 5 5 2 2 5 6" xfId="10715" xr:uid="{EFB05B82-C7F8-4F67-9D32-C8138EC07552}"/>
    <cellStyle name="Normal 5 5 2 2 6" xfId="2620" xr:uid="{00000000-0005-0000-0000-00005F1B0000}"/>
    <cellStyle name="Normal 5 5 2 2 6 2" xfId="6904" xr:uid="{00000000-0005-0000-0000-0000601B0000}"/>
    <cellStyle name="Normal 5 5 2 2 6 2 2" xfId="23787" xr:uid="{AC8685DE-3461-4268-AA74-52AE2C39A382}"/>
    <cellStyle name="Normal 5 5 2 2 6 2 3" xfId="32233" xr:uid="{1FB378D8-1B50-436C-B832-5E2E69FA96A7}"/>
    <cellStyle name="Normal 5 5 2 2 6 2 4" xfId="15346" xr:uid="{8036A6AB-C96D-411D-A127-A3810F263250}"/>
    <cellStyle name="Normal 5 5 2 2 6 3" xfId="19569" xr:uid="{56A5DAE4-D694-4198-AC0D-A4B9B58E86EB}"/>
    <cellStyle name="Normal 5 5 2 2 6 4" xfId="28014" xr:uid="{64A3B93F-EC09-4190-9167-985194D1A148}"/>
    <cellStyle name="Normal 5 5 2 2 6 5" xfId="11128" xr:uid="{94C25AB0-C81A-4E56-B785-8293634CCEA9}"/>
    <cellStyle name="Normal 5 5 2 2 7" xfId="4839" xr:uid="{00000000-0005-0000-0000-0000611B0000}"/>
    <cellStyle name="Normal 5 5 2 2 7 2" xfId="21722" xr:uid="{F9F4FFC8-90BC-4CB2-8409-AA76EAE1FEA8}"/>
    <cellStyle name="Normal 5 5 2 2 7 3" xfId="30168" xr:uid="{248173EF-DE5A-42E6-9F33-8F311D8CE13E}"/>
    <cellStyle name="Normal 5 5 2 2 7 4" xfId="13281" xr:uid="{008D292C-B0F0-4A8E-9BAD-06992E5898C7}"/>
    <cellStyle name="Normal 5 5 2 2 8" xfId="17504" xr:uid="{D0A2365D-E5DF-400A-A612-9500A0329B9F}"/>
    <cellStyle name="Normal 5 5 2 2 9" xfId="25948" xr:uid="{D58897BB-C16D-4DB8-B4AC-59D069F04AD6}"/>
    <cellStyle name="Normal 5 5 2 3" xfId="939" xr:uid="{00000000-0005-0000-0000-0000621B0000}"/>
    <cellStyle name="Normal 5 5 2 3 2" xfId="3173" xr:uid="{00000000-0005-0000-0000-0000631B0000}"/>
    <cellStyle name="Normal 5 5 2 3 2 2" xfId="7396" xr:uid="{00000000-0005-0000-0000-0000641B0000}"/>
    <cellStyle name="Normal 5 5 2 3 2 2 2" xfId="24279" xr:uid="{518AE3C2-2522-43C9-87A7-03979698FF66}"/>
    <cellStyle name="Normal 5 5 2 3 2 2 3" xfId="32725" xr:uid="{C2B2BF9F-DAC1-4873-817E-E36E07C72A9B}"/>
    <cellStyle name="Normal 5 5 2 3 2 2 4" xfId="15838" xr:uid="{08189005-465C-42DE-8963-2143EFC73B35}"/>
    <cellStyle name="Normal 5 5 2 3 2 3" xfId="20061" xr:uid="{D746B282-D4EB-4EB4-A464-181FB1837296}"/>
    <cellStyle name="Normal 5 5 2 3 2 4" xfId="28508" xr:uid="{9056C185-2907-4E28-9EFC-C1CD1455C716}"/>
    <cellStyle name="Normal 5 5 2 3 2 5" xfId="11620" xr:uid="{237EE8F2-8E35-49AC-9702-480D8A07837C}"/>
    <cellStyle name="Normal 5 5 2 3 3" xfId="5251" xr:uid="{00000000-0005-0000-0000-0000651B0000}"/>
    <cellStyle name="Normal 5 5 2 3 3 2" xfId="22134" xr:uid="{43A82F1B-5FFF-4347-856F-8CA7BE3CC72B}"/>
    <cellStyle name="Normal 5 5 2 3 3 3" xfId="30580" xr:uid="{A6BB1E34-AF75-4D9F-941A-BE253CCC6C29}"/>
    <cellStyle name="Normal 5 5 2 3 3 4" xfId="13693" xr:uid="{264470D8-0A5F-4F12-9BFA-B69E6AA9E99F}"/>
    <cellStyle name="Normal 5 5 2 3 4" xfId="17916" xr:uid="{5157E7B6-4074-4B00-97CB-2B9C94842A70}"/>
    <cellStyle name="Normal 5 5 2 3 5" xfId="26361" xr:uid="{A8BB9277-6363-4D1C-889B-A96D2E9F7D0B}"/>
    <cellStyle name="Normal 5 5 2 3 6" xfId="9475" xr:uid="{8AA9E148-63CB-4AFC-8392-D93D28C2266C}"/>
    <cellStyle name="Normal 5 5 2 4" xfId="1356" xr:uid="{00000000-0005-0000-0000-0000661B0000}"/>
    <cellStyle name="Normal 5 5 2 4 2" xfId="3586" xr:uid="{00000000-0005-0000-0000-0000671B0000}"/>
    <cellStyle name="Normal 5 5 2 4 2 2" xfId="7809" xr:uid="{00000000-0005-0000-0000-0000681B0000}"/>
    <cellStyle name="Normal 5 5 2 4 2 2 2" xfId="24692" xr:uid="{8BF74A90-AACE-4449-B7B2-7D7019FCA92F}"/>
    <cellStyle name="Normal 5 5 2 4 2 2 3" xfId="33138" xr:uid="{3D0ED648-C2BB-4122-9AA3-64C9EFA8C487}"/>
    <cellStyle name="Normal 5 5 2 4 2 2 4" xfId="16251" xr:uid="{711CDDCB-B2F5-4E94-B2ED-237C816F8347}"/>
    <cellStyle name="Normal 5 5 2 4 2 3" xfId="20474" xr:uid="{D3019CC1-E7AD-49D9-B4D2-5F9A7C459A33}"/>
    <cellStyle name="Normal 5 5 2 4 2 4" xfId="28921" xr:uid="{F5122596-E77D-4D1C-9ABC-DE42443FB6BB}"/>
    <cellStyle name="Normal 5 5 2 4 2 5" xfId="12033" xr:uid="{FA51573F-5DD8-4198-B054-61441AB76376}"/>
    <cellStyle name="Normal 5 5 2 4 3" xfId="5664" xr:uid="{00000000-0005-0000-0000-0000691B0000}"/>
    <cellStyle name="Normal 5 5 2 4 3 2" xfId="22547" xr:uid="{CF322100-BF30-486A-9251-1022DEDABA02}"/>
    <cellStyle name="Normal 5 5 2 4 3 3" xfId="30993" xr:uid="{8973A5B4-3DE2-41B3-9385-A0B38ECAD171}"/>
    <cellStyle name="Normal 5 5 2 4 3 4" xfId="14106" xr:uid="{17C41890-7C4B-4649-AC42-92E9CBE85B58}"/>
    <cellStyle name="Normal 5 5 2 4 4" xfId="18329" xr:uid="{EA4F1FA5-97C7-4525-BBB5-08CE70495424}"/>
    <cellStyle name="Normal 5 5 2 4 5" xfId="26774" xr:uid="{1D06559B-C3E7-4D03-B1A0-E8BA2B592712}"/>
    <cellStyle name="Normal 5 5 2 4 6" xfId="9888" xr:uid="{C5AC086A-05C9-4019-B1B6-C0B8067EF80E}"/>
    <cellStyle name="Normal 5 5 2 5" xfId="1769" xr:uid="{00000000-0005-0000-0000-00006A1B0000}"/>
    <cellStyle name="Normal 5 5 2 5 2" xfId="3999" xr:uid="{00000000-0005-0000-0000-00006B1B0000}"/>
    <cellStyle name="Normal 5 5 2 5 2 2" xfId="8222" xr:uid="{00000000-0005-0000-0000-00006C1B0000}"/>
    <cellStyle name="Normal 5 5 2 5 2 2 2" xfId="25105" xr:uid="{A17C15BE-D505-4CF8-A37F-1618E300FD7F}"/>
    <cellStyle name="Normal 5 5 2 5 2 2 3" xfId="33551" xr:uid="{3CA3BE71-22A2-44CF-90BD-B2BD664B051F}"/>
    <cellStyle name="Normal 5 5 2 5 2 2 4" xfId="16664" xr:uid="{95778C58-EFBD-4781-8559-C574D3C68513}"/>
    <cellStyle name="Normal 5 5 2 5 2 3" xfId="20887" xr:uid="{28EFB4B8-3A98-48B2-8E19-C1673B5DE686}"/>
    <cellStyle name="Normal 5 5 2 5 2 4" xfId="29334" xr:uid="{0B69F44D-488D-4989-8AEB-FF6F0FF5E7F5}"/>
    <cellStyle name="Normal 5 5 2 5 2 5" xfId="12446" xr:uid="{74D28AD9-4B93-44CF-8BB5-A156D54A36FC}"/>
    <cellStyle name="Normal 5 5 2 5 3" xfId="6077" xr:uid="{00000000-0005-0000-0000-00006D1B0000}"/>
    <cellStyle name="Normal 5 5 2 5 3 2" xfId="22960" xr:uid="{22AFEA13-3076-453C-8D81-E31746B82BE7}"/>
    <cellStyle name="Normal 5 5 2 5 3 3" xfId="31406" xr:uid="{9B582A1C-BA74-4840-8274-F987973D0723}"/>
    <cellStyle name="Normal 5 5 2 5 3 4" xfId="14519" xr:uid="{16C6A071-4F60-40B4-915C-1E690AFCEB18}"/>
    <cellStyle name="Normal 5 5 2 5 4" xfId="18742" xr:uid="{FA694066-145D-44C6-BC97-81BCC79A47FB}"/>
    <cellStyle name="Normal 5 5 2 5 5" xfId="27187" xr:uid="{4F316931-4672-4287-8B45-45D0552B4704}"/>
    <cellStyle name="Normal 5 5 2 5 6" xfId="10301" xr:uid="{91BC3701-674F-41A3-ABDD-8A4BC436BF3E}"/>
    <cellStyle name="Normal 5 5 2 6" xfId="2183" xr:uid="{00000000-0005-0000-0000-00006E1B0000}"/>
    <cellStyle name="Normal 5 5 2 6 2" xfId="4412" xr:uid="{00000000-0005-0000-0000-00006F1B0000}"/>
    <cellStyle name="Normal 5 5 2 6 2 2" xfId="8635" xr:uid="{00000000-0005-0000-0000-0000701B0000}"/>
    <cellStyle name="Normal 5 5 2 6 2 2 2" xfId="25518" xr:uid="{70A5B04F-E7C4-41DC-94A7-589C4B0400F0}"/>
    <cellStyle name="Normal 5 5 2 6 2 2 3" xfId="33964" xr:uid="{0044FE9A-7470-4B43-8E2B-3A1F1FFE647D}"/>
    <cellStyle name="Normal 5 5 2 6 2 2 4" xfId="17077" xr:uid="{15A39D00-21F8-4773-AE2C-7F8903D2A427}"/>
    <cellStyle name="Normal 5 5 2 6 2 3" xfId="21300" xr:uid="{D859271B-A59C-4655-80C7-648F87725590}"/>
    <cellStyle name="Normal 5 5 2 6 2 4" xfId="29747" xr:uid="{740B371A-7F90-4F0E-9E8F-08AD191BCC17}"/>
    <cellStyle name="Normal 5 5 2 6 2 5" xfId="12859" xr:uid="{BC120F36-3C1F-410E-8430-AF0CF6BC8B02}"/>
    <cellStyle name="Normal 5 5 2 6 3" xfId="6490" xr:uid="{00000000-0005-0000-0000-0000711B0000}"/>
    <cellStyle name="Normal 5 5 2 6 3 2" xfId="23373" xr:uid="{17EFE7A8-CAA0-4A25-B7C3-037EEFA8848F}"/>
    <cellStyle name="Normal 5 5 2 6 3 3" xfId="31819" xr:uid="{9335B34F-0E6A-4618-AD39-2C64C7D4BDCF}"/>
    <cellStyle name="Normal 5 5 2 6 3 4" xfId="14932" xr:uid="{8F34FD73-775A-493F-A81E-BF2B24D940E5}"/>
    <cellStyle name="Normal 5 5 2 6 4" xfId="19155" xr:uid="{B7560C34-2830-4933-872D-B7E420025E33}"/>
    <cellStyle name="Normal 5 5 2 6 5" xfId="27600" xr:uid="{C9B14DD0-0841-4ADD-B7FA-12594698CA13}"/>
    <cellStyle name="Normal 5 5 2 6 6" xfId="10714" xr:uid="{00AFA071-5C1B-40B5-B126-32B4A509B7B8}"/>
    <cellStyle name="Normal 5 5 2 7" xfId="2619" xr:uid="{00000000-0005-0000-0000-0000721B0000}"/>
    <cellStyle name="Normal 5 5 2 7 2" xfId="6903" xr:uid="{00000000-0005-0000-0000-0000731B0000}"/>
    <cellStyle name="Normal 5 5 2 7 2 2" xfId="23786" xr:uid="{8FD1B1B4-7C46-4AFD-9ECA-B8AE81D3C876}"/>
    <cellStyle name="Normal 5 5 2 7 2 3" xfId="32232" xr:uid="{DBE449CA-3428-45C5-B799-124E7909DBFE}"/>
    <cellStyle name="Normal 5 5 2 7 2 4" xfId="15345" xr:uid="{41454995-1C90-4D23-9272-70311E77ACA1}"/>
    <cellStyle name="Normal 5 5 2 7 3" xfId="19568" xr:uid="{E3020BAB-D92A-4D78-9BEA-E0264D3D653A}"/>
    <cellStyle name="Normal 5 5 2 7 4" xfId="28013" xr:uid="{82A4F3BE-CC0C-4BF5-9CB0-084E9A440A3B}"/>
    <cellStyle name="Normal 5 5 2 7 5" xfId="11127" xr:uid="{7676FEBB-27A4-496C-B21E-EFF07696A0B1}"/>
    <cellStyle name="Normal 5 5 2 8" xfId="4838" xr:uid="{00000000-0005-0000-0000-0000741B0000}"/>
    <cellStyle name="Normal 5 5 2 8 2" xfId="21721" xr:uid="{84903BF7-1E75-46EA-B016-8BFB21E5272E}"/>
    <cellStyle name="Normal 5 5 2 8 3" xfId="30167" xr:uid="{A2F7886E-6E54-460E-B9D3-1B5BC0938679}"/>
    <cellStyle name="Normal 5 5 2 8 4" xfId="13280" xr:uid="{4FCFF3C5-FE2A-4D40-954A-4779C07B6ADB}"/>
    <cellStyle name="Normal 5 5 2 9" xfId="17503" xr:uid="{72DFCC5E-53F7-4AC9-BDA6-9452256738E0}"/>
    <cellStyle name="Normal 5 5 3" xfId="467" xr:uid="{00000000-0005-0000-0000-0000751B0000}"/>
    <cellStyle name="Normal 5 5 3 10" xfId="9064" xr:uid="{4B9C7032-6CEF-4D0C-960C-A94C3D58EE50}"/>
    <cellStyle name="Normal 5 5 3 2" xfId="941" xr:uid="{00000000-0005-0000-0000-0000761B0000}"/>
    <cellStyle name="Normal 5 5 3 2 2" xfId="3175" xr:uid="{00000000-0005-0000-0000-0000771B0000}"/>
    <cellStyle name="Normal 5 5 3 2 2 2" xfId="7398" xr:uid="{00000000-0005-0000-0000-0000781B0000}"/>
    <cellStyle name="Normal 5 5 3 2 2 2 2" xfId="24281" xr:uid="{D5B3DF28-C433-4059-94F1-FAC3D443730A}"/>
    <cellStyle name="Normal 5 5 3 2 2 2 3" xfId="32727" xr:uid="{4D9059E7-FADC-426B-A775-FB0FDCB129EF}"/>
    <cellStyle name="Normal 5 5 3 2 2 2 4" xfId="15840" xr:uid="{5B8C98D6-9093-4643-8CA6-7CC381BA5E4D}"/>
    <cellStyle name="Normal 5 5 3 2 2 3" xfId="20063" xr:uid="{BF1A3E2A-A1C9-4EAD-B37A-65A672088536}"/>
    <cellStyle name="Normal 5 5 3 2 2 4" xfId="28510" xr:uid="{D8F13A1F-167F-488B-91F7-297B7F33134D}"/>
    <cellStyle name="Normal 5 5 3 2 2 5" xfId="11622" xr:uid="{832104C1-247C-4F8B-8B96-9FB187F3F95D}"/>
    <cellStyle name="Normal 5 5 3 2 3" xfId="5253" xr:uid="{00000000-0005-0000-0000-0000791B0000}"/>
    <cellStyle name="Normal 5 5 3 2 3 2" xfId="22136" xr:uid="{1DEAC553-B85B-4515-AD78-C1680BAE0B94}"/>
    <cellStyle name="Normal 5 5 3 2 3 3" xfId="30582" xr:uid="{2C99E425-429E-434E-B34D-70531098BCB6}"/>
    <cellStyle name="Normal 5 5 3 2 3 4" xfId="13695" xr:uid="{7ED29E96-17E3-4AF3-8269-994A4965FFBB}"/>
    <cellStyle name="Normal 5 5 3 2 4" xfId="17918" xr:uid="{0AE53D3F-94E3-4701-A2A0-01CCAAE56195}"/>
    <cellStyle name="Normal 5 5 3 2 5" xfId="26363" xr:uid="{3C0175C5-92EA-438B-A567-E9734A7725F9}"/>
    <cellStyle name="Normal 5 5 3 2 6" xfId="9477" xr:uid="{3F367377-C125-480D-AB3E-C5658B51323F}"/>
    <cellStyle name="Normal 5 5 3 3" xfId="1358" xr:uid="{00000000-0005-0000-0000-00007A1B0000}"/>
    <cellStyle name="Normal 5 5 3 3 2" xfId="3588" xr:uid="{00000000-0005-0000-0000-00007B1B0000}"/>
    <cellStyle name="Normal 5 5 3 3 2 2" xfId="7811" xr:uid="{00000000-0005-0000-0000-00007C1B0000}"/>
    <cellStyle name="Normal 5 5 3 3 2 2 2" xfId="24694" xr:uid="{D6DD0593-E6E6-4D79-95E5-3DB2E29BFA07}"/>
    <cellStyle name="Normal 5 5 3 3 2 2 3" xfId="33140" xr:uid="{AFD2008D-8CFE-433F-B677-7E331908A4DD}"/>
    <cellStyle name="Normal 5 5 3 3 2 2 4" xfId="16253" xr:uid="{152A2718-0B8B-40C8-9EFB-31BCB667D817}"/>
    <cellStyle name="Normal 5 5 3 3 2 3" xfId="20476" xr:uid="{9D210A5E-4D08-4A88-B73A-AB4394019527}"/>
    <cellStyle name="Normal 5 5 3 3 2 4" xfId="28923" xr:uid="{14635667-1C56-4F51-B7E1-13C4CC969ABF}"/>
    <cellStyle name="Normal 5 5 3 3 2 5" xfId="12035" xr:uid="{91FE9844-0502-4C8F-A370-0EBE0304278C}"/>
    <cellStyle name="Normal 5 5 3 3 3" xfId="5666" xr:uid="{00000000-0005-0000-0000-00007D1B0000}"/>
    <cellStyle name="Normal 5 5 3 3 3 2" xfId="22549" xr:uid="{E1FD14DE-2DC0-477A-8881-8D4557413704}"/>
    <cellStyle name="Normal 5 5 3 3 3 3" xfId="30995" xr:uid="{B0B85033-A9A0-4A63-9F42-A1CCEE24A4B2}"/>
    <cellStyle name="Normal 5 5 3 3 3 4" xfId="14108" xr:uid="{E5DFC60E-D4E6-46C1-BF91-4772C07567FF}"/>
    <cellStyle name="Normal 5 5 3 3 4" xfId="18331" xr:uid="{1F1952C6-FC31-4136-AD85-944D8E96EACE}"/>
    <cellStyle name="Normal 5 5 3 3 5" xfId="26776" xr:uid="{C5AC1C25-6F74-4DE7-A903-E43A0E01D399}"/>
    <cellStyle name="Normal 5 5 3 3 6" xfId="9890" xr:uid="{95C433DD-132F-4C18-8810-02B28C87ABE9}"/>
    <cellStyle name="Normal 5 5 3 4" xfId="1771" xr:uid="{00000000-0005-0000-0000-00007E1B0000}"/>
    <cellStyle name="Normal 5 5 3 4 2" xfId="4001" xr:uid="{00000000-0005-0000-0000-00007F1B0000}"/>
    <cellStyle name="Normal 5 5 3 4 2 2" xfId="8224" xr:uid="{00000000-0005-0000-0000-0000801B0000}"/>
    <cellStyle name="Normal 5 5 3 4 2 2 2" xfId="25107" xr:uid="{7DCFFC61-0B2F-46EF-8695-AFBCDA1A6749}"/>
    <cellStyle name="Normal 5 5 3 4 2 2 3" xfId="33553" xr:uid="{E1DFA592-5718-4627-8654-AF47D1CEB963}"/>
    <cellStyle name="Normal 5 5 3 4 2 2 4" xfId="16666" xr:uid="{B16D881B-A352-4081-9839-E45B982F574E}"/>
    <cellStyle name="Normal 5 5 3 4 2 3" xfId="20889" xr:uid="{4559E7E9-7DEB-4E70-B638-675BF6EFC5B0}"/>
    <cellStyle name="Normal 5 5 3 4 2 4" xfId="29336" xr:uid="{D7EA6FC9-E343-4598-A785-A5DF169A527D}"/>
    <cellStyle name="Normal 5 5 3 4 2 5" xfId="12448" xr:uid="{D50AEC63-5C69-4CCF-9DCE-06A5C557D24D}"/>
    <cellStyle name="Normal 5 5 3 4 3" xfId="6079" xr:uid="{00000000-0005-0000-0000-0000811B0000}"/>
    <cellStyle name="Normal 5 5 3 4 3 2" xfId="22962" xr:uid="{A378A8E4-52D1-4315-BACF-D40B63679443}"/>
    <cellStyle name="Normal 5 5 3 4 3 3" xfId="31408" xr:uid="{1A725B57-D589-4E5D-8201-4756D7B1A63B}"/>
    <cellStyle name="Normal 5 5 3 4 3 4" xfId="14521" xr:uid="{A9EBF231-A37A-45D9-BD1A-5432BA1AE3A1}"/>
    <cellStyle name="Normal 5 5 3 4 4" xfId="18744" xr:uid="{E97EE29F-C794-42D3-BF65-A14702D264AD}"/>
    <cellStyle name="Normal 5 5 3 4 5" xfId="27189" xr:uid="{21582914-42FE-4172-A2A1-6F2E7F67F614}"/>
    <cellStyle name="Normal 5 5 3 4 6" xfId="10303" xr:uid="{50EC3728-F42A-49E0-A7AE-B1755E4B6BCE}"/>
    <cellStyle name="Normal 5 5 3 5" xfId="2185" xr:uid="{00000000-0005-0000-0000-0000821B0000}"/>
    <cellStyle name="Normal 5 5 3 5 2" xfId="4414" xr:uid="{00000000-0005-0000-0000-0000831B0000}"/>
    <cellStyle name="Normal 5 5 3 5 2 2" xfId="8637" xr:uid="{00000000-0005-0000-0000-0000841B0000}"/>
    <cellStyle name="Normal 5 5 3 5 2 2 2" xfId="25520" xr:uid="{7A237CF4-BAAA-47D3-97C6-C18425C312A2}"/>
    <cellStyle name="Normal 5 5 3 5 2 2 3" xfId="33966" xr:uid="{91CB3764-31A8-443C-BBD0-51CF00CE7254}"/>
    <cellStyle name="Normal 5 5 3 5 2 2 4" xfId="17079" xr:uid="{03C00461-95BA-443A-8A4E-F05A95E03CC7}"/>
    <cellStyle name="Normal 5 5 3 5 2 3" xfId="21302" xr:uid="{EFFED3FD-1E4A-4A29-8B06-9702B15D549F}"/>
    <cellStyle name="Normal 5 5 3 5 2 4" xfId="29749" xr:uid="{2C6E89CB-9955-4106-9F26-86A052AB2A41}"/>
    <cellStyle name="Normal 5 5 3 5 2 5" xfId="12861" xr:uid="{A4E91534-7584-48CA-ADFF-060A1B93CF8C}"/>
    <cellStyle name="Normal 5 5 3 5 3" xfId="6492" xr:uid="{00000000-0005-0000-0000-0000851B0000}"/>
    <cellStyle name="Normal 5 5 3 5 3 2" xfId="23375" xr:uid="{C9916267-F937-469E-B41A-0417B2F80EA3}"/>
    <cellStyle name="Normal 5 5 3 5 3 3" xfId="31821" xr:uid="{89E84DC4-6746-4435-83FE-660B8A04637B}"/>
    <cellStyle name="Normal 5 5 3 5 3 4" xfId="14934" xr:uid="{EBE64F20-21A6-44EC-B12C-8DAEC06E5263}"/>
    <cellStyle name="Normal 5 5 3 5 4" xfId="19157" xr:uid="{2C6FC6D6-1AAD-40E0-A8F8-68F613AC2A37}"/>
    <cellStyle name="Normal 5 5 3 5 5" xfId="27602" xr:uid="{D2B9D036-E0B3-45AF-A546-DF8C96E12949}"/>
    <cellStyle name="Normal 5 5 3 5 6" xfId="10716" xr:uid="{BBFD0751-1D7A-4DFE-B3AE-9665EA07FBD5}"/>
    <cellStyle name="Normal 5 5 3 6" xfId="2621" xr:uid="{00000000-0005-0000-0000-0000861B0000}"/>
    <cellStyle name="Normal 5 5 3 6 2" xfId="6905" xr:uid="{00000000-0005-0000-0000-0000871B0000}"/>
    <cellStyle name="Normal 5 5 3 6 2 2" xfId="23788" xr:uid="{B671E0FF-C072-4D99-B76C-CE22B1F9B535}"/>
    <cellStyle name="Normal 5 5 3 6 2 3" xfId="32234" xr:uid="{EB395D89-A749-4765-9E04-65DE98C618DE}"/>
    <cellStyle name="Normal 5 5 3 6 2 4" xfId="15347" xr:uid="{EE863A9D-18ED-4170-A87F-7259FD6ECB9A}"/>
    <cellStyle name="Normal 5 5 3 6 3" xfId="19570" xr:uid="{11C06DF4-72B9-4935-AA30-8F566021F762}"/>
    <cellStyle name="Normal 5 5 3 6 4" xfId="28015" xr:uid="{622F218C-040C-436F-8FA6-A4A5D83082B1}"/>
    <cellStyle name="Normal 5 5 3 6 5" xfId="11129" xr:uid="{293AD6BB-28DA-46A8-AA6A-FDCC1EF3B292}"/>
    <cellStyle name="Normal 5 5 3 7" xfId="4840" xr:uid="{00000000-0005-0000-0000-0000881B0000}"/>
    <cellStyle name="Normal 5 5 3 7 2" xfId="21723" xr:uid="{4D0F5CD3-27D4-4C6D-9FD9-B874AA6A6DD6}"/>
    <cellStyle name="Normal 5 5 3 7 3" xfId="30169" xr:uid="{8537CF66-2506-41DE-9C7B-DB746754449E}"/>
    <cellStyle name="Normal 5 5 3 7 4" xfId="13282" xr:uid="{9A486002-CD57-47E1-AADC-A758EA619506}"/>
    <cellStyle name="Normal 5 5 3 8" xfId="17505" xr:uid="{2EBBE547-F860-46F5-994D-F591C4DAC732}"/>
    <cellStyle name="Normal 5 5 3 9" xfId="25949" xr:uid="{578640D7-FB48-42B7-8D3F-684B2CE5558F}"/>
    <cellStyle name="Normal 5 5 4" xfId="938" xr:uid="{00000000-0005-0000-0000-0000891B0000}"/>
    <cellStyle name="Normal 5 5 4 2" xfId="3172" xr:uid="{00000000-0005-0000-0000-00008A1B0000}"/>
    <cellStyle name="Normal 5 5 4 2 2" xfId="7395" xr:uid="{00000000-0005-0000-0000-00008B1B0000}"/>
    <cellStyle name="Normal 5 5 4 2 2 2" xfId="24278" xr:uid="{A3394A99-9BA1-4593-BA81-7E8398C138A5}"/>
    <cellStyle name="Normal 5 5 4 2 2 3" xfId="32724" xr:uid="{9B4ACE36-80D9-4F02-8892-C5C415AFAAEF}"/>
    <cellStyle name="Normal 5 5 4 2 2 4" xfId="15837" xr:uid="{3EEA868C-82BE-4739-91A0-8E38A42F68A6}"/>
    <cellStyle name="Normal 5 5 4 2 3" xfId="20060" xr:uid="{29EEA9E0-31AB-4337-9537-B3C4C72B7732}"/>
    <cellStyle name="Normal 5 5 4 2 4" xfId="28507" xr:uid="{BD020F7D-F3F3-41E2-AC3B-72428675261B}"/>
    <cellStyle name="Normal 5 5 4 2 5" xfId="11619" xr:uid="{87DFDD6B-C7D6-4AD5-90CA-5B3F11B209C4}"/>
    <cellStyle name="Normal 5 5 4 3" xfId="5250" xr:uid="{00000000-0005-0000-0000-00008C1B0000}"/>
    <cellStyle name="Normal 5 5 4 3 2" xfId="22133" xr:uid="{E3665C38-1EA6-4387-A121-4D874D0C9561}"/>
    <cellStyle name="Normal 5 5 4 3 3" xfId="30579" xr:uid="{5640D6D8-3826-4F83-98DF-397DE8A5BADE}"/>
    <cellStyle name="Normal 5 5 4 3 4" xfId="13692" xr:uid="{022D2032-4D40-4E64-8DC4-A8C230D81DE7}"/>
    <cellStyle name="Normal 5 5 4 4" xfId="17915" xr:uid="{975E6897-2DDD-4256-B048-6E01798F0CFA}"/>
    <cellStyle name="Normal 5 5 4 5" xfId="26360" xr:uid="{CE42786A-8706-43B0-9344-2C3EF03DE542}"/>
    <cellStyle name="Normal 5 5 4 6" xfId="9474" xr:uid="{AAB262F7-FC19-43C6-B4C9-19CF544FF31F}"/>
    <cellStyle name="Normal 5 5 5" xfId="1355" xr:uid="{00000000-0005-0000-0000-00008D1B0000}"/>
    <cellStyle name="Normal 5 5 5 2" xfId="3585" xr:uid="{00000000-0005-0000-0000-00008E1B0000}"/>
    <cellStyle name="Normal 5 5 5 2 2" xfId="7808" xr:uid="{00000000-0005-0000-0000-00008F1B0000}"/>
    <cellStyle name="Normal 5 5 5 2 2 2" xfId="24691" xr:uid="{25D92E61-AB13-4270-906D-F65A74328B39}"/>
    <cellStyle name="Normal 5 5 5 2 2 3" xfId="33137" xr:uid="{5F13DD14-43C7-4BC6-9649-6ED7B821B115}"/>
    <cellStyle name="Normal 5 5 5 2 2 4" xfId="16250" xr:uid="{5DF1CE75-E2C8-4616-B8A2-4FCC5088F6C3}"/>
    <cellStyle name="Normal 5 5 5 2 3" xfId="20473" xr:uid="{248CE163-038E-4DEC-A3CA-5B8927D7A7D9}"/>
    <cellStyle name="Normal 5 5 5 2 4" xfId="28920" xr:uid="{EE738C3A-3AAD-4B31-8F40-3692D92942A9}"/>
    <cellStyle name="Normal 5 5 5 2 5" xfId="12032" xr:uid="{26DA2566-701A-4C07-BAFC-1AA1A9CB674F}"/>
    <cellStyle name="Normal 5 5 5 3" xfId="5663" xr:uid="{00000000-0005-0000-0000-0000901B0000}"/>
    <cellStyle name="Normal 5 5 5 3 2" xfId="22546" xr:uid="{E077A801-A1D5-40D5-8B7A-9E9D4FA5EA0E}"/>
    <cellStyle name="Normal 5 5 5 3 3" xfId="30992" xr:uid="{297CA1D5-DBA1-4E2E-AC29-833DDF86B5CC}"/>
    <cellStyle name="Normal 5 5 5 3 4" xfId="14105" xr:uid="{EA55DA4A-49C1-4FE7-A170-5C06762E8A46}"/>
    <cellStyle name="Normal 5 5 5 4" xfId="18328" xr:uid="{CECE40DA-7A42-4DDC-858C-C86917317EDE}"/>
    <cellStyle name="Normal 5 5 5 5" xfId="26773" xr:uid="{BC45633B-63B1-4CA2-A47D-C56120B754A1}"/>
    <cellStyle name="Normal 5 5 5 6" xfId="9887" xr:uid="{FC62CD47-7006-4305-9EB5-6C3107A4BFD0}"/>
    <cellStyle name="Normal 5 5 6" xfId="1768" xr:uid="{00000000-0005-0000-0000-0000911B0000}"/>
    <cellStyle name="Normal 5 5 6 2" xfId="3998" xr:uid="{00000000-0005-0000-0000-0000921B0000}"/>
    <cellStyle name="Normal 5 5 6 2 2" xfId="8221" xr:uid="{00000000-0005-0000-0000-0000931B0000}"/>
    <cellStyle name="Normal 5 5 6 2 2 2" xfId="25104" xr:uid="{01266D98-9B40-4F0E-90BF-1CFBA7C7008D}"/>
    <cellStyle name="Normal 5 5 6 2 2 3" xfId="33550" xr:uid="{8F569630-42F9-47F4-AD49-688E4FC8F79F}"/>
    <cellStyle name="Normal 5 5 6 2 2 4" xfId="16663" xr:uid="{9DA264AD-5E06-4ACF-8943-8A6645745461}"/>
    <cellStyle name="Normal 5 5 6 2 3" xfId="20886" xr:uid="{6959F5F3-61B4-4DC2-9B1C-33AE6F31CEF4}"/>
    <cellStyle name="Normal 5 5 6 2 4" xfId="29333" xr:uid="{719BF7A9-A16C-401B-8D6F-75F018D7FE27}"/>
    <cellStyle name="Normal 5 5 6 2 5" xfId="12445" xr:uid="{99FCE2DC-3E77-4275-98C8-30BB66023A48}"/>
    <cellStyle name="Normal 5 5 6 3" xfId="6076" xr:uid="{00000000-0005-0000-0000-0000941B0000}"/>
    <cellStyle name="Normal 5 5 6 3 2" xfId="22959" xr:uid="{76241E77-ABF8-42E4-9702-E463CE7D8FAD}"/>
    <cellStyle name="Normal 5 5 6 3 3" xfId="31405" xr:uid="{2515907C-647D-44D5-BBF9-4895CBC20278}"/>
    <cellStyle name="Normal 5 5 6 3 4" xfId="14518" xr:uid="{D1EE9739-7DBA-4977-8409-F294EBF81915}"/>
    <cellStyle name="Normal 5 5 6 4" xfId="18741" xr:uid="{834F273F-9EC3-4662-9A3C-892F4B3A8DD9}"/>
    <cellStyle name="Normal 5 5 6 5" xfId="27186" xr:uid="{12221DB1-7453-4B74-AA46-DE2211C33315}"/>
    <cellStyle name="Normal 5 5 6 6" xfId="10300" xr:uid="{17E6BF88-9935-430A-A07D-A74FCC4E4E6D}"/>
    <cellStyle name="Normal 5 5 7" xfId="2182" xr:uid="{00000000-0005-0000-0000-0000951B0000}"/>
    <cellStyle name="Normal 5 5 7 2" xfId="4411" xr:uid="{00000000-0005-0000-0000-0000961B0000}"/>
    <cellStyle name="Normal 5 5 7 2 2" xfId="8634" xr:uid="{00000000-0005-0000-0000-0000971B0000}"/>
    <cellStyle name="Normal 5 5 7 2 2 2" xfId="25517" xr:uid="{79EF9470-D9B2-488E-B418-DD0A4D407E72}"/>
    <cellStyle name="Normal 5 5 7 2 2 3" xfId="33963" xr:uid="{C2FDEC11-0B1D-4F89-9F30-AA44BC2E5200}"/>
    <cellStyle name="Normal 5 5 7 2 2 4" xfId="17076" xr:uid="{01BE6CA5-F37B-4C95-8567-E9EC21B138F2}"/>
    <cellStyle name="Normal 5 5 7 2 3" xfId="21299" xr:uid="{A748259F-1976-424A-9CD4-418ADF607067}"/>
    <cellStyle name="Normal 5 5 7 2 4" xfId="29746" xr:uid="{B66DC291-9B60-49A9-8965-09E5F1AB67AB}"/>
    <cellStyle name="Normal 5 5 7 2 5" xfId="12858" xr:uid="{063D15E4-0515-4001-A1BB-64A5CFCF8C63}"/>
    <cellStyle name="Normal 5 5 7 3" xfId="6489" xr:uid="{00000000-0005-0000-0000-0000981B0000}"/>
    <cellStyle name="Normal 5 5 7 3 2" xfId="23372" xr:uid="{1662861C-982C-4B25-B2D4-21DEF22CF39F}"/>
    <cellStyle name="Normal 5 5 7 3 3" xfId="31818" xr:uid="{6217D75F-3BEE-4E5E-84A6-12C137AD230C}"/>
    <cellStyle name="Normal 5 5 7 3 4" xfId="14931" xr:uid="{4419452E-DF8D-4C1D-90C9-D8D6EBDDC3C6}"/>
    <cellStyle name="Normal 5 5 7 4" xfId="19154" xr:uid="{252DA89D-DA48-42A9-B979-7AF2E7CE18A6}"/>
    <cellStyle name="Normal 5 5 7 5" xfId="27599" xr:uid="{25AC2A84-C8D3-4CD1-B42F-4C87420D27C1}"/>
    <cellStyle name="Normal 5 5 7 6" xfId="10713" xr:uid="{6FEAFB18-EE4B-45AC-9EAA-782FFE8CA0C9}"/>
    <cellStyle name="Normal 5 5 8" xfId="2618" xr:uid="{00000000-0005-0000-0000-0000991B0000}"/>
    <cellStyle name="Normal 5 5 8 2" xfId="6902" xr:uid="{00000000-0005-0000-0000-00009A1B0000}"/>
    <cellStyle name="Normal 5 5 8 2 2" xfId="23785" xr:uid="{F0F16AB8-40FC-4EF9-AD09-0ACA13B3A2DF}"/>
    <cellStyle name="Normal 5 5 8 2 3" xfId="32231" xr:uid="{337B7F43-E9F5-4529-B6F5-52E6F072DB09}"/>
    <cellStyle name="Normal 5 5 8 2 4" xfId="15344" xr:uid="{68C41328-5269-4421-9F6A-7FA69CD29286}"/>
    <cellStyle name="Normal 5 5 8 3" xfId="19567" xr:uid="{5F46000B-1629-4A21-9AE5-662E66C46E7A}"/>
    <cellStyle name="Normal 5 5 8 4" xfId="28012" xr:uid="{B52FFACC-B2EA-4529-9486-B648FF5AAF21}"/>
    <cellStyle name="Normal 5 5 8 5" xfId="11126" xr:uid="{09968A9A-651E-4379-8D30-4ADFB174E486}"/>
    <cellStyle name="Normal 5 5 9" xfId="4837" xr:uid="{00000000-0005-0000-0000-00009B1B0000}"/>
    <cellStyle name="Normal 5 5 9 2" xfId="21720" xr:uid="{8858EB81-4917-4493-A748-78CA19D5A93B}"/>
    <cellStyle name="Normal 5 5 9 3" xfId="30166" xr:uid="{75093E73-AEA8-4F53-86E9-AF8575285300}"/>
    <cellStyle name="Normal 5 5 9 4" xfId="13279" xr:uid="{3317F790-8EF7-4502-9D5C-B59B812F7BDF}"/>
    <cellStyle name="Normal 5 6" xfId="468" xr:uid="{00000000-0005-0000-0000-00009C1B0000}"/>
    <cellStyle name="Normal 5 6 10" xfId="25950" xr:uid="{D752F3D3-3073-4A91-ADF4-41B6561CF981}"/>
    <cellStyle name="Normal 5 6 11" xfId="9065" xr:uid="{1D88883C-4467-4557-9566-B14EC027E716}"/>
    <cellStyle name="Normal 5 6 2" xfId="469" xr:uid="{00000000-0005-0000-0000-00009D1B0000}"/>
    <cellStyle name="Normal 5 6 2 10" xfId="9066" xr:uid="{9A7284ED-7B21-4EB7-9B85-F97558F12F09}"/>
    <cellStyle name="Normal 5 6 2 2" xfId="943" xr:uid="{00000000-0005-0000-0000-00009E1B0000}"/>
    <cellStyle name="Normal 5 6 2 2 2" xfId="3177" xr:uid="{00000000-0005-0000-0000-00009F1B0000}"/>
    <cellStyle name="Normal 5 6 2 2 2 2" xfId="7400" xr:uid="{00000000-0005-0000-0000-0000A01B0000}"/>
    <cellStyle name="Normal 5 6 2 2 2 2 2" xfId="24283" xr:uid="{B33EE954-109A-47EE-8EDE-DC4DBB4BAA91}"/>
    <cellStyle name="Normal 5 6 2 2 2 2 3" xfId="32729" xr:uid="{F533149A-C7BD-4CDA-BF46-F66590CE48DE}"/>
    <cellStyle name="Normal 5 6 2 2 2 2 4" xfId="15842" xr:uid="{3BCC6E63-A994-453F-B838-D787C2A27E86}"/>
    <cellStyle name="Normal 5 6 2 2 2 3" xfId="20065" xr:uid="{C71FE0B1-7ED9-4595-9321-E2351992F3B3}"/>
    <cellStyle name="Normal 5 6 2 2 2 4" xfId="28512" xr:uid="{322A520C-6418-47FA-B8DB-D45063255696}"/>
    <cellStyle name="Normal 5 6 2 2 2 5" xfId="11624" xr:uid="{E933ED71-A9B3-40C0-8E32-850F56B88B60}"/>
    <cellStyle name="Normal 5 6 2 2 3" xfId="5255" xr:uid="{00000000-0005-0000-0000-0000A11B0000}"/>
    <cellStyle name="Normal 5 6 2 2 3 2" xfId="22138" xr:uid="{B4A16C54-082C-46B9-82F8-6EB9A972DCCF}"/>
    <cellStyle name="Normal 5 6 2 2 3 3" xfId="30584" xr:uid="{9F59F57E-0641-4FCC-B287-5EA9F3EE8930}"/>
    <cellStyle name="Normal 5 6 2 2 3 4" xfId="13697" xr:uid="{0F0A26DA-6B3D-441D-8505-88D8C9BC84B3}"/>
    <cellStyle name="Normal 5 6 2 2 4" xfId="17920" xr:uid="{05B766B8-EA65-4ABC-9D28-A05861BB59E5}"/>
    <cellStyle name="Normal 5 6 2 2 5" xfId="26365" xr:uid="{BC28205E-35F4-45FF-A629-0F7C21E084F2}"/>
    <cellStyle name="Normal 5 6 2 2 6" xfId="9479" xr:uid="{9860CB55-55E3-4EB1-9C1E-B7EAAFD22CBA}"/>
    <cellStyle name="Normal 5 6 2 3" xfId="1360" xr:uid="{00000000-0005-0000-0000-0000A21B0000}"/>
    <cellStyle name="Normal 5 6 2 3 2" xfId="3590" xr:uid="{00000000-0005-0000-0000-0000A31B0000}"/>
    <cellStyle name="Normal 5 6 2 3 2 2" xfId="7813" xr:uid="{00000000-0005-0000-0000-0000A41B0000}"/>
    <cellStyle name="Normal 5 6 2 3 2 2 2" xfId="24696" xr:uid="{50F25EC1-CD07-444D-A651-4F60A5329E40}"/>
    <cellStyle name="Normal 5 6 2 3 2 2 3" xfId="33142" xr:uid="{7FDCF890-11D4-43CD-A1B6-301C913DE6FC}"/>
    <cellStyle name="Normal 5 6 2 3 2 2 4" xfId="16255" xr:uid="{4AAE2E7D-7658-4BB1-B22C-040EAB651869}"/>
    <cellStyle name="Normal 5 6 2 3 2 3" xfId="20478" xr:uid="{E99D9C06-9704-4121-B16C-3E885473E728}"/>
    <cellStyle name="Normal 5 6 2 3 2 4" xfId="28925" xr:uid="{27F2DC82-6BE3-4C14-AA85-B8FC38C420D9}"/>
    <cellStyle name="Normal 5 6 2 3 2 5" xfId="12037" xr:uid="{6BF987C2-6727-4CAE-A28D-9CEE35466E0B}"/>
    <cellStyle name="Normal 5 6 2 3 3" xfId="5668" xr:uid="{00000000-0005-0000-0000-0000A51B0000}"/>
    <cellStyle name="Normal 5 6 2 3 3 2" xfId="22551" xr:uid="{940CDC90-CD33-4D50-B640-A5B101B074F3}"/>
    <cellStyle name="Normal 5 6 2 3 3 3" xfId="30997" xr:uid="{0E6B925D-7663-494E-A142-B9B7EA333109}"/>
    <cellStyle name="Normal 5 6 2 3 3 4" xfId="14110" xr:uid="{B4489287-3466-49BA-A748-464D043CF579}"/>
    <cellStyle name="Normal 5 6 2 3 4" xfId="18333" xr:uid="{682B7654-4E6E-41DE-A03D-813EBB83E48F}"/>
    <cellStyle name="Normal 5 6 2 3 5" xfId="26778" xr:uid="{9C6497DC-FC0B-4C16-8DEA-034AF2566753}"/>
    <cellStyle name="Normal 5 6 2 3 6" xfId="9892" xr:uid="{C5D6DF66-8C84-475C-AE12-3DD554E05963}"/>
    <cellStyle name="Normal 5 6 2 4" xfId="1773" xr:uid="{00000000-0005-0000-0000-0000A61B0000}"/>
    <cellStyle name="Normal 5 6 2 4 2" xfId="4003" xr:uid="{00000000-0005-0000-0000-0000A71B0000}"/>
    <cellStyle name="Normal 5 6 2 4 2 2" xfId="8226" xr:uid="{00000000-0005-0000-0000-0000A81B0000}"/>
    <cellStyle name="Normal 5 6 2 4 2 2 2" xfId="25109" xr:uid="{AD055357-A781-4CC1-B15D-41E20A50EB85}"/>
    <cellStyle name="Normal 5 6 2 4 2 2 3" xfId="33555" xr:uid="{4590562B-278A-4DB0-8879-707030E8160F}"/>
    <cellStyle name="Normal 5 6 2 4 2 2 4" xfId="16668" xr:uid="{9234A442-1E59-455F-A0D5-AF4E2DB173C5}"/>
    <cellStyle name="Normal 5 6 2 4 2 3" xfId="20891" xr:uid="{D2C2BBFA-0D32-4EE5-BB13-816E16210F00}"/>
    <cellStyle name="Normal 5 6 2 4 2 4" xfId="29338" xr:uid="{539CA979-63E4-4A03-8E75-2BE9999788E8}"/>
    <cellStyle name="Normal 5 6 2 4 2 5" xfId="12450" xr:uid="{98FAD850-7F16-4762-BA9A-CB934736E5A6}"/>
    <cellStyle name="Normal 5 6 2 4 3" xfId="6081" xr:uid="{00000000-0005-0000-0000-0000A91B0000}"/>
    <cellStyle name="Normal 5 6 2 4 3 2" xfId="22964" xr:uid="{B0B8E441-1614-456D-986C-2842F8ECB993}"/>
    <cellStyle name="Normal 5 6 2 4 3 3" xfId="31410" xr:uid="{F1ED9566-0BEE-4AC1-8445-A4990CEE33EA}"/>
    <cellStyle name="Normal 5 6 2 4 3 4" xfId="14523" xr:uid="{69AB2B38-956D-4347-8F13-B8B39176FA0C}"/>
    <cellStyle name="Normal 5 6 2 4 4" xfId="18746" xr:uid="{A7BBD4C4-3CD3-4344-9B91-54E2CBB1AF07}"/>
    <cellStyle name="Normal 5 6 2 4 5" xfId="27191" xr:uid="{02457698-B2C5-4572-BD93-2F28FD420ED7}"/>
    <cellStyle name="Normal 5 6 2 4 6" xfId="10305" xr:uid="{4887A1E6-F0B8-47B5-9A38-02ABE8F69658}"/>
    <cellStyle name="Normal 5 6 2 5" xfId="2187" xr:uid="{00000000-0005-0000-0000-0000AA1B0000}"/>
    <cellStyle name="Normal 5 6 2 5 2" xfId="4416" xr:uid="{00000000-0005-0000-0000-0000AB1B0000}"/>
    <cellStyle name="Normal 5 6 2 5 2 2" xfId="8639" xr:uid="{00000000-0005-0000-0000-0000AC1B0000}"/>
    <cellStyle name="Normal 5 6 2 5 2 2 2" xfId="25522" xr:uid="{925E99F4-DA69-4A33-A17D-34C0AB55CF8B}"/>
    <cellStyle name="Normal 5 6 2 5 2 2 3" xfId="33968" xr:uid="{EE998993-EFDE-4EE9-B6EE-0707331321DB}"/>
    <cellStyle name="Normal 5 6 2 5 2 2 4" xfId="17081" xr:uid="{C4A1A1E5-EF7F-448D-A9C3-785922ADDD59}"/>
    <cellStyle name="Normal 5 6 2 5 2 3" xfId="21304" xr:uid="{51A5FC0C-B15B-45B3-8974-203AAB711EC8}"/>
    <cellStyle name="Normal 5 6 2 5 2 4" xfId="29751" xr:uid="{A97D033B-08ED-4047-B8B4-C5572903958E}"/>
    <cellStyle name="Normal 5 6 2 5 2 5" xfId="12863" xr:uid="{8303A7F5-31BE-4846-BA06-200B8DD55319}"/>
    <cellStyle name="Normal 5 6 2 5 3" xfId="6494" xr:uid="{00000000-0005-0000-0000-0000AD1B0000}"/>
    <cellStyle name="Normal 5 6 2 5 3 2" xfId="23377" xr:uid="{935E0916-15DC-4DC6-BDBD-9E2B7BC076D8}"/>
    <cellStyle name="Normal 5 6 2 5 3 3" xfId="31823" xr:uid="{88A6893E-04E2-4604-8509-F7D48D6F7BBB}"/>
    <cellStyle name="Normal 5 6 2 5 3 4" xfId="14936" xr:uid="{3566E3B5-7868-42B4-89E4-79992CFB5163}"/>
    <cellStyle name="Normal 5 6 2 5 4" xfId="19159" xr:uid="{6DA59910-E003-4474-AA33-B719A63F9510}"/>
    <cellStyle name="Normal 5 6 2 5 5" xfId="27604" xr:uid="{F3550812-94F2-4C81-8920-350096150140}"/>
    <cellStyle name="Normal 5 6 2 5 6" xfId="10718" xr:uid="{A4BA077F-3DAD-4CCB-99AB-3E1447E78C95}"/>
    <cellStyle name="Normal 5 6 2 6" xfId="2623" xr:uid="{00000000-0005-0000-0000-0000AE1B0000}"/>
    <cellStyle name="Normal 5 6 2 6 2" xfId="6907" xr:uid="{00000000-0005-0000-0000-0000AF1B0000}"/>
    <cellStyle name="Normal 5 6 2 6 2 2" xfId="23790" xr:uid="{486AF64C-FD91-4C4B-B47D-FA7C96E7DA5E}"/>
    <cellStyle name="Normal 5 6 2 6 2 3" xfId="32236" xr:uid="{42A304D2-6052-4867-8323-87001850857E}"/>
    <cellStyle name="Normal 5 6 2 6 2 4" xfId="15349" xr:uid="{D6EEA9D7-09E2-448F-B055-2F860E5045A7}"/>
    <cellStyle name="Normal 5 6 2 6 3" xfId="19572" xr:uid="{C5243F96-3B8E-4AC8-A8F6-138ACDDBEE7B}"/>
    <cellStyle name="Normal 5 6 2 6 4" xfId="28017" xr:uid="{95629C6B-D349-49C3-8B81-AFA39397E0A6}"/>
    <cellStyle name="Normal 5 6 2 6 5" xfId="11131" xr:uid="{28E1F841-860A-48EE-8D5D-854BB8BBFC47}"/>
    <cellStyle name="Normal 5 6 2 7" xfId="4842" xr:uid="{00000000-0005-0000-0000-0000B01B0000}"/>
    <cellStyle name="Normal 5 6 2 7 2" xfId="21725" xr:uid="{F96684FB-72BE-4767-A780-2BDB2F11810C}"/>
    <cellStyle name="Normal 5 6 2 7 3" xfId="30171" xr:uid="{E6AE6364-5C51-469E-9247-F96C3CCBF961}"/>
    <cellStyle name="Normal 5 6 2 7 4" xfId="13284" xr:uid="{6BD2903F-E46E-4197-BEFC-EBF1F7766493}"/>
    <cellStyle name="Normal 5 6 2 8" xfId="17507" xr:uid="{78F58D8D-CDEA-4303-9E8D-6C267F679F0B}"/>
    <cellStyle name="Normal 5 6 2 9" xfId="25951" xr:uid="{EBA74D62-9AD6-46ED-9499-E54DE8DC9ED8}"/>
    <cellStyle name="Normal 5 6 3" xfId="942" xr:uid="{00000000-0005-0000-0000-0000B11B0000}"/>
    <cellStyle name="Normal 5 6 3 2" xfId="3176" xr:uid="{00000000-0005-0000-0000-0000B21B0000}"/>
    <cellStyle name="Normal 5 6 3 2 2" xfId="7399" xr:uid="{00000000-0005-0000-0000-0000B31B0000}"/>
    <cellStyle name="Normal 5 6 3 2 2 2" xfId="24282" xr:uid="{7C1F242B-0A92-42F9-BC1E-10DA0BFE1E69}"/>
    <cellStyle name="Normal 5 6 3 2 2 3" xfId="32728" xr:uid="{DFF275F0-D067-44BC-B9F8-3581479EB672}"/>
    <cellStyle name="Normal 5 6 3 2 2 4" xfId="15841" xr:uid="{C6C4DCB2-F350-4D26-BBCA-1492EA75C55D}"/>
    <cellStyle name="Normal 5 6 3 2 3" xfId="20064" xr:uid="{559B0B86-6147-4D9F-BFFD-A36344808B1A}"/>
    <cellStyle name="Normal 5 6 3 2 4" xfId="28511" xr:uid="{40A728C3-1CFE-4ABA-856B-1D3F2AFB8540}"/>
    <cellStyle name="Normal 5 6 3 2 5" xfId="11623" xr:uid="{3E1C9B8B-D0A8-4D6A-B59F-618B6DDC938F}"/>
    <cellStyle name="Normal 5 6 3 3" xfId="5254" xr:uid="{00000000-0005-0000-0000-0000B41B0000}"/>
    <cellStyle name="Normal 5 6 3 3 2" xfId="22137" xr:uid="{0A1B8294-3D6D-484F-9A39-BA941E3E7C07}"/>
    <cellStyle name="Normal 5 6 3 3 3" xfId="30583" xr:uid="{CF19EF57-7042-4531-A772-C84355C49AD4}"/>
    <cellStyle name="Normal 5 6 3 3 4" xfId="13696" xr:uid="{A7736253-613C-4EEB-B8EE-997E4073E052}"/>
    <cellStyle name="Normal 5 6 3 4" xfId="17919" xr:uid="{1038ADC4-F002-4DB1-BC8A-C32A555542A4}"/>
    <cellStyle name="Normal 5 6 3 5" xfId="26364" xr:uid="{1827185F-23BF-4A32-9EA3-E8CCA16F11AF}"/>
    <cellStyle name="Normal 5 6 3 6" xfId="9478" xr:uid="{99DD73E7-558A-4E16-B457-4417D59B4869}"/>
    <cellStyle name="Normal 5 6 4" xfId="1359" xr:uid="{00000000-0005-0000-0000-0000B51B0000}"/>
    <cellStyle name="Normal 5 6 4 2" xfId="3589" xr:uid="{00000000-0005-0000-0000-0000B61B0000}"/>
    <cellStyle name="Normal 5 6 4 2 2" xfId="7812" xr:uid="{00000000-0005-0000-0000-0000B71B0000}"/>
    <cellStyle name="Normal 5 6 4 2 2 2" xfId="24695" xr:uid="{775AB71D-4253-4CB1-BB79-C032386EE7E5}"/>
    <cellStyle name="Normal 5 6 4 2 2 3" xfId="33141" xr:uid="{4BBDD0CE-44CA-46FC-B313-85832E869F6D}"/>
    <cellStyle name="Normal 5 6 4 2 2 4" xfId="16254" xr:uid="{C0FCEC76-0F08-4AB3-BCC0-809FD05D4726}"/>
    <cellStyle name="Normal 5 6 4 2 3" xfId="20477" xr:uid="{EA33B414-4BA8-4EB7-A197-1A3B525B5A82}"/>
    <cellStyle name="Normal 5 6 4 2 4" xfId="28924" xr:uid="{842FAF86-6728-48AC-9402-679D65FA9DE7}"/>
    <cellStyle name="Normal 5 6 4 2 5" xfId="12036" xr:uid="{8F0FCED1-B311-4A30-B90C-809D3A59F5F3}"/>
    <cellStyle name="Normal 5 6 4 3" xfId="5667" xr:uid="{00000000-0005-0000-0000-0000B81B0000}"/>
    <cellStyle name="Normal 5 6 4 3 2" xfId="22550" xr:uid="{84498883-CB50-4049-AF2B-113B8F716102}"/>
    <cellStyle name="Normal 5 6 4 3 3" xfId="30996" xr:uid="{A726F14E-F4AA-41B9-B2E7-1D51AFC2BAD3}"/>
    <cellStyle name="Normal 5 6 4 3 4" xfId="14109" xr:uid="{8D595CBA-1574-4B3A-A6E5-1A74E9C4195F}"/>
    <cellStyle name="Normal 5 6 4 4" xfId="18332" xr:uid="{9EED14D0-8EB5-4480-BD65-6E44F5A835AE}"/>
    <cellStyle name="Normal 5 6 4 5" xfId="26777" xr:uid="{EBA2C51B-9A5B-4F2D-8A1E-3D1B31822CD8}"/>
    <cellStyle name="Normal 5 6 4 6" xfId="9891" xr:uid="{BAED22A4-9BE4-4EA8-A909-D204203F08A7}"/>
    <cellStyle name="Normal 5 6 5" xfId="1772" xr:uid="{00000000-0005-0000-0000-0000B91B0000}"/>
    <cellStyle name="Normal 5 6 5 2" xfId="4002" xr:uid="{00000000-0005-0000-0000-0000BA1B0000}"/>
    <cellStyle name="Normal 5 6 5 2 2" xfId="8225" xr:uid="{00000000-0005-0000-0000-0000BB1B0000}"/>
    <cellStyle name="Normal 5 6 5 2 2 2" xfId="25108" xr:uid="{D6530AE1-7890-44B1-8D59-29F9155FAD4B}"/>
    <cellStyle name="Normal 5 6 5 2 2 3" xfId="33554" xr:uid="{A64CBE5B-3E79-4441-BF81-946584093ED2}"/>
    <cellStyle name="Normal 5 6 5 2 2 4" xfId="16667" xr:uid="{1A45277F-1B6C-4F0E-BD45-57E5A27BCF9B}"/>
    <cellStyle name="Normal 5 6 5 2 3" xfId="20890" xr:uid="{0AC20D16-64A7-4BCB-94D6-BF8A7D1EC91D}"/>
    <cellStyle name="Normal 5 6 5 2 4" xfId="29337" xr:uid="{C256ECBF-395B-42D1-91AC-430FBA55F746}"/>
    <cellStyle name="Normal 5 6 5 2 5" xfId="12449" xr:uid="{F671F045-613A-40C2-A0D6-EF55248D6D5E}"/>
    <cellStyle name="Normal 5 6 5 3" xfId="6080" xr:uid="{00000000-0005-0000-0000-0000BC1B0000}"/>
    <cellStyle name="Normal 5 6 5 3 2" xfId="22963" xr:uid="{CB640338-E609-48F0-9B06-6A23C706CB9C}"/>
    <cellStyle name="Normal 5 6 5 3 3" xfId="31409" xr:uid="{4AB400F8-866B-46ED-87C1-EF38084EE324}"/>
    <cellStyle name="Normal 5 6 5 3 4" xfId="14522" xr:uid="{783491AC-25BF-49B6-9FDF-7729F447D2F7}"/>
    <cellStyle name="Normal 5 6 5 4" xfId="18745" xr:uid="{F5F256CF-C4A1-425F-98E8-DC29A59D5B1E}"/>
    <cellStyle name="Normal 5 6 5 5" xfId="27190" xr:uid="{12A52E99-4864-413B-8F61-C6E1D65AFD1B}"/>
    <cellStyle name="Normal 5 6 5 6" xfId="10304" xr:uid="{422BEB55-A60E-476B-AB6B-E345AF77FC1E}"/>
    <cellStyle name="Normal 5 6 6" xfId="2186" xr:uid="{00000000-0005-0000-0000-0000BD1B0000}"/>
    <cellStyle name="Normal 5 6 6 2" xfId="4415" xr:uid="{00000000-0005-0000-0000-0000BE1B0000}"/>
    <cellStyle name="Normal 5 6 6 2 2" xfId="8638" xr:uid="{00000000-0005-0000-0000-0000BF1B0000}"/>
    <cellStyle name="Normal 5 6 6 2 2 2" xfId="25521" xr:uid="{744381C0-46AD-45ED-BEB3-67F8941F44CC}"/>
    <cellStyle name="Normal 5 6 6 2 2 3" xfId="33967" xr:uid="{7ED0C803-C2E7-4811-BA65-055649BAFE27}"/>
    <cellStyle name="Normal 5 6 6 2 2 4" xfId="17080" xr:uid="{5D3092A5-B158-47D8-A44A-B221F813F12A}"/>
    <cellStyle name="Normal 5 6 6 2 3" xfId="21303" xr:uid="{53704F20-1900-48DB-8523-56754AC5F9E5}"/>
    <cellStyle name="Normal 5 6 6 2 4" xfId="29750" xr:uid="{7FA41522-13EC-4C22-9FD7-8ADE92742157}"/>
    <cellStyle name="Normal 5 6 6 2 5" xfId="12862" xr:uid="{64FD634A-ACEC-4A5E-85BC-0829F06212B3}"/>
    <cellStyle name="Normal 5 6 6 3" xfId="6493" xr:uid="{00000000-0005-0000-0000-0000C01B0000}"/>
    <cellStyle name="Normal 5 6 6 3 2" xfId="23376" xr:uid="{33733DC9-A97D-41D5-A6A0-702EBF2A029C}"/>
    <cellStyle name="Normal 5 6 6 3 3" xfId="31822" xr:uid="{F47F601A-6B4B-4DA9-BD7E-915629FC295B}"/>
    <cellStyle name="Normal 5 6 6 3 4" xfId="14935" xr:uid="{BE41400A-5286-4421-964D-DF8A50BD6CE8}"/>
    <cellStyle name="Normal 5 6 6 4" xfId="19158" xr:uid="{4838BD4A-717E-43BF-A640-9DDADC41B368}"/>
    <cellStyle name="Normal 5 6 6 5" xfId="27603" xr:uid="{5304F26D-9573-4FE3-8BBB-4C2FAEDD9C6C}"/>
    <cellStyle name="Normal 5 6 6 6" xfId="10717" xr:uid="{9777B06F-1AE2-46EB-A490-43795F48D0E6}"/>
    <cellStyle name="Normal 5 6 7" xfId="2622" xr:uid="{00000000-0005-0000-0000-0000C11B0000}"/>
    <cellStyle name="Normal 5 6 7 2" xfId="6906" xr:uid="{00000000-0005-0000-0000-0000C21B0000}"/>
    <cellStyle name="Normal 5 6 7 2 2" xfId="23789" xr:uid="{02C62AE6-C551-4BD4-BFE6-CDD135E86A07}"/>
    <cellStyle name="Normal 5 6 7 2 3" xfId="32235" xr:uid="{40F89E87-2DBF-44E6-99F7-D51D3D0FC52C}"/>
    <cellStyle name="Normal 5 6 7 2 4" xfId="15348" xr:uid="{F8D02EB2-65C6-497F-BFF8-1D62F0FB27F0}"/>
    <cellStyle name="Normal 5 6 7 3" xfId="19571" xr:uid="{E6B4F491-2CAA-47BB-BCC7-CCA6042E5D8A}"/>
    <cellStyle name="Normal 5 6 7 4" xfId="28016" xr:uid="{025FEC9C-BFFE-4E9E-8378-4DC05C17284C}"/>
    <cellStyle name="Normal 5 6 7 5" xfId="11130" xr:uid="{DC2BFB9A-D888-4C9E-A903-1844343ED902}"/>
    <cellStyle name="Normal 5 6 8" xfId="4841" xr:uid="{00000000-0005-0000-0000-0000C31B0000}"/>
    <cellStyle name="Normal 5 6 8 2" xfId="21724" xr:uid="{C62FA702-EA1D-44D4-9197-D075DC48A466}"/>
    <cellStyle name="Normal 5 6 8 3" xfId="30170" xr:uid="{163E7AAA-7E11-4AF8-AE80-24BA2F9F659C}"/>
    <cellStyle name="Normal 5 6 8 4" xfId="13283" xr:uid="{83B908BC-9330-4627-8264-4D8B0D8D6753}"/>
    <cellStyle name="Normal 5 6 9" xfId="17506" xr:uid="{B3197244-3C9C-4D2D-8A19-2D27BDD23052}"/>
    <cellStyle name="Normal 5 7" xfId="470" xr:uid="{00000000-0005-0000-0000-0000C41B0000}"/>
    <cellStyle name="Normal 5 7 10" xfId="9067" xr:uid="{D8BD244D-72A8-46DA-9F36-E987A0BD813A}"/>
    <cellStyle name="Normal 5 7 2" xfId="944" xr:uid="{00000000-0005-0000-0000-0000C51B0000}"/>
    <cellStyle name="Normal 5 7 2 2" xfId="3178" xr:uid="{00000000-0005-0000-0000-0000C61B0000}"/>
    <cellStyle name="Normal 5 7 2 2 2" xfId="7401" xr:uid="{00000000-0005-0000-0000-0000C71B0000}"/>
    <cellStyle name="Normal 5 7 2 2 2 2" xfId="24284" xr:uid="{F5D37585-61B1-4CE0-8245-8494B8BFB602}"/>
    <cellStyle name="Normal 5 7 2 2 2 3" xfId="32730" xr:uid="{E594DC5E-EEB5-447C-88CE-048A9FDAF198}"/>
    <cellStyle name="Normal 5 7 2 2 2 4" xfId="15843" xr:uid="{BDB7151F-B782-47B0-9B5F-400FA347B68E}"/>
    <cellStyle name="Normal 5 7 2 2 3" xfId="20066" xr:uid="{AAE421EA-72E6-4259-B65F-7CC8AD3D872B}"/>
    <cellStyle name="Normal 5 7 2 2 4" xfId="28513" xr:uid="{C9A101F1-82B3-4691-B40A-9A3D4E63EFAB}"/>
    <cellStyle name="Normal 5 7 2 2 5" xfId="11625" xr:uid="{16E295D5-A22E-4F8C-8A01-BD1B2B1C9283}"/>
    <cellStyle name="Normal 5 7 2 3" xfId="5256" xr:uid="{00000000-0005-0000-0000-0000C81B0000}"/>
    <cellStyle name="Normal 5 7 2 3 2" xfId="22139" xr:uid="{FDE0D396-AD06-44D4-9333-70CF8C17D443}"/>
    <cellStyle name="Normal 5 7 2 3 3" xfId="30585" xr:uid="{EB5D5A58-6444-4C93-9BF5-A038F3636BFB}"/>
    <cellStyle name="Normal 5 7 2 3 4" xfId="13698" xr:uid="{81C136E3-C2DD-4846-987B-623EF797C0EE}"/>
    <cellStyle name="Normal 5 7 2 4" xfId="17921" xr:uid="{B943FB1C-EC08-4A4B-B9AA-7B2C21D38EB1}"/>
    <cellStyle name="Normal 5 7 2 5" xfId="26366" xr:uid="{FFB3087E-17EA-44A8-9E57-5B8126C1B94C}"/>
    <cellStyle name="Normal 5 7 2 6" xfId="9480" xr:uid="{B890CC48-654E-4FE0-944E-26D2C3F779B7}"/>
    <cellStyle name="Normal 5 7 3" xfId="1361" xr:uid="{00000000-0005-0000-0000-0000C91B0000}"/>
    <cellStyle name="Normal 5 7 3 2" xfId="3591" xr:uid="{00000000-0005-0000-0000-0000CA1B0000}"/>
    <cellStyle name="Normal 5 7 3 2 2" xfId="7814" xr:uid="{00000000-0005-0000-0000-0000CB1B0000}"/>
    <cellStyle name="Normal 5 7 3 2 2 2" xfId="24697" xr:uid="{015C2734-58AC-4DA0-908D-5B1F19910309}"/>
    <cellStyle name="Normal 5 7 3 2 2 3" xfId="33143" xr:uid="{2B5EE239-A8D9-4715-9068-4C640FD40AE5}"/>
    <cellStyle name="Normal 5 7 3 2 2 4" xfId="16256" xr:uid="{ECAA0DF6-1C31-4E29-8600-47DDB604A651}"/>
    <cellStyle name="Normal 5 7 3 2 3" xfId="20479" xr:uid="{99C58BED-B4D6-4768-A18A-35F63DCECEF5}"/>
    <cellStyle name="Normal 5 7 3 2 4" xfId="28926" xr:uid="{ABC2115A-8E20-42BD-8D94-CE89294C2081}"/>
    <cellStyle name="Normal 5 7 3 2 5" xfId="12038" xr:uid="{B8F57DF8-4245-4276-B225-7B630EF2F495}"/>
    <cellStyle name="Normal 5 7 3 3" xfId="5669" xr:uid="{00000000-0005-0000-0000-0000CC1B0000}"/>
    <cellStyle name="Normal 5 7 3 3 2" xfId="22552" xr:uid="{29C60607-76DD-42B2-9DAC-EFAFE7528A9D}"/>
    <cellStyle name="Normal 5 7 3 3 3" xfId="30998" xr:uid="{D56CAA95-5F78-43CC-8C0D-4D0421F5FA44}"/>
    <cellStyle name="Normal 5 7 3 3 4" xfId="14111" xr:uid="{790F6CC8-D6C2-4D5E-8569-11F3267F6DD9}"/>
    <cellStyle name="Normal 5 7 3 4" xfId="18334" xr:uid="{5AD4B3C0-07FD-4737-81FA-916418725851}"/>
    <cellStyle name="Normal 5 7 3 5" xfId="26779" xr:uid="{AF10808B-9A6B-4C3D-BD0C-AE9DD99F9DDD}"/>
    <cellStyle name="Normal 5 7 3 6" xfId="9893" xr:uid="{23E5B5F4-E1EB-4115-94F9-12F52C5702DC}"/>
    <cellStyle name="Normal 5 7 4" xfId="1774" xr:uid="{00000000-0005-0000-0000-0000CD1B0000}"/>
    <cellStyle name="Normal 5 7 4 2" xfId="4004" xr:uid="{00000000-0005-0000-0000-0000CE1B0000}"/>
    <cellStyle name="Normal 5 7 4 2 2" xfId="8227" xr:uid="{00000000-0005-0000-0000-0000CF1B0000}"/>
    <cellStyle name="Normal 5 7 4 2 2 2" xfId="25110" xr:uid="{7C9BCD53-863B-4FB0-9CAA-D1E25A2C3DBA}"/>
    <cellStyle name="Normal 5 7 4 2 2 3" xfId="33556" xr:uid="{C7BCE283-BD6C-48E8-8C10-DDF2A3EBB9BE}"/>
    <cellStyle name="Normal 5 7 4 2 2 4" xfId="16669" xr:uid="{FE979009-D238-4636-8F5A-F5979D17E0FA}"/>
    <cellStyle name="Normal 5 7 4 2 3" xfId="20892" xr:uid="{C4F338A7-5216-469A-8AB2-22C3EE1F9E97}"/>
    <cellStyle name="Normal 5 7 4 2 4" xfId="29339" xr:uid="{5C58BF94-65BC-40A4-B975-0C200E852AC5}"/>
    <cellStyle name="Normal 5 7 4 2 5" xfId="12451" xr:uid="{A1E351E5-B2E3-4A30-993C-A3FD0E5D804C}"/>
    <cellStyle name="Normal 5 7 4 3" xfId="6082" xr:uid="{00000000-0005-0000-0000-0000D01B0000}"/>
    <cellStyle name="Normal 5 7 4 3 2" xfId="22965" xr:uid="{BC2AE806-D398-4484-A4F7-1B59281A93E0}"/>
    <cellStyle name="Normal 5 7 4 3 3" xfId="31411" xr:uid="{A3C648CC-6971-4947-B145-7D89AB06ED25}"/>
    <cellStyle name="Normal 5 7 4 3 4" xfId="14524" xr:uid="{70671D2E-E7AF-48DC-B2A5-2DF5029C3530}"/>
    <cellStyle name="Normal 5 7 4 4" xfId="18747" xr:uid="{A6831814-79D4-4CBA-8CA4-86AC653EFC79}"/>
    <cellStyle name="Normal 5 7 4 5" xfId="27192" xr:uid="{90A66FF6-92F7-48FD-A4F2-2437B4C41B0F}"/>
    <cellStyle name="Normal 5 7 4 6" xfId="10306" xr:uid="{7E24DC21-DEFD-4422-BE6F-BFDC68458B94}"/>
    <cellStyle name="Normal 5 7 5" xfId="2188" xr:uid="{00000000-0005-0000-0000-0000D11B0000}"/>
    <cellStyle name="Normal 5 7 5 2" xfId="4417" xr:uid="{00000000-0005-0000-0000-0000D21B0000}"/>
    <cellStyle name="Normal 5 7 5 2 2" xfId="8640" xr:uid="{00000000-0005-0000-0000-0000D31B0000}"/>
    <cellStyle name="Normal 5 7 5 2 2 2" xfId="25523" xr:uid="{20D6D920-56C9-4494-B784-2A7095F2BD68}"/>
    <cellStyle name="Normal 5 7 5 2 2 3" xfId="33969" xr:uid="{66097F61-AD36-4B85-9551-5EAE2D531100}"/>
    <cellStyle name="Normal 5 7 5 2 2 4" xfId="17082" xr:uid="{81062066-0A0F-4E80-87FD-015314A4C508}"/>
    <cellStyle name="Normal 5 7 5 2 3" xfId="21305" xr:uid="{A74D6D30-F161-4F5D-8C77-D2DDFA981800}"/>
    <cellStyle name="Normal 5 7 5 2 4" xfId="29752" xr:uid="{9965733A-5D8B-4167-B82B-D36399EB04CE}"/>
    <cellStyle name="Normal 5 7 5 2 5" xfId="12864" xr:uid="{28AC5EB8-A96C-41EB-9214-D249E41EDC20}"/>
    <cellStyle name="Normal 5 7 5 3" xfId="6495" xr:uid="{00000000-0005-0000-0000-0000D41B0000}"/>
    <cellStyle name="Normal 5 7 5 3 2" xfId="23378" xr:uid="{F802D9B8-6582-4C36-9253-B0ABB2310AEC}"/>
    <cellStyle name="Normal 5 7 5 3 3" xfId="31824" xr:uid="{1EFB7189-6203-4F82-B239-BBFCAC34DF85}"/>
    <cellStyle name="Normal 5 7 5 3 4" xfId="14937" xr:uid="{5088F7DC-001B-4E6A-8162-BD9BF1020135}"/>
    <cellStyle name="Normal 5 7 5 4" xfId="19160" xr:uid="{DA47A1B4-07F8-4BFD-BDB4-F1CDCC467B50}"/>
    <cellStyle name="Normal 5 7 5 5" xfId="27605" xr:uid="{D1B6A434-BC32-42C6-B577-007F30C0BC61}"/>
    <cellStyle name="Normal 5 7 5 6" xfId="10719" xr:uid="{60CB06AA-8482-4F31-887A-945458C0F10D}"/>
    <cellStyle name="Normal 5 7 6" xfId="2624" xr:uid="{00000000-0005-0000-0000-0000D51B0000}"/>
    <cellStyle name="Normal 5 7 6 2" xfId="6908" xr:uid="{00000000-0005-0000-0000-0000D61B0000}"/>
    <cellStyle name="Normal 5 7 6 2 2" xfId="23791" xr:uid="{29A719B2-C9F9-473B-A7CB-AB34B86A3DF8}"/>
    <cellStyle name="Normal 5 7 6 2 3" xfId="32237" xr:uid="{CCAF3DF3-B5AF-4304-B98A-9350C70322B8}"/>
    <cellStyle name="Normal 5 7 6 2 4" xfId="15350" xr:uid="{EDC0F1DB-8152-40B1-B1AB-DDD2AB378E4D}"/>
    <cellStyle name="Normal 5 7 6 3" xfId="19573" xr:uid="{BEAFC6F2-842B-4707-BF3E-4C173F8782A7}"/>
    <cellStyle name="Normal 5 7 6 4" xfId="28018" xr:uid="{CADB8903-3904-4B81-869F-141F949D045C}"/>
    <cellStyle name="Normal 5 7 6 5" xfId="11132" xr:uid="{EE87F87E-F3EB-44FB-86E1-B336D85CAC0F}"/>
    <cellStyle name="Normal 5 7 7" xfId="4843" xr:uid="{00000000-0005-0000-0000-0000D71B0000}"/>
    <cellStyle name="Normal 5 7 7 2" xfId="21726" xr:uid="{D03C78CE-AD0C-4E50-A27C-1AE06D3C80E1}"/>
    <cellStyle name="Normal 5 7 7 3" xfId="30172" xr:uid="{6E4C981E-85D9-4565-A252-9E88C7B159A0}"/>
    <cellStyle name="Normal 5 7 7 4" xfId="13285" xr:uid="{80A74002-1DD2-4C63-8E36-889ACB742C38}"/>
    <cellStyle name="Normal 5 7 8" xfId="17508" xr:uid="{CE641C35-873A-49E6-BAEE-644CE6A9BDF5}"/>
    <cellStyle name="Normal 5 7 9" xfId="25952" xr:uid="{C932C24E-83BC-4922-A121-4198412A7894}"/>
    <cellStyle name="Normal 5 8" xfId="880" xr:uid="{00000000-0005-0000-0000-0000D81B0000}"/>
    <cellStyle name="Normal 5 8 2" xfId="3115" xr:uid="{00000000-0005-0000-0000-0000D91B0000}"/>
    <cellStyle name="Normal 5 8 2 2" xfId="7338" xr:uid="{00000000-0005-0000-0000-0000DA1B0000}"/>
    <cellStyle name="Normal 5 8 2 2 2" xfId="24221" xr:uid="{0567C243-C028-4163-B152-B4B58B553C39}"/>
    <cellStyle name="Normal 5 8 2 2 3" xfId="32667" xr:uid="{9D7FAFB2-966F-473D-B528-CB32951074A5}"/>
    <cellStyle name="Normal 5 8 2 2 4" xfId="15780" xr:uid="{7FF3610F-A4B5-465E-972C-0B11DF4C485B}"/>
    <cellStyle name="Normal 5 8 2 3" xfId="20003" xr:uid="{E93B88E0-0FA5-41A0-BDA0-ED65E6D8428C}"/>
    <cellStyle name="Normal 5 8 2 4" xfId="28450" xr:uid="{D92D9D1F-B909-4676-9466-7B7F0DCBB318}"/>
    <cellStyle name="Normal 5 8 2 5" xfId="11562" xr:uid="{90A7E8AC-84ED-4A62-8677-D794082C3F63}"/>
    <cellStyle name="Normal 5 8 3" xfId="5193" xr:uid="{00000000-0005-0000-0000-0000DB1B0000}"/>
    <cellStyle name="Normal 5 8 3 2" xfId="22076" xr:uid="{EA5CF98A-DF50-498D-8404-BF70BC76DE49}"/>
    <cellStyle name="Normal 5 8 3 3" xfId="30522" xr:uid="{FA3B40C7-720F-43AB-AD4C-2C73175CA469}"/>
    <cellStyle name="Normal 5 8 3 4" xfId="13635" xr:uid="{55F2D016-C8C4-4D0E-97F8-1739B84620DC}"/>
    <cellStyle name="Normal 5 8 4" xfId="17858" xr:uid="{8778828B-6A39-4516-8A10-6E704157AA42}"/>
    <cellStyle name="Normal 5 8 5" xfId="26303" xr:uid="{A05804E1-E2A8-4DDD-B968-718CF8B5F787}"/>
    <cellStyle name="Normal 5 8 6" xfId="9417" xr:uid="{D8C91BBF-11FF-473E-BAFF-744AD4BA4044}"/>
    <cellStyle name="Normal 5 9" xfId="1298" xr:uid="{00000000-0005-0000-0000-0000DC1B0000}"/>
    <cellStyle name="Normal 5 9 2" xfId="3528" xr:uid="{00000000-0005-0000-0000-0000DD1B0000}"/>
    <cellStyle name="Normal 5 9 2 2" xfId="7751" xr:uid="{00000000-0005-0000-0000-0000DE1B0000}"/>
    <cellStyle name="Normal 5 9 2 2 2" xfId="24634" xr:uid="{BD433880-792E-49B8-8CF7-7EB395F6F65D}"/>
    <cellStyle name="Normal 5 9 2 2 3" xfId="33080" xr:uid="{6D1BE611-ED9A-47D8-9700-C3B9A5B05BE3}"/>
    <cellStyle name="Normal 5 9 2 2 4" xfId="16193" xr:uid="{E87F20EB-E9D5-41BE-8CDE-3EE1A50CF5C3}"/>
    <cellStyle name="Normal 5 9 2 3" xfId="20416" xr:uid="{B475F3AD-2BF2-4DE9-94A6-CF5A61B1D739}"/>
    <cellStyle name="Normal 5 9 2 4" xfId="28863" xr:uid="{ACA243CC-C22E-42C8-9099-D46096F47241}"/>
    <cellStyle name="Normal 5 9 2 5" xfId="11975" xr:uid="{1D025078-20E4-4180-85CC-E3EFF894D41B}"/>
    <cellStyle name="Normal 5 9 3" xfId="5606" xr:uid="{00000000-0005-0000-0000-0000DF1B0000}"/>
    <cellStyle name="Normal 5 9 3 2" xfId="22489" xr:uid="{A4144988-3533-4C9D-B0C3-07C09BACE09F}"/>
    <cellStyle name="Normal 5 9 3 3" xfId="30935" xr:uid="{B9C27C81-D979-4846-863E-52952BD4FA8F}"/>
    <cellStyle name="Normal 5 9 3 4" xfId="14048" xr:uid="{2B5063B0-35FD-40D2-B54D-366189D317FD}"/>
    <cellStyle name="Normal 5 9 4" xfId="18271" xr:uid="{6B794DD2-69AF-4579-A291-B914EFEA222C}"/>
    <cellStyle name="Normal 5 9 5" xfId="26716" xr:uid="{4CB38C19-AB30-4BE8-A8A6-93274E3AE87A}"/>
    <cellStyle name="Normal 5 9 6" xfId="9830" xr:uid="{CABDF3ED-C0C5-40D7-AF12-888D62D53D3C}"/>
    <cellStyle name="Normal 5_Dropdowns" xfId="34217" xr:uid="{1C10BE0E-60AB-4BF0-A4A6-957E066C0027}"/>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6 3 4" xfId="34094" xr:uid="{7340E88A-E3B6-47A3-90A4-4FA2569177FD}"/>
    <cellStyle name="Normal 6 4" xfId="34134" xr:uid="{A6D6DE5C-2561-429C-BAE9-D2945ACF6EBA}"/>
    <cellStyle name="Normal 6_Dropdowns" xfId="34103" xr:uid="{602A6B6E-5987-461D-B8F6-09977F8A8649}"/>
    <cellStyle name="Normal 7" xfId="476" xr:uid="{00000000-0005-0000-0000-0000E51B0000}"/>
    <cellStyle name="Normal 7 2" xfId="477" xr:uid="{00000000-0005-0000-0000-0000E61B0000}"/>
    <cellStyle name="Normal 7 3" xfId="34216" xr:uid="{6DC8B3B4-7BE7-4F42-8132-4DA43593D2CE}"/>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25524" xr:uid="{1E7A8774-E05B-435C-BFB8-7A6AFFD63871}"/>
    <cellStyle name="Normal 8 10 2 2 3" xfId="33970" xr:uid="{64EA13A7-AF9B-4122-B97C-5748E7512BCE}"/>
    <cellStyle name="Normal 8 10 2 2 4" xfId="17083" xr:uid="{89835610-7D1F-4002-99FF-43809E2941E9}"/>
    <cellStyle name="Normal 8 10 2 3" xfId="21306" xr:uid="{B783AB0E-E6D8-420A-ADDC-ABA687910BF6}"/>
    <cellStyle name="Normal 8 10 2 4" xfId="29753" xr:uid="{58550CDA-25B5-4014-95D2-365BFFCB405D}"/>
    <cellStyle name="Normal 8 10 2 5" xfId="12865" xr:uid="{AF8568DA-7C46-42C8-A967-0DE7DFC2A35F}"/>
    <cellStyle name="Normal 8 10 3" xfId="6496" xr:uid="{00000000-0005-0000-0000-0000EB1B0000}"/>
    <cellStyle name="Normal 8 10 3 2" xfId="23379" xr:uid="{A9C6E337-673A-49E9-B76F-48E68835A2A3}"/>
    <cellStyle name="Normal 8 10 3 3" xfId="31825" xr:uid="{DDA509DB-774C-45F5-91A1-428ACC494002}"/>
    <cellStyle name="Normal 8 10 3 4" xfId="14938" xr:uid="{0E04B22E-87B8-4670-B468-F52A15760EA2}"/>
    <cellStyle name="Normal 8 10 4" xfId="19161" xr:uid="{4A1A00F5-4A26-4619-97F6-70A6BAD05EFA}"/>
    <cellStyle name="Normal 8 10 5" xfId="27606" xr:uid="{8CDFCE03-A11E-44E3-A28E-8737DB3EE60A}"/>
    <cellStyle name="Normal 8 10 6" xfId="10720" xr:uid="{C7F256FD-C561-479E-AEB8-B29BFC355328}"/>
    <cellStyle name="Normal 8 11" xfId="2625" xr:uid="{00000000-0005-0000-0000-0000EC1B0000}"/>
    <cellStyle name="Normal 8 11 2" xfId="6909" xr:uid="{00000000-0005-0000-0000-0000ED1B0000}"/>
    <cellStyle name="Normal 8 11 2 2" xfId="23792" xr:uid="{D3A24C36-25AA-44D8-84C1-582D304BA436}"/>
    <cellStyle name="Normal 8 11 2 3" xfId="32238" xr:uid="{A8FE4A1A-0EEE-4D9B-BBBC-588DE290E701}"/>
    <cellStyle name="Normal 8 11 2 4" xfId="15351" xr:uid="{F3A1379D-4A1A-4682-936E-6ABD90A97191}"/>
    <cellStyle name="Normal 8 11 3" xfId="19574" xr:uid="{50337F13-5736-48E4-816C-178C8B94C91A}"/>
    <cellStyle name="Normal 8 11 4" xfId="28019" xr:uid="{C3DDD6D3-2DDF-451F-AB38-42394C9807D8}"/>
    <cellStyle name="Normal 8 11 5" xfId="11133" xr:uid="{56679A64-430E-4DB3-A524-B468968E909D}"/>
    <cellStyle name="Normal 8 12" xfId="4844" xr:uid="{00000000-0005-0000-0000-0000EE1B0000}"/>
    <cellStyle name="Normal 8 12 2" xfId="21727" xr:uid="{2C1A83AE-4CBC-4D62-9F27-D89E5B02A65D}"/>
    <cellStyle name="Normal 8 12 3" xfId="30173" xr:uid="{6F28DD51-0FD9-4244-BF87-0E0A2FE12356}"/>
    <cellStyle name="Normal 8 12 4" xfId="13286" xr:uid="{844B6E52-040C-4EC4-ADF2-3EEF8FABC5F6}"/>
    <cellStyle name="Normal 8 13" xfId="17509" xr:uid="{6BECB814-7653-4B5F-91A7-C2AD517A5494}"/>
    <cellStyle name="Normal 8 14" xfId="25954" xr:uid="{23AC54A5-FA8A-49D8-A619-4BEB10EB0F57}"/>
    <cellStyle name="Normal 8 15" xfId="9068" xr:uid="{9342B445-73C5-4E39-B3E1-D034C642B173}"/>
    <cellStyle name="Normal 8 2" xfId="479" xr:uid="{00000000-0005-0000-0000-0000EF1B0000}"/>
    <cellStyle name="Normal 8 2 10" xfId="2626" xr:uid="{00000000-0005-0000-0000-0000F01B0000}"/>
    <cellStyle name="Normal 8 2 10 2" xfId="6910" xr:uid="{00000000-0005-0000-0000-0000F11B0000}"/>
    <cellStyle name="Normal 8 2 10 2 2" xfId="23793" xr:uid="{56640FE4-DA9C-42BA-B81F-131F2B6F1C07}"/>
    <cellStyle name="Normal 8 2 10 2 3" xfId="32239" xr:uid="{FDED81B9-6A5F-4CD4-9A92-E89F4D5A93DA}"/>
    <cellStyle name="Normal 8 2 10 2 4" xfId="15352" xr:uid="{5CE8FCAD-655F-4E0C-BC19-89A5E3B276FC}"/>
    <cellStyle name="Normal 8 2 10 3" xfId="19575" xr:uid="{F6D00528-982B-4995-9D0D-9831B87180A3}"/>
    <cellStyle name="Normal 8 2 10 4" xfId="28020" xr:uid="{D47C6E4E-A1CE-44A4-B777-480C86806F9F}"/>
    <cellStyle name="Normal 8 2 10 5" xfId="11134" xr:uid="{96EC65B3-F247-4857-97E7-F7E30E14CBC1}"/>
    <cellStyle name="Normal 8 2 11" xfId="4845" xr:uid="{00000000-0005-0000-0000-0000F21B0000}"/>
    <cellStyle name="Normal 8 2 11 2" xfId="21728" xr:uid="{548AC411-28B2-4F32-BB26-970E9630FDC6}"/>
    <cellStyle name="Normal 8 2 11 3" xfId="30174" xr:uid="{926B2CA4-ADBA-411E-A991-739BCE9AB692}"/>
    <cellStyle name="Normal 8 2 11 4" xfId="13287" xr:uid="{1A53894C-44A2-4F74-A319-EE8E5DDD6711}"/>
    <cellStyle name="Normal 8 2 12" xfId="17510" xr:uid="{5AFDC241-FB6D-404B-AF0B-15082A0EE9A1}"/>
    <cellStyle name="Normal 8 2 13" xfId="25955" xr:uid="{2C13DAA3-6C2B-42FA-8C31-5EDC57CB233E}"/>
    <cellStyle name="Normal 8 2 14" xfId="34203" xr:uid="{4F4A4425-DE1A-4055-A379-56620CE2A877}"/>
    <cellStyle name="Normal 8 2 15" xfId="9069" xr:uid="{E461443C-6A8A-41FB-A3B5-0F04184FA572}"/>
    <cellStyle name="Normal 8 2 2" xfId="480" xr:uid="{00000000-0005-0000-0000-0000F31B0000}"/>
    <cellStyle name="Normal 8 2 2 10" xfId="4846" xr:uid="{00000000-0005-0000-0000-0000F41B0000}"/>
    <cellStyle name="Normal 8 2 2 10 2" xfId="21729" xr:uid="{FB747871-D858-4B90-BB71-00AD783FBA4C}"/>
    <cellStyle name="Normal 8 2 2 10 3" xfId="30175" xr:uid="{8B912DCB-EBBB-4EFC-9373-F135D86CDE33}"/>
    <cellStyle name="Normal 8 2 2 10 4" xfId="13288" xr:uid="{67113081-FBB4-4DF4-B7A4-7D69F07ED2BF}"/>
    <cellStyle name="Normal 8 2 2 11" xfId="17511" xr:uid="{3A13B489-4067-4A24-AF71-289746775724}"/>
    <cellStyle name="Normal 8 2 2 12" xfId="25956" xr:uid="{EB6FCDC9-B4EC-45B7-8010-8A0D5BA35516}"/>
    <cellStyle name="Normal 8 2 2 13" xfId="9070" xr:uid="{6FC7A47A-809E-4A33-B896-DEA295B0C156}"/>
    <cellStyle name="Normal 8 2 2 2" xfId="481" xr:uid="{00000000-0005-0000-0000-0000F51B0000}"/>
    <cellStyle name="Normal 8 2 2 2 10" xfId="17512" xr:uid="{CD906F4F-9E33-40A3-AA79-00246B95B509}"/>
    <cellStyle name="Normal 8 2 2 2 11" xfId="25957" xr:uid="{912ECE2B-7BBF-4B37-A20F-FFD5285435E3}"/>
    <cellStyle name="Normal 8 2 2 2 12" xfId="9071" xr:uid="{C376F7FC-E8BD-4216-8A05-73BE519C8A36}"/>
    <cellStyle name="Normal 8 2 2 2 2" xfId="482" xr:uid="{00000000-0005-0000-0000-0000F61B0000}"/>
    <cellStyle name="Normal 8 2 2 2 2 10" xfId="25958" xr:uid="{487E270C-BF93-4EB9-99C6-FAFAC1B15CE6}"/>
    <cellStyle name="Normal 8 2 2 2 2 11" xfId="9072" xr:uid="{369B91A1-4023-4D01-9367-D0C92E2D9F3A}"/>
    <cellStyle name="Normal 8 2 2 2 2 2" xfId="483" xr:uid="{00000000-0005-0000-0000-0000F71B0000}"/>
    <cellStyle name="Normal 8 2 2 2 2 2 10" xfId="9073" xr:uid="{8AB27B6A-2C2A-423B-BC89-9601D528FB23}"/>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24290" xr:uid="{C2919CCB-B4DD-4622-B19E-303262548600}"/>
    <cellStyle name="Normal 8 2 2 2 2 2 2 2 2 3" xfId="32736" xr:uid="{C89377F6-BAAA-4559-B788-1A964B3E7326}"/>
    <cellStyle name="Normal 8 2 2 2 2 2 2 2 2 4" xfId="15849" xr:uid="{D76B9F5D-4E17-4F3A-8EF2-0CD7AB09A1BF}"/>
    <cellStyle name="Normal 8 2 2 2 2 2 2 2 3" xfId="20072" xr:uid="{8F340EAC-10D1-4695-8F86-A3BFB7BC4274}"/>
    <cellStyle name="Normal 8 2 2 2 2 2 2 2 4" xfId="28519" xr:uid="{9998AFF3-DB4E-473A-975F-A87B1D737CF9}"/>
    <cellStyle name="Normal 8 2 2 2 2 2 2 2 5" xfId="11631" xr:uid="{A7DD06D6-8B92-4F8D-83CD-D3FACAF0BC8E}"/>
    <cellStyle name="Normal 8 2 2 2 2 2 2 3" xfId="5262" xr:uid="{00000000-0005-0000-0000-0000FB1B0000}"/>
    <cellStyle name="Normal 8 2 2 2 2 2 2 3 2" xfId="22145" xr:uid="{0B099571-6659-4FAF-8A3A-D7CB5E1806EC}"/>
    <cellStyle name="Normal 8 2 2 2 2 2 2 3 3" xfId="30591" xr:uid="{DAB09A06-055E-49D5-9F3A-F452C9A5B99F}"/>
    <cellStyle name="Normal 8 2 2 2 2 2 2 3 4" xfId="13704" xr:uid="{34C13861-EF78-4E98-B301-F59B4EEF1859}"/>
    <cellStyle name="Normal 8 2 2 2 2 2 2 4" xfId="17927" xr:uid="{029B684C-BA84-4AE2-8D82-15FE21BF376B}"/>
    <cellStyle name="Normal 8 2 2 2 2 2 2 5" xfId="26372" xr:uid="{D9743992-CA61-4E57-9656-4F1782DB2773}"/>
    <cellStyle name="Normal 8 2 2 2 2 2 2 6" xfId="9486" xr:uid="{59410CE4-91BA-4AEB-B3D4-3B16D9F0E124}"/>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24703" xr:uid="{72386609-08AB-452B-A889-25F872151BF6}"/>
    <cellStyle name="Normal 8 2 2 2 2 2 3 2 2 3" xfId="33149" xr:uid="{03D16BAB-8AB2-4DF3-913B-10013AFA7F97}"/>
    <cellStyle name="Normal 8 2 2 2 2 2 3 2 2 4" xfId="16262" xr:uid="{AE6670EE-4F8E-484B-BDD2-EBB018CEC9FA}"/>
    <cellStyle name="Normal 8 2 2 2 2 2 3 2 3" xfId="20485" xr:uid="{0611EF89-252F-45DA-95B9-D5AC0E81EBC8}"/>
    <cellStyle name="Normal 8 2 2 2 2 2 3 2 4" xfId="28932" xr:uid="{60511D1E-A615-40F4-A9D4-603628C38C3E}"/>
    <cellStyle name="Normal 8 2 2 2 2 2 3 2 5" xfId="12044" xr:uid="{DF1B8EF2-C1B8-439D-85BC-AC2206A289DF}"/>
    <cellStyle name="Normal 8 2 2 2 2 2 3 3" xfId="5675" xr:uid="{00000000-0005-0000-0000-0000FF1B0000}"/>
    <cellStyle name="Normal 8 2 2 2 2 2 3 3 2" xfId="22558" xr:uid="{D78B69A5-5305-4912-A496-B36A363FAF75}"/>
    <cellStyle name="Normal 8 2 2 2 2 2 3 3 3" xfId="31004" xr:uid="{9DC915C2-0A35-4F8A-9E43-C8C7A142A2BD}"/>
    <cellStyle name="Normal 8 2 2 2 2 2 3 3 4" xfId="14117" xr:uid="{1E230E66-AC75-4A24-A589-65F8EC26D217}"/>
    <cellStyle name="Normal 8 2 2 2 2 2 3 4" xfId="18340" xr:uid="{EEDDD3DF-489C-4B7E-8A35-1B7D4AA60550}"/>
    <cellStyle name="Normal 8 2 2 2 2 2 3 5" xfId="26785" xr:uid="{1F14C8F9-51BB-4D4B-8DF5-C0AC2F7BE26A}"/>
    <cellStyle name="Normal 8 2 2 2 2 2 3 6" xfId="9899" xr:uid="{326F5B43-893C-4A36-84F9-9CA163DAB585}"/>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25116" xr:uid="{605F01B6-40A6-4AD9-B18B-FCD8FB1F40D5}"/>
    <cellStyle name="Normal 8 2 2 2 2 2 4 2 2 3" xfId="33562" xr:uid="{9DD1810E-B6C7-41D2-96C6-C8083CA69A19}"/>
    <cellStyle name="Normal 8 2 2 2 2 2 4 2 2 4" xfId="16675" xr:uid="{8CCDA209-9700-4AC7-95BF-3C7A26D05B72}"/>
    <cellStyle name="Normal 8 2 2 2 2 2 4 2 3" xfId="20898" xr:uid="{4B9FCB00-DD25-4CB6-8EFE-D0C11AE1B3E1}"/>
    <cellStyle name="Normal 8 2 2 2 2 2 4 2 4" xfId="29345" xr:uid="{342C907B-5606-42DA-BF8B-72F97136854C}"/>
    <cellStyle name="Normal 8 2 2 2 2 2 4 2 5" xfId="12457" xr:uid="{32F162F9-3401-41BB-8385-6866D4CD5CAA}"/>
    <cellStyle name="Normal 8 2 2 2 2 2 4 3" xfId="6088" xr:uid="{00000000-0005-0000-0000-0000031C0000}"/>
    <cellStyle name="Normal 8 2 2 2 2 2 4 3 2" xfId="22971" xr:uid="{558E1B87-C948-446C-BB9D-84C56BEC2A30}"/>
    <cellStyle name="Normal 8 2 2 2 2 2 4 3 3" xfId="31417" xr:uid="{0F47EF11-768A-4195-93C0-8B6C14A3ADF0}"/>
    <cellStyle name="Normal 8 2 2 2 2 2 4 3 4" xfId="14530" xr:uid="{35B76279-1AB6-45A1-B0B5-7E514FB7CFF4}"/>
    <cellStyle name="Normal 8 2 2 2 2 2 4 4" xfId="18753" xr:uid="{20E66ADC-9C38-49D4-BDF2-93403C658C99}"/>
    <cellStyle name="Normal 8 2 2 2 2 2 4 5" xfId="27198" xr:uid="{1411DD37-0F82-4C1C-B729-96E613FE14DD}"/>
    <cellStyle name="Normal 8 2 2 2 2 2 4 6" xfId="10312" xr:uid="{E79548BB-60F9-4945-8693-F278CBE23337}"/>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25529" xr:uid="{3E473025-E1E1-49F8-B10B-398289885D45}"/>
    <cellStyle name="Normal 8 2 2 2 2 2 5 2 2 3" xfId="33975" xr:uid="{CBEA2D1E-AD96-4AD5-A400-3C7533ACEDA5}"/>
    <cellStyle name="Normal 8 2 2 2 2 2 5 2 2 4" xfId="17088" xr:uid="{0901D25C-3E0C-48A4-B3F9-7917B1600CC7}"/>
    <cellStyle name="Normal 8 2 2 2 2 2 5 2 3" xfId="21311" xr:uid="{9120D87A-DC4E-40A5-9C71-794E4DC424D3}"/>
    <cellStyle name="Normal 8 2 2 2 2 2 5 2 4" xfId="29758" xr:uid="{9FC91BE7-569F-4F6A-9264-8965188D8B9D}"/>
    <cellStyle name="Normal 8 2 2 2 2 2 5 2 5" xfId="12870" xr:uid="{8495A387-178C-4A6E-A6FA-CB934D7A4B00}"/>
    <cellStyle name="Normal 8 2 2 2 2 2 5 3" xfId="6501" xr:uid="{00000000-0005-0000-0000-0000071C0000}"/>
    <cellStyle name="Normal 8 2 2 2 2 2 5 3 2" xfId="23384" xr:uid="{66615A35-F8EB-4861-8645-92561222DECD}"/>
    <cellStyle name="Normal 8 2 2 2 2 2 5 3 3" xfId="31830" xr:uid="{DC57FCB9-9FC8-4AC6-A526-0CE8207A187D}"/>
    <cellStyle name="Normal 8 2 2 2 2 2 5 3 4" xfId="14943" xr:uid="{651EA497-F257-4564-8768-42C2C6F6EB7E}"/>
    <cellStyle name="Normal 8 2 2 2 2 2 5 4" xfId="19166" xr:uid="{C0D42916-651E-4566-810C-58F0CB72DB3D}"/>
    <cellStyle name="Normal 8 2 2 2 2 2 5 5" xfId="27611" xr:uid="{A347C928-1DFF-4672-BA02-EFC3C5078CCA}"/>
    <cellStyle name="Normal 8 2 2 2 2 2 5 6" xfId="10725" xr:uid="{B1BE8369-7857-4E48-80DF-9F0AFE4BB328}"/>
    <cellStyle name="Normal 8 2 2 2 2 2 6" xfId="2630" xr:uid="{00000000-0005-0000-0000-0000081C0000}"/>
    <cellStyle name="Normal 8 2 2 2 2 2 6 2" xfId="6914" xr:uid="{00000000-0005-0000-0000-0000091C0000}"/>
    <cellStyle name="Normal 8 2 2 2 2 2 6 2 2" xfId="23797" xr:uid="{86DC7E83-B063-4497-9ACF-05E2D01F466D}"/>
    <cellStyle name="Normal 8 2 2 2 2 2 6 2 3" xfId="32243" xr:uid="{42C5074E-FE51-43EF-8463-167394EFC73E}"/>
    <cellStyle name="Normal 8 2 2 2 2 2 6 2 4" xfId="15356" xr:uid="{160CCA8E-1094-4999-8798-2D2FA257C519}"/>
    <cellStyle name="Normal 8 2 2 2 2 2 6 3" xfId="19579" xr:uid="{48EDCEA4-6250-46A7-8A73-116B3AEF35D4}"/>
    <cellStyle name="Normal 8 2 2 2 2 2 6 4" xfId="28024" xr:uid="{1237E4E8-4FCA-4CC1-A7FB-E69FEC708EDB}"/>
    <cellStyle name="Normal 8 2 2 2 2 2 6 5" xfId="11138" xr:uid="{7AC31990-8CB5-4C25-88DB-12EAE3CF53A2}"/>
    <cellStyle name="Normal 8 2 2 2 2 2 7" xfId="4849" xr:uid="{00000000-0005-0000-0000-00000A1C0000}"/>
    <cellStyle name="Normal 8 2 2 2 2 2 7 2" xfId="21732" xr:uid="{25BC9003-9377-4424-9667-7BD7EA69CD35}"/>
    <cellStyle name="Normal 8 2 2 2 2 2 7 3" xfId="30178" xr:uid="{F125DA44-20FF-42CA-9DDA-212B0611D67B}"/>
    <cellStyle name="Normal 8 2 2 2 2 2 7 4" xfId="13291" xr:uid="{9F1278CA-CC68-453F-9E47-1EC24CCEBD01}"/>
    <cellStyle name="Normal 8 2 2 2 2 2 8" xfId="17514" xr:uid="{6E03D435-05A9-46C0-B07A-2C4699E0CBEE}"/>
    <cellStyle name="Normal 8 2 2 2 2 2 9" xfId="25959" xr:uid="{12331667-9E8C-429B-9678-2FE20BE38D82}"/>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24289" xr:uid="{1A8D181F-ABA0-4C73-A799-AA691979728C}"/>
    <cellStyle name="Normal 8 2 2 2 2 3 2 2 3" xfId="32735" xr:uid="{5D9A9B25-E231-4D86-908B-71AC197C45C4}"/>
    <cellStyle name="Normal 8 2 2 2 2 3 2 2 4" xfId="15848" xr:uid="{DE34611B-B635-4011-8270-E6D95F15FA13}"/>
    <cellStyle name="Normal 8 2 2 2 2 3 2 3" xfId="20071" xr:uid="{0BD83990-10E5-4570-A51F-38654D45F476}"/>
    <cellStyle name="Normal 8 2 2 2 2 3 2 4" xfId="28518" xr:uid="{6B54ADD4-BB99-4A62-BD47-2C790CBF8B6E}"/>
    <cellStyle name="Normal 8 2 2 2 2 3 2 5" xfId="11630" xr:uid="{90DD5917-3E50-4EC1-9574-8FC72474CB97}"/>
    <cellStyle name="Normal 8 2 2 2 2 3 3" xfId="5261" xr:uid="{00000000-0005-0000-0000-00000E1C0000}"/>
    <cellStyle name="Normal 8 2 2 2 2 3 3 2" xfId="22144" xr:uid="{D4B5BB35-816B-46FC-8766-D0BD5852A6C0}"/>
    <cellStyle name="Normal 8 2 2 2 2 3 3 3" xfId="30590" xr:uid="{46B79C32-FA47-4E97-89CC-B89261218C37}"/>
    <cellStyle name="Normal 8 2 2 2 2 3 3 4" xfId="13703" xr:uid="{24609BFE-B739-4C68-8F21-43D0FB7FCC6A}"/>
    <cellStyle name="Normal 8 2 2 2 2 3 4" xfId="17926" xr:uid="{A61721BC-82CD-4C0C-A7D3-826975B54DD7}"/>
    <cellStyle name="Normal 8 2 2 2 2 3 5" xfId="26371" xr:uid="{7BA907D0-0506-42D4-98A9-5F2A6BF632FC}"/>
    <cellStyle name="Normal 8 2 2 2 2 3 6" xfId="9485" xr:uid="{F3187F9D-4A7C-453B-8719-0E34294E6254}"/>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24702" xr:uid="{532F2D46-E683-4F8B-B26D-B736B22EDCA6}"/>
    <cellStyle name="Normal 8 2 2 2 2 4 2 2 3" xfId="33148" xr:uid="{7EF6CA60-3EB1-4092-876E-193DDA0718A0}"/>
    <cellStyle name="Normal 8 2 2 2 2 4 2 2 4" xfId="16261" xr:uid="{989DBFD1-94FB-4574-B261-D723BCD2E221}"/>
    <cellStyle name="Normal 8 2 2 2 2 4 2 3" xfId="20484" xr:uid="{28ED7034-F9C4-438C-82A5-A99AF068623D}"/>
    <cellStyle name="Normal 8 2 2 2 2 4 2 4" xfId="28931" xr:uid="{7D321B46-52CA-4DAB-8DCF-E96FE8D56920}"/>
    <cellStyle name="Normal 8 2 2 2 2 4 2 5" xfId="12043" xr:uid="{99CC23CA-5C35-4DFD-8CDE-4065C2F8A718}"/>
    <cellStyle name="Normal 8 2 2 2 2 4 3" xfId="5674" xr:uid="{00000000-0005-0000-0000-0000121C0000}"/>
    <cellStyle name="Normal 8 2 2 2 2 4 3 2" xfId="22557" xr:uid="{16DD3DE6-556C-44EF-A68D-F40A974A08FB}"/>
    <cellStyle name="Normal 8 2 2 2 2 4 3 3" xfId="31003" xr:uid="{330FD549-8445-4458-93E3-63F20796BD69}"/>
    <cellStyle name="Normal 8 2 2 2 2 4 3 4" xfId="14116" xr:uid="{51906F4A-3179-421D-AF29-670B7502946F}"/>
    <cellStyle name="Normal 8 2 2 2 2 4 4" xfId="18339" xr:uid="{00CB8A40-D7AF-4771-B4EF-6E1DE75F1FEF}"/>
    <cellStyle name="Normal 8 2 2 2 2 4 5" xfId="26784" xr:uid="{68563031-A5D5-4143-A10A-A52AAC0F31E6}"/>
    <cellStyle name="Normal 8 2 2 2 2 4 6" xfId="9898" xr:uid="{10B690D1-329F-4707-B9E3-6FEBC99E3B29}"/>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25115" xr:uid="{408C0821-8375-48F6-B558-D486BAE7F868}"/>
    <cellStyle name="Normal 8 2 2 2 2 5 2 2 3" xfId="33561" xr:uid="{225DEBA3-ABCB-4AF0-BF45-41F643AF2431}"/>
    <cellStyle name="Normal 8 2 2 2 2 5 2 2 4" xfId="16674" xr:uid="{05D409EC-FCEB-48F8-A8ED-7FC55428127D}"/>
    <cellStyle name="Normal 8 2 2 2 2 5 2 3" xfId="20897" xr:uid="{9413C9ED-493F-4D8D-9A7C-2D130B6C5175}"/>
    <cellStyle name="Normal 8 2 2 2 2 5 2 4" xfId="29344" xr:uid="{90AF32E1-B86E-4055-B52B-94F557A4848A}"/>
    <cellStyle name="Normal 8 2 2 2 2 5 2 5" xfId="12456" xr:uid="{265602BF-986C-446A-8923-A40EC8FCD7DA}"/>
    <cellStyle name="Normal 8 2 2 2 2 5 3" xfId="6087" xr:uid="{00000000-0005-0000-0000-0000161C0000}"/>
    <cellStyle name="Normal 8 2 2 2 2 5 3 2" xfId="22970" xr:uid="{880391A1-EFE5-477D-B8A9-6D6170947767}"/>
    <cellStyle name="Normal 8 2 2 2 2 5 3 3" xfId="31416" xr:uid="{9288F387-602F-41F2-B8E4-E73D49B4BF5D}"/>
    <cellStyle name="Normal 8 2 2 2 2 5 3 4" xfId="14529" xr:uid="{20EC98FC-DF10-4077-B25F-9E410F6B424F}"/>
    <cellStyle name="Normal 8 2 2 2 2 5 4" xfId="18752" xr:uid="{3A70F944-AAD8-46FA-858F-B16E4CDB8424}"/>
    <cellStyle name="Normal 8 2 2 2 2 5 5" xfId="27197" xr:uid="{7A73C74A-FFCB-4807-A857-D38B17C7EB06}"/>
    <cellStyle name="Normal 8 2 2 2 2 5 6" xfId="10311" xr:uid="{1EDA59D7-167E-482B-9279-819DDF91A7F3}"/>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25528" xr:uid="{13869BC5-0B63-42AC-9C51-5CCE55B18FF0}"/>
    <cellStyle name="Normal 8 2 2 2 2 6 2 2 3" xfId="33974" xr:uid="{298D3EF8-5DAE-4AF0-822F-5AE7DC606BC2}"/>
    <cellStyle name="Normal 8 2 2 2 2 6 2 2 4" xfId="17087" xr:uid="{7FE05706-C7BA-46B6-AC65-97E7A01CD489}"/>
    <cellStyle name="Normal 8 2 2 2 2 6 2 3" xfId="21310" xr:uid="{649F040B-54A7-4C57-AB8C-8A7951E1621A}"/>
    <cellStyle name="Normal 8 2 2 2 2 6 2 4" xfId="29757" xr:uid="{F4EA5EA6-7817-4B82-B9F5-6238E0ED15A2}"/>
    <cellStyle name="Normal 8 2 2 2 2 6 2 5" xfId="12869" xr:uid="{836FE633-8BED-456A-B1AE-CF856810B0B9}"/>
    <cellStyle name="Normal 8 2 2 2 2 6 3" xfId="6500" xr:uid="{00000000-0005-0000-0000-00001A1C0000}"/>
    <cellStyle name="Normal 8 2 2 2 2 6 3 2" xfId="23383" xr:uid="{5F528305-C128-4BED-8ADD-47D78282FB58}"/>
    <cellStyle name="Normal 8 2 2 2 2 6 3 3" xfId="31829" xr:uid="{CB0C74AC-ED95-4E77-ACA9-93C0C1DC04AF}"/>
    <cellStyle name="Normal 8 2 2 2 2 6 3 4" xfId="14942" xr:uid="{92A5C780-16B7-41E5-BC71-57ABB3717F62}"/>
    <cellStyle name="Normal 8 2 2 2 2 6 4" xfId="19165" xr:uid="{0CA69CB5-E61D-432C-BD32-736BA9B3AEF0}"/>
    <cellStyle name="Normal 8 2 2 2 2 6 5" xfId="27610" xr:uid="{DEDD2E41-910E-4118-899B-99B0276DF5D7}"/>
    <cellStyle name="Normal 8 2 2 2 2 6 6" xfId="10724" xr:uid="{C4382096-9667-413E-9063-16AB295BA613}"/>
    <cellStyle name="Normal 8 2 2 2 2 7" xfId="2629" xr:uid="{00000000-0005-0000-0000-00001B1C0000}"/>
    <cellStyle name="Normal 8 2 2 2 2 7 2" xfId="6913" xr:uid="{00000000-0005-0000-0000-00001C1C0000}"/>
    <cellStyle name="Normal 8 2 2 2 2 7 2 2" xfId="23796" xr:uid="{FB132971-7BB0-4BAE-8EEB-6B7F501B3047}"/>
    <cellStyle name="Normal 8 2 2 2 2 7 2 3" xfId="32242" xr:uid="{8AC0C2C6-0064-43D6-8BFD-48CA0513B834}"/>
    <cellStyle name="Normal 8 2 2 2 2 7 2 4" xfId="15355" xr:uid="{EF83D7EF-7E66-48B4-93B2-DFE86D739F76}"/>
    <cellStyle name="Normal 8 2 2 2 2 7 3" xfId="19578" xr:uid="{6377241F-6B3B-47D6-BF67-ACF6925848D3}"/>
    <cellStyle name="Normal 8 2 2 2 2 7 4" xfId="28023" xr:uid="{2257738A-FA2D-41C5-964B-6817DA0C53D3}"/>
    <cellStyle name="Normal 8 2 2 2 2 7 5" xfId="11137" xr:uid="{4B6EB1CF-FFE3-4D50-AFD4-44341EFC18CE}"/>
    <cellStyle name="Normal 8 2 2 2 2 8" xfId="4848" xr:uid="{00000000-0005-0000-0000-00001D1C0000}"/>
    <cellStyle name="Normal 8 2 2 2 2 8 2" xfId="21731" xr:uid="{8B2E5D5F-95AA-40EB-A335-9B2C0D698525}"/>
    <cellStyle name="Normal 8 2 2 2 2 8 3" xfId="30177" xr:uid="{07FEBB85-47C3-4928-97EE-23459FD35257}"/>
    <cellStyle name="Normal 8 2 2 2 2 8 4" xfId="13290" xr:uid="{FFC4017A-568A-4D9B-9935-7D3D0FDD49A0}"/>
    <cellStyle name="Normal 8 2 2 2 2 9" xfId="17513" xr:uid="{E07F80E1-C145-471A-A8BA-3FCE84FB6BB2}"/>
    <cellStyle name="Normal 8 2 2 2 3" xfId="484" xr:uid="{00000000-0005-0000-0000-00001E1C0000}"/>
    <cellStyle name="Normal 8 2 2 2 3 10" xfId="9074" xr:uid="{BDFAF972-D134-4EE9-9E25-5160B6F5A568}"/>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24291" xr:uid="{A2811202-B2A3-4AAE-A2C5-3D0E2042252B}"/>
    <cellStyle name="Normal 8 2 2 2 3 2 2 2 3" xfId="32737" xr:uid="{5455E725-4A72-471F-A22E-FA993C780156}"/>
    <cellStyle name="Normal 8 2 2 2 3 2 2 2 4" xfId="15850" xr:uid="{ED980D20-C6BF-43BC-A901-DDE70D7CDE97}"/>
    <cellStyle name="Normal 8 2 2 2 3 2 2 3" xfId="20073" xr:uid="{7E3F5627-F81D-456B-94D3-4C1384AB24BB}"/>
    <cellStyle name="Normal 8 2 2 2 3 2 2 4" xfId="28520" xr:uid="{FEDF2E2C-34CE-44EB-9B86-5A8FA5A90B42}"/>
    <cellStyle name="Normal 8 2 2 2 3 2 2 5" xfId="11632" xr:uid="{13840C5F-84C5-4579-B39F-DF5B5D682D80}"/>
    <cellStyle name="Normal 8 2 2 2 3 2 3" xfId="5263" xr:uid="{00000000-0005-0000-0000-0000221C0000}"/>
    <cellStyle name="Normal 8 2 2 2 3 2 3 2" xfId="22146" xr:uid="{729F5860-A550-41A3-BFA7-215E3FB4EC0C}"/>
    <cellStyle name="Normal 8 2 2 2 3 2 3 3" xfId="30592" xr:uid="{968EF840-59F0-4AD2-A34F-92B65FF583A9}"/>
    <cellStyle name="Normal 8 2 2 2 3 2 3 4" xfId="13705" xr:uid="{967D7E3E-D235-41C3-A836-FE9D0B1C2F7B}"/>
    <cellStyle name="Normal 8 2 2 2 3 2 4" xfId="17928" xr:uid="{5FBBDEBA-2246-401C-B81E-949862B958D8}"/>
    <cellStyle name="Normal 8 2 2 2 3 2 5" xfId="26373" xr:uid="{85B05858-F8D0-45CB-B0D0-6E8B21E14772}"/>
    <cellStyle name="Normal 8 2 2 2 3 2 6" xfId="9487" xr:uid="{ABF4E029-DC8D-44B6-9D13-822AA86BDE91}"/>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24704" xr:uid="{FDAD0A27-EDCD-46ED-86E3-319FF1FC3A98}"/>
    <cellStyle name="Normal 8 2 2 2 3 3 2 2 3" xfId="33150" xr:uid="{ADBBE65D-28A0-4250-85FD-67F46BB341D9}"/>
    <cellStyle name="Normal 8 2 2 2 3 3 2 2 4" xfId="16263" xr:uid="{E8A90B1F-EC72-43D4-A9C8-B32E4D823206}"/>
    <cellStyle name="Normal 8 2 2 2 3 3 2 3" xfId="20486" xr:uid="{6E13486B-A919-457F-8DB0-D1630CCC80C1}"/>
    <cellStyle name="Normal 8 2 2 2 3 3 2 4" xfId="28933" xr:uid="{FB7CBDBC-A58E-42C9-B2E2-A9851D9DFF56}"/>
    <cellStyle name="Normal 8 2 2 2 3 3 2 5" xfId="12045" xr:uid="{CAEB5287-8861-4352-99CF-A74CF3FD56DC}"/>
    <cellStyle name="Normal 8 2 2 2 3 3 3" xfId="5676" xr:uid="{00000000-0005-0000-0000-0000261C0000}"/>
    <cellStyle name="Normal 8 2 2 2 3 3 3 2" xfId="22559" xr:uid="{3226A315-F9FA-4BDB-984B-E273F74FE2A7}"/>
    <cellStyle name="Normal 8 2 2 2 3 3 3 3" xfId="31005" xr:uid="{39BBF812-A424-4E33-B24A-2E7710EA4DF1}"/>
    <cellStyle name="Normal 8 2 2 2 3 3 3 4" xfId="14118" xr:uid="{C64D9318-156C-4FD6-8949-7ADC2FCB1C3E}"/>
    <cellStyle name="Normal 8 2 2 2 3 3 4" xfId="18341" xr:uid="{A32DFE2D-3EF6-485F-8031-E5389AAE48C2}"/>
    <cellStyle name="Normal 8 2 2 2 3 3 5" xfId="26786" xr:uid="{536DB6B0-3670-4C90-B611-22FEE58612A2}"/>
    <cellStyle name="Normal 8 2 2 2 3 3 6" xfId="9900" xr:uid="{5DC33DF0-9A78-4C0B-989A-EFD792E07171}"/>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25117" xr:uid="{EF447CA7-6CAA-41D1-98DE-707BD7259494}"/>
    <cellStyle name="Normal 8 2 2 2 3 4 2 2 3" xfId="33563" xr:uid="{1BB17BDF-145A-48A3-A483-ADA649F1FFE9}"/>
    <cellStyle name="Normal 8 2 2 2 3 4 2 2 4" xfId="16676" xr:uid="{912EA401-90B5-4B04-9BB0-0122D7DFDCD1}"/>
    <cellStyle name="Normal 8 2 2 2 3 4 2 3" xfId="20899" xr:uid="{571F9EE5-74A2-4263-9488-FC8DB3B965ED}"/>
    <cellStyle name="Normal 8 2 2 2 3 4 2 4" xfId="29346" xr:uid="{779D9DA9-49C8-425C-9D1F-CBDA60ACC5C5}"/>
    <cellStyle name="Normal 8 2 2 2 3 4 2 5" xfId="12458" xr:uid="{DE2608C3-ADC9-454D-AF2E-687102C235E5}"/>
    <cellStyle name="Normal 8 2 2 2 3 4 3" xfId="6089" xr:uid="{00000000-0005-0000-0000-00002A1C0000}"/>
    <cellStyle name="Normal 8 2 2 2 3 4 3 2" xfId="22972" xr:uid="{3F2EB131-F8FF-4DD6-AF5A-891FE797CD1A}"/>
    <cellStyle name="Normal 8 2 2 2 3 4 3 3" xfId="31418" xr:uid="{578E8B7A-D364-400C-8325-1E386972A7BF}"/>
    <cellStyle name="Normal 8 2 2 2 3 4 3 4" xfId="14531" xr:uid="{14E52B1F-134A-45F2-AB24-236B00E6A902}"/>
    <cellStyle name="Normal 8 2 2 2 3 4 4" xfId="18754" xr:uid="{7608634C-7E04-4424-9347-9E2ADAFD8AF4}"/>
    <cellStyle name="Normal 8 2 2 2 3 4 5" xfId="27199" xr:uid="{DBD9B3E0-2D53-48AF-8187-9FAA436D5E20}"/>
    <cellStyle name="Normal 8 2 2 2 3 4 6" xfId="10313" xr:uid="{862F70E0-8DF2-44CE-8078-5F7F345B5F3D}"/>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25530" xr:uid="{A6A0709D-DD93-41FD-916F-D132B358407D}"/>
    <cellStyle name="Normal 8 2 2 2 3 5 2 2 3" xfId="33976" xr:uid="{BF07330A-A952-4B0F-A172-103A9922CEE2}"/>
    <cellStyle name="Normal 8 2 2 2 3 5 2 2 4" xfId="17089" xr:uid="{83AFF964-F90B-430A-B2C0-9762EB07EB60}"/>
    <cellStyle name="Normal 8 2 2 2 3 5 2 3" xfId="21312" xr:uid="{1D57256F-FE90-4D3E-9AEC-AF3973923DBC}"/>
    <cellStyle name="Normal 8 2 2 2 3 5 2 4" xfId="29759" xr:uid="{282771BA-3882-459C-9692-F8432EDAE544}"/>
    <cellStyle name="Normal 8 2 2 2 3 5 2 5" xfId="12871" xr:uid="{1E808059-8BCA-4B10-B9B6-1D40B045D672}"/>
    <cellStyle name="Normal 8 2 2 2 3 5 3" xfId="6502" xr:uid="{00000000-0005-0000-0000-00002E1C0000}"/>
    <cellStyle name="Normal 8 2 2 2 3 5 3 2" xfId="23385" xr:uid="{F984E7EE-541D-4DFE-A886-2804FBEA4591}"/>
    <cellStyle name="Normal 8 2 2 2 3 5 3 3" xfId="31831" xr:uid="{59B6B577-A128-4C73-BEFD-6D9AE4C790E4}"/>
    <cellStyle name="Normal 8 2 2 2 3 5 3 4" xfId="14944" xr:uid="{A1C005C6-780B-456E-B67F-A3075926A135}"/>
    <cellStyle name="Normal 8 2 2 2 3 5 4" xfId="19167" xr:uid="{3C24342A-8192-4246-AC83-08757ADEAC2C}"/>
    <cellStyle name="Normal 8 2 2 2 3 5 5" xfId="27612" xr:uid="{604DFD8B-946A-47E7-97AF-E2676E908EDE}"/>
    <cellStyle name="Normal 8 2 2 2 3 5 6" xfId="10726" xr:uid="{0F345F37-C8E3-4C88-9400-1BE172821C05}"/>
    <cellStyle name="Normal 8 2 2 2 3 6" xfId="2631" xr:uid="{00000000-0005-0000-0000-00002F1C0000}"/>
    <cellStyle name="Normal 8 2 2 2 3 6 2" xfId="6915" xr:uid="{00000000-0005-0000-0000-0000301C0000}"/>
    <cellStyle name="Normal 8 2 2 2 3 6 2 2" xfId="23798" xr:uid="{71CC9E15-42C3-42CF-B1B6-4A560172CDDF}"/>
    <cellStyle name="Normal 8 2 2 2 3 6 2 3" xfId="32244" xr:uid="{B014FE63-1E62-48EC-A8D8-C5751E743F44}"/>
    <cellStyle name="Normal 8 2 2 2 3 6 2 4" xfId="15357" xr:uid="{1E1CDF24-0A27-4286-8B74-ABC9A6ACAEFB}"/>
    <cellStyle name="Normal 8 2 2 2 3 6 3" xfId="19580" xr:uid="{B2766521-D14B-4AEC-AB76-F7D7FB53794A}"/>
    <cellStyle name="Normal 8 2 2 2 3 6 4" xfId="28025" xr:uid="{5065ED05-5F79-44FB-B30D-0F59985098B1}"/>
    <cellStyle name="Normal 8 2 2 2 3 6 5" xfId="11139" xr:uid="{9BFAD4AF-D96B-4D22-95AE-435DDE911DE1}"/>
    <cellStyle name="Normal 8 2 2 2 3 7" xfId="4850" xr:uid="{00000000-0005-0000-0000-0000311C0000}"/>
    <cellStyle name="Normal 8 2 2 2 3 7 2" xfId="21733" xr:uid="{B6C60561-52CB-4D73-B357-5B1E607DB9A2}"/>
    <cellStyle name="Normal 8 2 2 2 3 7 3" xfId="30179" xr:uid="{BF62F6A8-B223-47A4-B1E7-64F0ABC13040}"/>
    <cellStyle name="Normal 8 2 2 2 3 7 4" xfId="13292" xr:uid="{920EA03C-6580-4A77-A29F-D254324F5774}"/>
    <cellStyle name="Normal 8 2 2 2 3 8" xfId="17515" xr:uid="{EB97C82D-C97C-45F2-83E2-BF8777FFCDB9}"/>
    <cellStyle name="Normal 8 2 2 2 3 9" xfId="25960" xr:uid="{BA0954D6-AEA9-4262-8CF1-AA90E65EA834}"/>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24288" xr:uid="{4C4CE06A-C64A-49A2-BE05-28331D202E18}"/>
    <cellStyle name="Normal 8 2 2 2 4 2 2 3" xfId="32734" xr:uid="{7E15515D-C23A-4772-B875-C194DE701F35}"/>
    <cellStyle name="Normal 8 2 2 2 4 2 2 4" xfId="15847" xr:uid="{546326E7-8AF9-4198-BD98-3B0C62FA5588}"/>
    <cellStyle name="Normal 8 2 2 2 4 2 3" xfId="20070" xr:uid="{BA4EC092-F836-41C3-AAC4-9ADC9086265A}"/>
    <cellStyle name="Normal 8 2 2 2 4 2 4" xfId="28517" xr:uid="{AF878B20-DAD6-49FE-849B-3DAAF8161A20}"/>
    <cellStyle name="Normal 8 2 2 2 4 2 5" xfId="11629" xr:uid="{1106D8B6-716C-41E9-9EA2-CB5B26BF4E9D}"/>
    <cellStyle name="Normal 8 2 2 2 4 3" xfId="5260" xr:uid="{00000000-0005-0000-0000-0000351C0000}"/>
    <cellStyle name="Normal 8 2 2 2 4 3 2" xfId="22143" xr:uid="{577341D4-5EB0-4ED8-87F1-BAD7E777FAC5}"/>
    <cellStyle name="Normal 8 2 2 2 4 3 3" xfId="30589" xr:uid="{1ADCC114-C17D-42D4-BD8B-3E63643D518B}"/>
    <cellStyle name="Normal 8 2 2 2 4 3 4" xfId="13702" xr:uid="{613CA719-A0B1-4B25-878B-665EAE7F94E5}"/>
    <cellStyle name="Normal 8 2 2 2 4 4" xfId="17925" xr:uid="{1E91725C-DEA7-42E3-8479-57154B250816}"/>
    <cellStyle name="Normal 8 2 2 2 4 5" xfId="26370" xr:uid="{F94FC960-39AC-4371-814E-3DAFB5F7A21A}"/>
    <cellStyle name="Normal 8 2 2 2 4 6" xfId="9484" xr:uid="{FE0E07D4-99E4-4BEB-A67F-4A6C5C0F164D}"/>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24701" xr:uid="{7D40DBDD-FB3A-4612-B4BC-F0C8DB982AC0}"/>
    <cellStyle name="Normal 8 2 2 2 5 2 2 3" xfId="33147" xr:uid="{F8309617-C118-4F19-BCC1-A899D9057E0F}"/>
    <cellStyle name="Normal 8 2 2 2 5 2 2 4" xfId="16260" xr:uid="{587EC1F2-32C6-46CB-B1A9-F401641C3E00}"/>
    <cellStyle name="Normal 8 2 2 2 5 2 3" xfId="20483" xr:uid="{6443710F-62B4-44FF-8E56-ED7B5D1A9D7E}"/>
    <cellStyle name="Normal 8 2 2 2 5 2 4" xfId="28930" xr:uid="{8A663210-1F53-417E-A7F5-BBAB7B6E94B3}"/>
    <cellStyle name="Normal 8 2 2 2 5 2 5" xfId="12042" xr:uid="{BDE80914-4EFC-47E4-8CD7-A32DE96A6253}"/>
    <cellStyle name="Normal 8 2 2 2 5 3" xfId="5673" xr:uid="{00000000-0005-0000-0000-0000391C0000}"/>
    <cellStyle name="Normal 8 2 2 2 5 3 2" xfId="22556" xr:uid="{62B3B39F-C74F-4AEF-9ADA-A48CECA7349D}"/>
    <cellStyle name="Normal 8 2 2 2 5 3 3" xfId="31002" xr:uid="{1EBFB9FE-AF99-401A-9E98-14775B4012EB}"/>
    <cellStyle name="Normal 8 2 2 2 5 3 4" xfId="14115" xr:uid="{9717CE83-084F-4CCF-95EA-47C8D44E2C64}"/>
    <cellStyle name="Normal 8 2 2 2 5 4" xfId="18338" xr:uid="{48073594-AEE4-4E16-BD1D-A98C0AA72A1E}"/>
    <cellStyle name="Normal 8 2 2 2 5 5" xfId="26783" xr:uid="{7392F5FD-0807-44FB-83C2-15AEF209806D}"/>
    <cellStyle name="Normal 8 2 2 2 5 6" xfId="9897" xr:uid="{29965C03-A69C-4F23-99DC-AFD80B050CE5}"/>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25114" xr:uid="{4971D44B-7828-4B56-B16F-C4E28BB3E031}"/>
    <cellStyle name="Normal 8 2 2 2 6 2 2 3" xfId="33560" xr:uid="{B52C6EA4-1C3D-420F-B0AB-027FDD15A25D}"/>
    <cellStyle name="Normal 8 2 2 2 6 2 2 4" xfId="16673" xr:uid="{6B1C77F1-E2C0-45B4-AFD4-B4420DD0EDC4}"/>
    <cellStyle name="Normal 8 2 2 2 6 2 3" xfId="20896" xr:uid="{8AD552F7-D007-4DB6-97D8-4833561D4593}"/>
    <cellStyle name="Normal 8 2 2 2 6 2 4" xfId="29343" xr:uid="{13576C62-C29A-413E-83CE-981AC07DD23D}"/>
    <cellStyle name="Normal 8 2 2 2 6 2 5" xfId="12455" xr:uid="{ECA1E6B7-009C-4DC1-B561-0256FA131883}"/>
    <cellStyle name="Normal 8 2 2 2 6 3" xfId="6086" xr:uid="{00000000-0005-0000-0000-00003D1C0000}"/>
    <cellStyle name="Normal 8 2 2 2 6 3 2" xfId="22969" xr:uid="{8CDC7EE1-C480-4470-993F-E48FFDBF8FEC}"/>
    <cellStyle name="Normal 8 2 2 2 6 3 3" xfId="31415" xr:uid="{167D5734-BACE-4493-B731-FDDCA47173BA}"/>
    <cellStyle name="Normal 8 2 2 2 6 3 4" xfId="14528" xr:uid="{A2DD861E-4A36-4AB2-81C0-F47905F64D40}"/>
    <cellStyle name="Normal 8 2 2 2 6 4" xfId="18751" xr:uid="{48D16D76-4845-4867-8C1B-9927335FCBAD}"/>
    <cellStyle name="Normal 8 2 2 2 6 5" xfId="27196" xr:uid="{4FB2D3A5-DA72-4259-B342-12E6CA17EB47}"/>
    <cellStyle name="Normal 8 2 2 2 6 6" xfId="10310" xr:uid="{BEE43317-486D-4D86-AE1B-8951F125509F}"/>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25527" xr:uid="{A406D20F-3D38-4AAF-9FF8-326B82AD028E}"/>
    <cellStyle name="Normal 8 2 2 2 7 2 2 3" xfId="33973" xr:uid="{78EAB01E-88AC-497B-AC05-542518DA081B}"/>
    <cellStyle name="Normal 8 2 2 2 7 2 2 4" xfId="17086" xr:uid="{7E854656-C831-4B39-8C0E-DCA0A09CEDDB}"/>
    <cellStyle name="Normal 8 2 2 2 7 2 3" xfId="21309" xr:uid="{CA253EDA-8ADF-4C63-AC08-60F749C047B6}"/>
    <cellStyle name="Normal 8 2 2 2 7 2 4" xfId="29756" xr:uid="{E29DFF11-62AB-44CB-8824-10FCD0DDAE54}"/>
    <cellStyle name="Normal 8 2 2 2 7 2 5" xfId="12868" xr:uid="{55F8887F-F517-4E2C-9EA3-61D7B6FF2254}"/>
    <cellStyle name="Normal 8 2 2 2 7 3" xfId="6499" xr:uid="{00000000-0005-0000-0000-0000411C0000}"/>
    <cellStyle name="Normal 8 2 2 2 7 3 2" xfId="23382" xr:uid="{4B23CAD2-9708-4539-99BC-ABA101BBDF35}"/>
    <cellStyle name="Normal 8 2 2 2 7 3 3" xfId="31828" xr:uid="{56F2F1AD-7D44-4369-BB1C-B1E31CE87B21}"/>
    <cellStyle name="Normal 8 2 2 2 7 3 4" xfId="14941" xr:uid="{7A351ED8-68E5-4A85-BFCA-ECA018DF3B11}"/>
    <cellStyle name="Normal 8 2 2 2 7 4" xfId="19164" xr:uid="{A4FE72D5-EA9E-4D8E-A3BC-C14DCE726062}"/>
    <cellStyle name="Normal 8 2 2 2 7 5" xfId="27609" xr:uid="{25B7AFDD-C2AC-495A-ADE1-30240A195A08}"/>
    <cellStyle name="Normal 8 2 2 2 7 6" xfId="10723" xr:uid="{38E3C6AE-99C6-4FEB-84D7-4DA2B1EFE604}"/>
    <cellStyle name="Normal 8 2 2 2 8" xfId="2628" xr:uid="{00000000-0005-0000-0000-0000421C0000}"/>
    <cellStyle name="Normal 8 2 2 2 8 2" xfId="6912" xr:uid="{00000000-0005-0000-0000-0000431C0000}"/>
    <cellStyle name="Normal 8 2 2 2 8 2 2" xfId="23795" xr:uid="{0771AC0B-889A-468A-BDFD-3B48A8B0DEAD}"/>
    <cellStyle name="Normal 8 2 2 2 8 2 3" xfId="32241" xr:uid="{A393F44C-4C5F-47FD-B15C-F127F181613F}"/>
    <cellStyle name="Normal 8 2 2 2 8 2 4" xfId="15354" xr:uid="{5B1F4DD3-05B3-4CDB-92DF-538A4E872265}"/>
    <cellStyle name="Normal 8 2 2 2 8 3" xfId="19577" xr:uid="{F6FB542E-137E-4848-92F6-974673B30EBB}"/>
    <cellStyle name="Normal 8 2 2 2 8 4" xfId="28022" xr:uid="{1374D82F-B1E8-4524-AF5E-E1B5FF378E0A}"/>
    <cellStyle name="Normal 8 2 2 2 8 5" xfId="11136" xr:uid="{CFCDA1F7-7CEA-4905-95BC-D38CC5BCFCAD}"/>
    <cellStyle name="Normal 8 2 2 2 9" xfId="4847" xr:uid="{00000000-0005-0000-0000-0000441C0000}"/>
    <cellStyle name="Normal 8 2 2 2 9 2" xfId="21730" xr:uid="{BF2D6FF4-966C-4289-AAB7-CD36A75C98BE}"/>
    <cellStyle name="Normal 8 2 2 2 9 3" xfId="30176" xr:uid="{AC9DC540-2B42-4EC2-8389-F941107E9B6C}"/>
    <cellStyle name="Normal 8 2 2 2 9 4" xfId="13289" xr:uid="{5509C91C-51E9-4761-AACB-435AFE82EA20}"/>
    <cellStyle name="Normal 8 2 2 3" xfId="485" xr:uid="{00000000-0005-0000-0000-0000451C0000}"/>
    <cellStyle name="Normal 8 2 2 3 10" xfId="25961" xr:uid="{8E4075BF-6399-4492-A91C-30A559722BDC}"/>
    <cellStyle name="Normal 8 2 2 3 11" xfId="9075" xr:uid="{E024CF28-00C6-454F-AB1E-0AF44546510E}"/>
    <cellStyle name="Normal 8 2 2 3 2" xfId="486" xr:uid="{00000000-0005-0000-0000-0000461C0000}"/>
    <cellStyle name="Normal 8 2 2 3 2 10" xfId="9076" xr:uid="{CE3E0D1B-4145-4456-8722-3F055A509DAB}"/>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24293" xr:uid="{B6D02252-993A-4AA4-884D-4983CDDEA9B8}"/>
    <cellStyle name="Normal 8 2 2 3 2 2 2 2 3" xfId="32739" xr:uid="{302DBD83-0CA9-44C8-9816-936C336B8768}"/>
    <cellStyle name="Normal 8 2 2 3 2 2 2 2 4" xfId="15852" xr:uid="{442CC632-F6FF-4743-9450-B1173C96C8EB}"/>
    <cellStyle name="Normal 8 2 2 3 2 2 2 3" xfId="20075" xr:uid="{5FC1B9AD-1778-4E99-861C-FC5DB0C61EAB}"/>
    <cellStyle name="Normal 8 2 2 3 2 2 2 4" xfId="28522" xr:uid="{D5C864D8-C9BF-45EA-83CD-22A51A288E4C}"/>
    <cellStyle name="Normal 8 2 2 3 2 2 2 5" xfId="11634" xr:uid="{DB3925D9-98BF-4A68-8E65-1AFC1D478F9F}"/>
    <cellStyle name="Normal 8 2 2 3 2 2 3" xfId="5265" xr:uid="{00000000-0005-0000-0000-00004A1C0000}"/>
    <cellStyle name="Normal 8 2 2 3 2 2 3 2" xfId="22148" xr:uid="{D11F85A2-7E34-4572-B837-9E882B9C2725}"/>
    <cellStyle name="Normal 8 2 2 3 2 2 3 3" xfId="30594" xr:uid="{65887BE0-DBCB-433B-B787-57485D7D4E97}"/>
    <cellStyle name="Normal 8 2 2 3 2 2 3 4" xfId="13707" xr:uid="{64869E27-A910-45CA-A619-141CE5F1DC4B}"/>
    <cellStyle name="Normal 8 2 2 3 2 2 4" xfId="17930" xr:uid="{766DCE42-6066-47A0-B4AF-149748550872}"/>
    <cellStyle name="Normal 8 2 2 3 2 2 5" xfId="26375" xr:uid="{F65541BF-A667-40CF-9A7E-3844837CB8FE}"/>
    <cellStyle name="Normal 8 2 2 3 2 2 6" xfId="9489" xr:uid="{6282D46C-EFF4-451B-8F7B-6C4B7948B2D7}"/>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24706" xr:uid="{103B72F2-B2FA-4541-90F7-31B8A94360CB}"/>
    <cellStyle name="Normal 8 2 2 3 2 3 2 2 3" xfId="33152" xr:uid="{1E24A6F5-300C-44E8-910A-2CE6E89FF596}"/>
    <cellStyle name="Normal 8 2 2 3 2 3 2 2 4" xfId="16265" xr:uid="{312605AE-E8F9-4B7C-8060-9955F9183F36}"/>
    <cellStyle name="Normal 8 2 2 3 2 3 2 3" xfId="20488" xr:uid="{1261AAB0-B4FE-405D-A7CE-5A114F4C8EE5}"/>
    <cellStyle name="Normal 8 2 2 3 2 3 2 4" xfId="28935" xr:uid="{363FF245-2875-4B2C-B929-73DA60728D09}"/>
    <cellStyle name="Normal 8 2 2 3 2 3 2 5" xfId="12047" xr:uid="{2185E97D-3430-45C5-B22D-548FB31F6CB6}"/>
    <cellStyle name="Normal 8 2 2 3 2 3 3" xfId="5678" xr:uid="{00000000-0005-0000-0000-00004E1C0000}"/>
    <cellStyle name="Normal 8 2 2 3 2 3 3 2" xfId="22561" xr:uid="{B559F1B3-E90C-4427-AA97-932637204095}"/>
    <cellStyle name="Normal 8 2 2 3 2 3 3 3" xfId="31007" xr:uid="{A83B51AF-AC47-4AC2-9367-7E899D210BF5}"/>
    <cellStyle name="Normal 8 2 2 3 2 3 3 4" xfId="14120" xr:uid="{DEAA9AFA-6C40-46F7-BB92-B0242521F226}"/>
    <cellStyle name="Normal 8 2 2 3 2 3 4" xfId="18343" xr:uid="{85D2DBC2-ED38-4198-8CAC-E709BE412F59}"/>
    <cellStyle name="Normal 8 2 2 3 2 3 5" xfId="26788" xr:uid="{AA2E4E62-4DFC-4248-8C9D-52D83407ACF3}"/>
    <cellStyle name="Normal 8 2 2 3 2 3 6" xfId="9902" xr:uid="{4C97E479-9228-49CA-AC88-53BF5B3A2FBC}"/>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25119" xr:uid="{F2198270-04BE-4A4C-AA8E-0EEA242A9C0B}"/>
    <cellStyle name="Normal 8 2 2 3 2 4 2 2 3" xfId="33565" xr:uid="{5C4C8DCA-20AC-455E-A6AA-E21858020F6B}"/>
    <cellStyle name="Normal 8 2 2 3 2 4 2 2 4" xfId="16678" xr:uid="{DEDD2450-2501-4BD4-AAE5-23C971277BD7}"/>
    <cellStyle name="Normal 8 2 2 3 2 4 2 3" xfId="20901" xr:uid="{29AD7F97-93A9-4165-B200-8D4C7314BFB4}"/>
    <cellStyle name="Normal 8 2 2 3 2 4 2 4" xfId="29348" xr:uid="{5DCAF933-0FE0-47FF-B396-4E70959538B8}"/>
    <cellStyle name="Normal 8 2 2 3 2 4 2 5" xfId="12460" xr:uid="{937BFC84-F794-4D19-A5A6-469FC54DF99D}"/>
    <cellStyle name="Normal 8 2 2 3 2 4 3" xfId="6091" xr:uid="{00000000-0005-0000-0000-0000521C0000}"/>
    <cellStyle name="Normal 8 2 2 3 2 4 3 2" xfId="22974" xr:uid="{4A26BC8F-E1BF-42BB-B2FF-33BDCF2130ED}"/>
    <cellStyle name="Normal 8 2 2 3 2 4 3 3" xfId="31420" xr:uid="{5FCD4CC2-ABC1-4D37-B97C-D656C81F73FE}"/>
    <cellStyle name="Normal 8 2 2 3 2 4 3 4" xfId="14533" xr:uid="{048473DE-9418-4355-B4DA-98E02EBCB6C8}"/>
    <cellStyle name="Normal 8 2 2 3 2 4 4" xfId="18756" xr:uid="{80BBC89C-7245-4CA6-91A2-3E0CD6E9E78B}"/>
    <cellStyle name="Normal 8 2 2 3 2 4 5" xfId="27201" xr:uid="{BF28588B-5F6F-4B8B-A6B8-14EF92452124}"/>
    <cellStyle name="Normal 8 2 2 3 2 4 6" xfId="10315" xr:uid="{0537427D-BE0A-47FA-8A22-935E79E397A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25532" xr:uid="{F9876C8C-B930-472C-9227-9CA7B0090ACA}"/>
    <cellStyle name="Normal 8 2 2 3 2 5 2 2 3" xfId="33978" xr:uid="{1A7B0237-9046-4B98-B6BC-0EB82CC4913E}"/>
    <cellStyle name="Normal 8 2 2 3 2 5 2 2 4" xfId="17091" xr:uid="{7984C983-BD8C-4CF0-BFF5-8FA2253480DA}"/>
    <cellStyle name="Normal 8 2 2 3 2 5 2 3" xfId="21314" xr:uid="{5A59C89A-147D-471E-ABD4-C271FD4294EE}"/>
    <cellStyle name="Normal 8 2 2 3 2 5 2 4" xfId="29761" xr:uid="{6D2A5F9F-18B9-40CE-8F6A-8B65361E449C}"/>
    <cellStyle name="Normal 8 2 2 3 2 5 2 5" xfId="12873" xr:uid="{4AF8B904-A2F6-42B7-BC89-5DDCBFE1B0F9}"/>
    <cellStyle name="Normal 8 2 2 3 2 5 3" xfId="6504" xr:uid="{00000000-0005-0000-0000-0000561C0000}"/>
    <cellStyle name="Normal 8 2 2 3 2 5 3 2" xfId="23387" xr:uid="{5DBAFFF6-15D9-4EAA-8C6F-68D904DD8C56}"/>
    <cellStyle name="Normal 8 2 2 3 2 5 3 3" xfId="31833" xr:uid="{DC89CF4E-C6B5-481E-A21A-8696FD4F2FAE}"/>
    <cellStyle name="Normal 8 2 2 3 2 5 3 4" xfId="14946" xr:uid="{1BB719FD-FC8C-4AEB-AB9F-7B5DB6CF1A09}"/>
    <cellStyle name="Normal 8 2 2 3 2 5 4" xfId="19169" xr:uid="{91CF85F8-B1E0-42AE-AC1A-292C84696E04}"/>
    <cellStyle name="Normal 8 2 2 3 2 5 5" xfId="27614" xr:uid="{DC400912-C685-4F20-A5ED-DA7C0021E2DF}"/>
    <cellStyle name="Normal 8 2 2 3 2 5 6" xfId="10728" xr:uid="{B0F7907B-8363-42F3-B0F2-8CAC3CE4370D}"/>
    <cellStyle name="Normal 8 2 2 3 2 6" xfId="2633" xr:uid="{00000000-0005-0000-0000-0000571C0000}"/>
    <cellStyle name="Normal 8 2 2 3 2 6 2" xfId="6917" xr:uid="{00000000-0005-0000-0000-0000581C0000}"/>
    <cellStyle name="Normal 8 2 2 3 2 6 2 2" xfId="23800" xr:uid="{02CC308D-6EC3-45CC-9DFD-2FD2AF347C5D}"/>
    <cellStyle name="Normal 8 2 2 3 2 6 2 3" xfId="32246" xr:uid="{9464A6F0-8815-48A4-B5A6-EB6AC14A94A7}"/>
    <cellStyle name="Normal 8 2 2 3 2 6 2 4" xfId="15359" xr:uid="{9156D784-C26F-467E-8E8B-4FD406DB0F97}"/>
    <cellStyle name="Normal 8 2 2 3 2 6 3" xfId="19582" xr:uid="{20BC201E-ED1F-4937-AF86-CAAF32566092}"/>
    <cellStyle name="Normal 8 2 2 3 2 6 4" xfId="28027" xr:uid="{F0FF8661-8E4A-4345-9352-475AED7BEA8E}"/>
    <cellStyle name="Normal 8 2 2 3 2 6 5" xfId="11141" xr:uid="{E6F154CD-A9B5-4300-A08F-E218070106A5}"/>
    <cellStyle name="Normal 8 2 2 3 2 7" xfId="4852" xr:uid="{00000000-0005-0000-0000-0000591C0000}"/>
    <cellStyle name="Normal 8 2 2 3 2 7 2" xfId="21735" xr:uid="{CB762B83-933C-4127-9179-9E2A31E9297A}"/>
    <cellStyle name="Normal 8 2 2 3 2 7 3" xfId="30181" xr:uid="{0FB745D6-3E69-4883-B441-056353F92E4E}"/>
    <cellStyle name="Normal 8 2 2 3 2 7 4" xfId="13294" xr:uid="{B08BCE72-AE1A-4A5E-B966-73C2A0140844}"/>
    <cellStyle name="Normal 8 2 2 3 2 8" xfId="17517" xr:uid="{4D31ACA3-8C5A-42DA-869B-0D6C69EF72F5}"/>
    <cellStyle name="Normal 8 2 2 3 2 9" xfId="25962" xr:uid="{BD71D7B4-8203-48E3-9302-E71454D1EAFE}"/>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24292" xr:uid="{711954C3-17EE-4F6B-91DA-ECFA4C61BE4A}"/>
    <cellStyle name="Normal 8 2 2 3 3 2 2 3" xfId="32738" xr:uid="{8A08D403-4AE0-4587-AB54-6533B7B4E9AA}"/>
    <cellStyle name="Normal 8 2 2 3 3 2 2 4" xfId="15851" xr:uid="{9FD4497F-FB6F-4C18-99D0-58CC0F7BF2B8}"/>
    <cellStyle name="Normal 8 2 2 3 3 2 3" xfId="20074" xr:uid="{0C81D12C-A46A-4BAE-9CB0-F17D8C260808}"/>
    <cellStyle name="Normal 8 2 2 3 3 2 4" xfId="28521" xr:uid="{0DB15971-4DF8-49D5-B7C9-C7F43A6A5A0D}"/>
    <cellStyle name="Normal 8 2 2 3 3 2 5" xfId="11633" xr:uid="{88EC2D52-564F-4FE3-B59B-087A7BE9C7F4}"/>
    <cellStyle name="Normal 8 2 2 3 3 3" xfId="5264" xr:uid="{00000000-0005-0000-0000-00005D1C0000}"/>
    <cellStyle name="Normal 8 2 2 3 3 3 2" xfId="22147" xr:uid="{EF70724F-E7CF-4726-AC61-53ABF8524C7D}"/>
    <cellStyle name="Normal 8 2 2 3 3 3 3" xfId="30593" xr:uid="{ACF16F34-00FE-4390-A1B4-6EA31BE353C2}"/>
    <cellStyle name="Normal 8 2 2 3 3 3 4" xfId="13706" xr:uid="{EF998904-94D9-4AA7-BBC4-40FD54EFB255}"/>
    <cellStyle name="Normal 8 2 2 3 3 4" xfId="17929" xr:uid="{19F405A3-5C90-410F-BEAA-7D3313CBB9F3}"/>
    <cellStyle name="Normal 8 2 2 3 3 5" xfId="26374" xr:uid="{81A8EDE8-31E5-46A9-964D-A64B00537D85}"/>
    <cellStyle name="Normal 8 2 2 3 3 6" xfId="9488" xr:uid="{2F79BAF2-5474-4D66-AE6F-6B2F49C2AC7F}"/>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24705" xr:uid="{7B535942-A4AF-492F-9619-2A5683F9DA89}"/>
    <cellStyle name="Normal 8 2 2 3 4 2 2 3" xfId="33151" xr:uid="{B845DF2A-A15E-4172-AF67-DFDF60A1FA1F}"/>
    <cellStyle name="Normal 8 2 2 3 4 2 2 4" xfId="16264" xr:uid="{D4C3E4C0-BCB2-4EE4-A3F1-7B2298E38EFA}"/>
    <cellStyle name="Normal 8 2 2 3 4 2 3" xfId="20487" xr:uid="{AFFC9A13-C7AE-4F43-BDFB-B65CF1886703}"/>
    <cellStyle name="Normal 8 2 2 3 4 2 4" xfId="28934" xr:uid="{DD2A762C-E6C5-4E73-BB88-8094CB4A3468}"/>
    <cellStyle name="Normal 8 2 2 3 4 2 5" xfId="12046" xr:uid="{75CB1135-1242-463A-AE48-CC3F63DF3FE3}"/>
    <cellStyle name="Normal 8 2 2 3 4 3" xfId="5677" xr:uid="{00000000-0005-0000-0000-0000611C0000}"/>
    <cellStyle name="Normal 8 2 2 3 4 3 2" xfId="22560" xr:uid="{F89ABD8B-2728-400F-9294-AC9D3D1CB5FF}"/>
    <cellStyle name="Normal 8 2 2 3 4 3 3" xfId="31006" xr:uid="{4A7DB8A7-C180-41C5-8DF7-ADDCE6F01614}"/>
    <cellStyle name="Normal 8 2 2 3 4 3 4" xfId="14119" xr:uid="{B18DF1E8-8704-444F-914C-52E32FDBEC86}"/>
    <cellStyle name="Normal 8 2 2 3 4 4" xfId="18342" xr:uid="{E71533E3-9447-4DE1-A2E7-36104BB90601}"/>
    <cellStyle name="Normal 8 2 2 3 4 5" xfId="26787" xr:uid="{BBF44C92-90E1-4CC9-AD4D-B45233F4A2EF}"/>
    <cellStyle name="Normal 8 2 2 3 4 6" xfId="9901" xr:uid="{856843D4-FDDF-4AD8-A0A7-40970368C8B8}"/>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25118" xr:uid="{646CF265-8C27-427B-A7D4-1848256F6D67}"/>
    <cellStyle name="Normal 8 2 2 3 5 2 2 3" xfId="33564" xr:uid="{9AFCE2D8-4034-4DAC-BF09-C6A22604E3E7}"/>
    <cellStyle name="Normal 8 2 2 3 5 2 2 4" xfId="16677" xr:uid="{CF7B078D-F0ED-4FDB-A942-8D5C86C0090A}"/>
    <cellStyle name="Normal 8 2 2 3 5 2 3" xfId="20900" xr:uid="{31727188-4B69-4CC6-BE23-CFFC2DEA04DA}"/>
    <cellStyle name="Normal 8 2 2 3 5 2 4" xfId="29347" xr:uid="{BABE4D33-0DE0-43C1-81FE-9938B7CA5FD8}"/>
    <cellStyle name="Normal 8 2 2 3 5 2 5" xfId="12459" xr:uid="{AAB6684A-5DCA-49B7-AE33-D6F0E1924E5D}"/>
    <cellStyle name="Normal 8 2 2 3 5 3" xfId="6090" xr:uid="{00000000-0005-0000-0000-0000651C0000}"/>
    <cellStyle name="Normal 8 2 2 3 5 3 2" xfId="22973" xr:uid="{D974B417-72CD-497B-926F-D99CF185B308}"/>
    <cellStyle name="Normal 8 2 2 3 5 3 3" xfId="31419" xr:uid="{F6D7C665-3E2D-40FC-B7C9-6E1D1B14DF33}"/>
    <cellStyle name="Normal 8 2 2 3 5 3 4" xfId="14532" xr:uid="{99C24994-4F9F-4DA2-847F-ECBDFD75C4C8}"/>
    <cellStyle name="Normal 8 2 2 3 5 4" xfId="18755" xr:uid="{9B783A3A-AB24-4D61-A185-F477CE0FF2C1}"/>
    <cellStyle name="Normal 8 2 2 3 5 5" xfId="27200" xr:uid="{AE464110-740A-4378-A64E-C0E3054A8A7B}"/>
    <cellStyle name="Normal 8 2 2 3 5 6" xfId="10314" xr:uid="{EDD946C7-5A20-4933-9F6E-2D606A864B2C}"/>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25531" xr:uid="{907B665C-448F-4BBD-A507-AF26B42DFEC3}"/>
    <cellStyle name="Normal 8 2 2 3 6 2 2 3" xfId="33977" xr:uid="{E0F484A9-9634-4A27-A220-5DE67203AC55}"/>
    <cellStyle name="Normal 8 2 2 3 6 2 2 4" xfId="17090" xr:uid="{D88375EF-477C-4A6E-ACA4-2EB0F56988AF}"/>
    <cellStyle name="Normal 8 2 2 3 6 2 3" xfId="21313" xr:uid="{4FF931CB-9612-4153-9DDC-73A999320DDA}"/>
    <cellStyle name="Normal 8 2 2 3 6 2 4" xfId="29760" xr:uid="{271A3B98-0177-4C8E-8E70-C5B6207F0CA0}"/>
    <cellStyle name="Normal 8 2 2 3 6 2 5" xfId="12872" xr:uid="{C49F7A29-4B95-463B-8966-23FA1AB10B92}"/>
    <cellStyle name="Normal 8 2 2 3 6 3" xfId="6503" xr:uid="{00000000-0005-0000-0000-0000691C0000}"/>
    <cellStyle name="Normal 8 2 2 3 6 3 2" xfId="23386" xr:uid="{07A68EC8-CC6A-43CB-B8AC-18FCEDC96AB3}"/>
    <cellStyle name="Normal 8 2 2 3 6 3 3" xfId="31832" xr:uid="{CE36AEDD-767A-4EAC-8EE5-017039824325}"/>
    <cellStyle name="Normal 8 2 2 3 6 3 4" xfId="14945" xr:uid="{B527858C-2C98-4CD6-A503-AB3685BE1F82}"/>
    <cellStyle name="Normal 8 2 2 3 6 4" xfId="19168" xr:uid="{5B6E0FAC-ED59-4E9A-9CD8-32B769A270F9}"/>
    <cellStyle name="Normal 8 2 2 3 6 5" xfId="27613" xr:uid="{5FA1D5A5-EC8F-4C8A-99CE-767AC61C4442}"/>
    <cellStyle name="Normal 8 2 2 3 6 6" xfId="10727" xr:uid="{3C8A3494-FFF9-4BC5-A028-F0C0474BED79}"/>
    <cellStyle name="Normal 8 2 2 3 7" xfId="2632" xr:uid="{00000000-0005-0000-0000-00006A1C0000}"/>
    <cellStyle name="Normal 8 2 2 3 7 2" xfId="6916" xr:uid="{00000000-0005-0000-0000-00006B1C0000}"/>
    <cellStyle name="Normal 8 2 2 3 7 2 2" xfId="23799" xr:uid="{64C6D8FD-3349-4FAC-AC7C-B9027C9AB792}"/>
    <cellStyle name="Normal 8 2 2 3 7 2 3" xfId="32245" xr:uid="{CD1E5318-3B5D-4C65-936D-E322F37E8316}"/>
    <cellStyle name="Normal 8 2 2 3 7 2 4" xfId="15358" xr:uid="{E777BF00-5DD4-4BC1-AA8E-E1A278DCCCB8}"/>
    <cellStyle name="Normal 8 2 2 3 7 3" xfId="19581" xr:uid="{292EDA07-A1A3-42E6-9F42-819EC134E686}"/>
    <cellStyle name="Normal 8 2 2 3 7 4" xfId="28026" xr:uid="{AF626013-AE4F-486B-A689-4D8A00984A08}"/>
    <cellStyle name="Normal 8 2 2 3 7 5" xfId="11140" xr:uid="{CA43B409-E687-4939-959F-00555480028E}"/>
    <cellStyle name="Normal 8 2 2 3 8" xfId="4851" xr:uid="{00000000-0005-0000-0000-00006C1C0000}"/>
    <cellStyle name="Normal 8 2 2 3 8 2" xfId="21734" xr:uid="{EF89FEBC-8064-41EF-A28E-4CBBC858507A}"/>
    <cellStyle name="Normal 8 2 2 3 8 3" xfId="30180" xr:uid="{6D261967-AF5A-4F5C-8AAD-2FACA164BCA6}"/>
    <cellStyle name="Normal 8 2 2 3 8 4" xfId="13293" xr:uid="{6DFD1633-0557-4C40-BE69-5BE150FAB703}"/>
    <cellStyle name="Normal 8 2 2 3 9" xfId="17516" xr:uid="{DBD10F90-2C74-4D3A-A15D-E77F4F14E9B3}"/>
    <cellStyle name="Normal 8 2 2 4" xfId="487" xr:uid="{00000000-0005-0000-0000-00006D1C0000}"/>
    <cellStyle name="Normal 8 2 2 4 10" xfId="9077" xr:uid="{06373456-F420-44D3-A9FD-324CFA91B36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24294" xr:uid="{69ED511B-7CA3-41E9-9DD5-0EE3C1118F7A}"/>
    <cellStyle name="Normal 8 2 2 4 2 2 2 3" xfId="32740" xr:uid="{F0B85B37-0596-436F-91A6-984AD4C84043}"/>
    <cellStyle name="Normal 8 2 2 4 2 2 2 4" xfId="15853" xr:uid="{3BA31F71-CD79-419A-BCD8-D5092321723C}"/>
    <cellStyle name="Normal 8 2 2 4 2 2 3" xfId="20076" xr:uid="{DA331013-FBE5-4475-82DA-FBAE1852DC79}"/>
    <cellStyle name="Normal 8 2 2 4 2 2 4" xfId="28523" xr:uid="{7CB9500E-467A-426D-9640-6A5BC9D3A970}"/>
    <cellStyle name="Normal 8 2 2 4 2 2 5" xfId="11635" xr:uid="{553FF48F-ECA5-4A86-8B64-87A6179E2A90}"/>
    <cellStyle name="Normal 8 2 2 4 2 3" xfId="5266" xr:uid="{00000000-0005-0000-0000-0000711C0000}"/>
    <cellStyle name="Normal 8 2 2 4 2 3 2" xfId="22149" xr:uid="{86D9A7C4-FBBC-4CBF-9AB3-68D0F180DC5E}"/>
    <cellStyle name="Normal 8 2 2 4 2 3 3" xfId="30595" xr:uid="{C42EC559-D13F-4264-AEDA-01125AF7BFE0}"/>
    <cellStyle name="Normal 8 2 2 4 2 3 4" xfId="13708" xr:uid="{5A1C5522-64F5-4C7D-9A7E-C0CC4650F7F8}"/>
    <cellStyle name="Normal 8 2 2 4 2 4" xfId="17931" xr:uid="{8C239D1F-404D-4D2B-AD59-CD9D34C8F241}"/>
    <cellStyle name="Normal 8 2 2 4 2 5" xfId="26376" xr:uid="{6C756EFB-FC74-4C0E-B0BC-E8A87841C05F}"/>
    <cellStyle name="Normal 8 2 2 4 2 6" xfId="9490" xr:uid="{ACF5F81D-E28C-4A4C-84D3-3B8070B755F7}"/>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24707" xr:uid="{420D57A2-16E6-4F43-AFC5-9C5719FCEEA6}"/>
    <cellStyle name="Normal 8 2 2 4 3 2 2 3" xfId="33153" xr:uid="{5FD2CF25-9300-4711-A7B2-216227FC02BF}"/>
    <cellStyle name="Normal 8 2 2 4 3 2 2 4" xfId="16266" xr:uid="{D1B07860-DF47-4097-A5C0-CBA8317E719D}"/>
    <cellStyle name="Normal 8 2 2 4 3 2 3" xfId="20489" xr:uid="{DA9976A0-61F6-41E6-A1A1-163D22F42D4D}"/>
    <cellStyle name="Normal 8 2 2 4 3 2 4" xfId="28936" xr:uid="{C3163544-9193-445D-B122-08DB6A84BE12}"/>
    <cellStyle name="Normal 8 2 2 4 3 2 5" xfId="12048" xr:uid="{3FB3E247-2B23-43A4-A935-B154235D90C3}"/>
    <cellStyle name="Normal 8 2 2 4 3 3" xfId="5679" xr:uid="{00000000-0005-0000-0000-0000751C0000}"/>
    <cellStyle name="Normal 8 2 2 4 3 3 2" xfId="22562" xr:uid="{4E5DA0F4-8E76-4793-A384-6D4F3A2033DC}"/>
    <cellStyle name="Normal 8 2 2 4 3 3 3" xfId="31008" xr:uid="{E96902F4-A3B5-4D20-8CFD-CC5DAE94B8DC}"/>
    <cellStyle name="Normal 8 2 2 4 3 3 4" xfId="14121" xr:uid="{2805C731-98C5-4C2A-8ADC-AC7817D33480}"/>
    <cellStyle name="Normal 8 2 2 4 3 4" xfId="18344" xr:uid="{BA9B30AA-0BAE-4242-8956-7392911F85AE}"/>
    <cellStyle name="Normal 8 2 2 4 3 5" xfId="26789" xr:uid="{B30956B5-4062-486E-9188-9C740573B833}"/>
    <cellStyle name="Normal 8 2 2 4 3 6" xfId="9903" xr:uid="{F05E6FE0-672C-4F01-9DC6-ECB267A393AA}"/>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25120" xr:uid="{741B67D4-F334-474E-B2B4-2E0842F77B98}"/>
    <cellStyle name="Normal 8 2 2 4 4 2 2 3" xfId="33566" xr:uid="{F2CBDEF6-A43D-49A7-B98B-73CA4E854FDF}"/>
    <cellStyle name="Normal 8 2 2 4 4 2 2 4" xfId="16679" xr:uid="{E46C9E32-F888-4270-AD0B-92C18C7954F9}"/>
    <cellStyle name="Normal 8 2 2 4 4 2 3" xfId="20902" xr:uid="{120CEB74-3373-418C-8BB7-827B6BA65DD8}"/>
    <cellStyle name="Normal 8 2 2 4 4 2 4" xfId="29349" xr:uid="{B5777204-20B4-419B-9051-AA8A3D7BB76E}"/>
    <cellStyle name="Normal 8 2 2 4 4 2 5" xfId="12461" xr:uid="{9C005E8D-59EA-4D94-A495-48398ED4B983}"/>
    <cellStyle name="Normal 8 2 2 4 4 3" xfId="6092" xr:uid="{00000000-0005-0000-0000-0000791C0000}"/>
    <cellStyle name="Normal 8 2 2 4 4 3 2" xfId="22975" xr:uid="{27F2CABE-DC9D-420A-84E9-4004563B87B9}"/>
    <cellStyle name="Normal 8 2 2 4 4 3 3" xfId="31421" xr:uid="{A424A6C9-316C-49DE-B981-123B486D6279}"/>
    <cellStyle name="Normal 8 2 2 4 4 3 4" xfId="14534" xr:uid="{327BF5F1-9A28-4942-9721-85FC75508B30}"/>
    <cellStyle name="Normal 8 2 2 4 4 4" xfId="18757" xr:uid="{D9189E84-E97D-418E-A001-F022669BBA9C}"/>
    <cellStyle name="Normal 8 2 2 4 4 5" xfId="27202" xr:uid="{EA9DC92E-2634-4974-8D3E-B6DFD1FE1720}"/>
    <cellStyle name="Normal 8 2 2 4 4 6" xfId="10316" xr:uid="{537BA3EC-81CB-4BB7-84F0-6983739DD90F}"/>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25533" xr:uid="{2DB7EB92-8360-4E8F-92F0-502C7A02E74E}"/>
    <cellStyle name="Normal 8 2 2 4 5 2 2 3" xfId="33979" xr:uid="{DF3DE5EA-A03F-4B0F-9978-839F44205FB5}"/>
    <cellStyle name="Normal 8 2 2 4 5 2 2 4" xfId="17092" xr:uid="{FB4BF84A-BE95-4D89-958B-4DBFC156A8F7}"/>
    <cellStyle name="Normal 8 2 2 4 5 2 3" xfId="21315" xr:uid="{76EC507D-29AE-478B-AE4B-05CC020CBB08}"/>
    <cellStyle name="Normal 8 2 2 4 5 2 4" xfId="29762" xr:uid="{2AFFEE14-27A8-4197-979D-5909FAB302C5}"/>
    <cellStyle name="Normal 8 2 2 4 5 2 5" xfId="12874" xr:uid="{2063BF37-B9D2-4FC5-BE0F-F31067A1D63E}"/>
    <cellStyle name="Normal 8 2 2 4 5 3" xfId="6505" xr:uid="{00000000-0005-0000-0000-00007D1C0000}"/>
    <cellStyle name="Normal 8 2 2 4 5 3 2" xfId="23388" xr:uid="{5B2613DF-0428-41AD-8906-7D7E5E45CB5B}"/>
    <cellStyle name="Normal 8 2 2 4 5 3 3" xfId="31834" xr:uid="{A1992FF8-05B2-4C4C-B00F-6A40AF747C57}"/>
    <cellStyle name="Normal 8 2 2 4 5 3 4" xfId="14947" xr:uid="{F2B2EE2A-87CF-4FCA-97CC-E8B067C4DA02}"/>
    <cellStyle name="Normal 8 2 2 4 5 4" xfId="19170" xr:uid="{D87476ED-1885-4310-ABC9-8E5E27A02B17}"/>
    <cellStyle name="Normal 8 2 2 4 5 5" xfId="27615" xr:uid="{D9C3E961-3577-418C-B645-4C41BDBC51EA}"/>
    <cellStyle name="Normal 8 2 2 4 5 6" xfId="10729" xr:uid="{A4642502-133D-486D-B153-8B7C13EA1076}"/>
    <cellStyle name="Normal 8 2 2 4 6" xfId="2634" xr:uid="{00000000-0005-0000-0000-00007E1C0000}"/>
    <cellStyle name="Normal 8 2 2 4 6 2" xfId="6918" xr:uid="{00000000-0005-0000-0000-00007F1C0000}"/>
    <cellStyle name="Normal 8 2 2 4 6 2 2" xfId="23801" xr:uid="{24E35179-AEEC-4FA8-A77B-153E8CC92B2B}"/>
    <cellStyle name="Normal 8 2 2 4 6 2 3" xfId="32247" xr:uid="{E74001F3-84B0-4980-899E-BBCD1C5308D2}"/>
    <cellStyle name="Normal 8 2 2 4 6 2 4" xfId="15360" xr:uid="{1B4CAC63-7018-4D78-82F7-8747A8A1CD5B}"/>
    <cellStyle name="Normal 8 2 2 4 6 3" xfId="19583" xr:uid="{329B7BBC-A3F3-4A83-B500-AC9C6F4A1844}"/>
    <cellStyle name="Normal 8 2 2 4 6 4" xfId="28028" xr:uid="{B7E45DB5-237C-4699-946A-6E07D944372D}"/>
    <cellStyle name="Normal 8 2 2 4 6 5" xfId="11142" xr:uid="{A05B10ED-4714-46BD-B6AC-35F03F141EAE}"/>
    <cellStyle name="Normal 8 2 2 4 7" xfId="4853" xr:uid="{00000000-0005-0000-0000-0000801C0000}"/>
    <cellStyle name="Normal 8 2 2 4 7 2" xfId="21736" xr:uid="{EABC207C-B3DF-451C-961B-EEF0C744572F}"/>
    <cellStyle name="Normal 8 2 2 4 7 3" xfId="30182" xr:uid="{82881CCD-77FB-45EF-BB6D-8EF385BEF14F}"/>
    <cellStyle name="Normal 8 2 2 4 7 4" xfId="13295" xr:uid="{B7EBE828-4750-4F1B-8C7E-C2A9B4A0841D}"/>
    <cellStyle name="Normal 8 2 2 4 8" xfId="17518" xr:uid="{F71E182E-9CBE-4117-A462-1D612D9D4F3C}"/>
    <cellStyle name="Normal 8 2 2 4 9" xfId="25963" xr:uid="{17F21233-D814-4D43-8925-E72D465C1673}"/>
    <cellStyle name="Normal 8 2 2 5" xfId="947" xr:uid="{00000000-0005-0000-0000-0000811C0000}"/>
    <cellStyle name="Normal 8 2 2 5 2" xfId="3181" xr:uid="{00000000-0005-0000-0000-0000821C0000}"/>
    <cellStyle name="Normal 8 2 2 5 2 2" xfId="7404" xr:uid="{00000000-0005-0000-0000-0000831C0000}"/>
    <cellStyle name="Normal 8 2 2 5 2 2 2" xfId="24287" xr:uid="{556B1188-7294-4054-9751-3DE2CEEB8C3D}"/>
    <cellStyle name="Normal 8 2 2 5 2 2 3" xfId="32733" xr:uid="{1F1EB136-1CB3-439C-87E6-7560622FF62C}"/>
    <cellStyle name="Normal 8 2 2 5 2 2 4" xfId="15846" xr:uid="{A6CEA769-7FEA-42D6-9771-A125458EDF32}"/>
    <cellStyle name="Normal 8 2 2 5 2 3" xfId="20069" xr:uid="{EE218BA5-B666-44B9-BAA3-BAD3D150301E}"/>
    <cellStyle name="Normal 8 2 2 5 2 4" xfId="28516" xr:uid="{B499BE90-7CBF-4BD0-AF3E-8BB5CEA3F63A}"/>
    <cellStyle name="Normal 8 2 2 5 2 5" xfId="11628" xr:uid="{6C5CB6E0-4909-4BD7-8CB2-BACF8A8DD0F2}"/>
    <cellStyle name="Normal 8 2 2 5 3" xfId="5259" xr:uid="{00000000-0005-0000-0000-0000841C0000}"/>
    <cellStyle name="Normal 8 2 2 5 3 2" xfId="22142" xr:uid="{ED138DD6-E6BE-424C-AF9F-E4DE95915507}"/>
    <cellStyle name="Normal 8 2 2 5 3 3" xfId="30588" xr:uid="{66B0AC18-952E-47AF-9D2B-D3349187080D}"/>
    <cellStyle name="Normal 8 2 2 5 3 4" xfId="13701" xr:uid="{729FC5D3-6A2E-4ECA-A62E-5A2A91782535}"/>
    <cellStyle name="Normal 8 2 2 5 4" xfId="17924" xr:uid="{A23C989E-C388-4344-820C-7623DD33BEEB}"/>
    <cellStyle name="Normal 8 2 2 5 5" xfId="26369" xr:uid="{4769D47B-A335-474D-BFFD-D50E215D94C1}"/>
    <cellStyle name="Normal 8 2 2 5 6" xfId="9483" xr:uid="{A6D0D34D-58EB-4278-AC5D-CC3742B9F42D}"/>
    <cellStyle name="Normal 8 2 2 6" xfId="1364" xr:uid="{00000000-0005-0000-0000-0000851C0000}"/>
    <cellStyle name="Normal 8 2 2 6 2" xfId="3594" xr:uid="{00000000-0005-0000-0000-0000861C0000}"/>
    <cellStyle name="Normal 8 2 2 6 2 2" xfId="7817" xr:uid="{00000000-0005-0000-0000-0000871C0000}"/>
    <cellStyle name="Normal 8 2 2 6 2 2 2" xfId="24700" xr:uid="{2E4B811C-3D0F-43B3-BF90-985E0DF4AA8B}"/>
    <cellStyle name="Normal 8 2 2 6 2 2 3" xfId="33146" xr:uid="{1C23B0F5-F02A-4E39-9A64-40C9FA1093DF}"/>
    <cellStyle name="Normal 8 2 2 6 2 2 4" xfId="16259" xr:uid="{14419F8C-A6D0-4261-9133-935AD6CAFDCD}"/>
    <cellStyle name="Normal 8 2 2 6 2 3" xfId="20482" xr:uid="{3B6D9401-7715-483C-B59D-CAEA85FE4023}"/>
    <cellStyle name="Normal 8 2 2 6 2 4" xfId="28929" xr:uid="{BAD413F0-DFD6-4F46-9E4A-E2D95B12D82A}"/>
    <cellStyle name="Normal 8 2 2 6 2 5" xfId="12041" xr:uid="{D529DD28-B22A-416D-BA28-9DFC431E8A59}"/>
    <cellStyle name="Normal 8 2 2 6 3" xfId="5672" xr:uid="{00000000-0005-0000-0000-0000881C0000}"/>
    <cellStyle name="Normal 8 2 2 6 3 2" xfId="22555" xr:uid="{BC4057F0-00DA-4CBA-B155-86A302034638}"/>
    <cellStyle name="Normal 8 2 2 6 3 3" xfId="31001" xr:uid="{87BCB04F-8B68-401F-8C70-9A360542A3E9}"/>
    <cellStyle name="Normal 8 2 2 6 3 4" xfId="14114" xr:uid="{6CD4BCE7-C08C-4736-9874-0E7EB90CCE30}"/>
    <cellStyle name="Normal 8 2 2 6 4" xfId="18337" xr:uid="{CACB6F5D-FD7B-47ED-85BF-612C11CBC45E}"/>
    <cellStyle name="Normal 8 2 2 6 5" xfId="26782" xr:uid="{C2D9EB19-2E9C-4A8C-82C4-754523A1D79F}"/>
    <cellStyle name="Normal 8 2 2 6 6" xfId="9896" xr:uid="{0FF19E75-F6AB-4963-9723-39EEB2FF72AE}"/>
    <cellStyle name="Normal 8 2 2 7" xfId="1777" xr:uid="{00000000-0005-0000-0000-0000891C0000}"/>
    <cellStyle name="Normal 8 2 2 7 2" xfId="4007" xr:uid="{00000000-0005-0000-0000-00008A1C0000}"/>
    <cellStyle name="Normal 8 2 2 7 2 2" xfId="8230" xr:uid="{00000000-0005-0000-0000-00008B1C0000}"/>
    <cellStyle name="Normal 8 2 2 7 2 2 2" xfId="25113" xr:uid="{02A1F94D-5B05-4340-9813-793CBE150DED}"/>
    <cellStyle name="Normal 8 2 2 7 2 2 3" xfId="33559" xr:uid="{1D95B907-C85C-499C-8601-12133DCA98C9}"/>
    <cellStyle name="Normal 8 2 2 7 2 2 4" xfId="16672" xr:uid="{5B90FF0B-C2C1-4786-A534-6FC7FDA80C63}"/>
    <cellStyle name="Normal 8 2 2 7 2 3" xfId="20895" xr:uid="{072FC732-2ED9-44D8-B3BE-01DEB94F0A37}"/>
    <cellStyle name="Normal 8 2 2 7 2 4" xfId="29342" xr:uid="{2180EA1C-BAB0-4FBD-924B-2107775C5C0E}"/>
    <cellStyle name="Normal 8 2 2 7 2 5" xfId="12454" xr:uid="{D8E228B7-FC37-475A-BFEA-8C0B117C76E9}"/>
    <cellStyle name="Normal 8 2 2 7 3" xfId="6085" xr:uid="{00000000-0005-0000-0000-00008C1C0000}"/>
    <cellStyle name="Normal 8 2 2 7 3 2" xfId="22968" xr:uid="{14A57918-BBCB-4188-98BA-EF0EAAACC7B2}"/>
    <cellStyle name="Normal 8 2 2 7 3 3" xfId="31414" xr:uid="{4301D1EA-25B2-4056-BD9A-008E585CC6CA}"/>
    <cellStyle name="Normal 8 2 2 7 3 4" xfId="14527" xr:uid="{F6D5D671-0CD7-450F-8CE2-872C26AE1636}"/>
    <cellStyle name="Normal 8 2 2 7 4" xfId="18750" xr:uid="{E80832B7-A6CC-411B-BA0F-ABEE16E93B9A}"/>
    <cellStyle name="Normal 8 2 2 7 5" xfId="27195" xr:uid="{D7746F12-3A27-45C2-9213-9691A5EEBDDC}"/>
    <cellStyle name="Normal 8 2 2 7 6" xfId="10309" xr:uid="{E2ECF390-E405-4CB4-AF4F-F2D1A1BF26FC}"/>
    <cellStyle name="Normal 8 2 2 8" xfId="2191" xr:uid="{00000000-0005-0000-0000-00008D1C0000}"/>
    <cellStyle name="Normal 8 2 2 8 2" xfId="4420" xr:uid="{00000000-0005-0000-0000-00008E1C0000}"/>
    <cellStyle name="Normal 8 2 2 8 2 2" xfId="8643" xr:uid="{00000000-0005-0000-0000-00008F1C0000}"/>
    <cellStyle name="Normal 8 2 2 8 2 2 2" xfId="25526" xr:uid="{74AEFC28-4BC8-486D-B135-664B7327F326}"/>
    <cellStyle name="Normal 8 2 2 8 2 2 3" xfId="33972" xr:uid="{B50577DB-262E-42A1-95C0-648AEBD40C93}"/>
    <cellStyle name="Normal 8 2 2 8 2 2 4" xfId="17085" xr:uid="{46C25929-E4BD-47C2-B02A-84599E29873E}"/>
    <cellStyle name="Normal 8 2 2 8 2 3" xfId="21308" xr:uid="{DC94FC5C-B356-4223-9758-111A893896BF}"/>
    <cellStyle name="Normal 8 2 2 8 2 4" xfId="29755" xr:uid="{5335BE25-EFBC-4B3B-8ABC-F4A57C9C1F5B}"/>
    <cellStyle name="Normal 8 2 2 8 2 5" xfId="12867" xr:uid="{E6429829-AEB5-402E-8E2B-5CABA236A31A}"/>
    <cellStyle name="Normal 8 2 2 8 3" xfId="6498" xr:uid="{00000000-0005-0000-0000-0000901C0000}"/>
    <cellStyle name="Normal 8 2 2 8 3 2" xfId="23381" xr:uid="{E0BBAB72-71C5-4597-8B25-937955D9955E}"/>
    <cellStyle name="Normal 8 2 2 8 3 3" xfId="31827" xr:uid="{FE6EC0E5-7DE7-4B3F-AC09-13FDEE7BFBA3}"/>
    <cellStyle name="Normal 8 2 2 8 3 4" xfId="14940" xr:uid="{7164B9E3-50D9-4558-98AF-4C5B936B797E}"/>
    <cellStyle name="Normal 8 2 2 8 4" xfId="19163" xr:uid="{4D5684CE-F0E7-41D9-9D54-D51DAF6DED66}"/>
    <cellStyle name="Normal 8 2 2 8 5" xfId="27608" xr:uid="{59A612BF-0F11-41DB-AB07-BC81F775562D}"/>
    <cellStyle name="Normal 8 2 2 8 6" xfId="10722" xr:uid="{3BBF8553-138D-4E96-806D-8C97C3DA0579}"/>
    <cellStyle name="Normal 8 2 2 9" xfId="2627" xr:uid="{00000000-0005-0000-0000-0000911C0000}"/>
    <cellStyle name="Normal 8 2 2 9 2" xfId="6911" xr:uid="{00000000-0005-0000-0000-0000921C0000}"/>
    <cellStyle name="Normal 8 2 2 9 2 2" xfId="23794" xr:uid="{D2D27888-1938-4CAE-AB1A-141BB5A4493C}"/>
    <cellStyle name="Normal 8 2 2 9 2 3" xfId="32240" xr:uid="{CCB7CE14-25E8-4392-BB6D-5045CFF3C0DA}"/>
    <cellStyle name="Normal 8 2 2 9 2 4" xfId="15353" xr:uid="{4B426F52-B5B4-404A-A7AE-FF409A3881B5}"/>
    <cellStyle name="Normal 8 2 2 9 3" xfId="19576" xr:uid="{8E4BE008-1553-49DF-8B43-309E1B3EE944}"/>
    <cellStyle name="Normal 8 2 2 9 4" xfId="28021" xr:uid="{46E33A2E-9FAA-4EF3-BAB8-7FB30B714082}"/>
    <cellStyle name="Normal 8 2 2 9 5" xfId="11135" xr:uid="{D9FB052E-B490-40D3-8FA3-8233E494DB7E}"/>
    <cellStyle name="Normal 8 2 3" xfId="488" xr:uid="{00000000-0005-0000-0000-0000931C0000}"/>
    <cellStyle name="Normal 8 2 3 10" xfId="17519" xr:uid="{00ECF602-1E60-41BE-9EC4-1BBF50CB0080}"/>
    <cellStyle name="Normal 8 2 3 11" xfId="25964" xr:uid="{1AE204C2-BE84-413D-BC25-0866CC9315AF}"/>
    <cellStyle name="Normal 8 2 3 12" xfId="9078" xr:uid="{14E8178D-30FD-49E3-8F18-70B2A179306D}"/>
    <cellStyle name="Normal 8 2 3 2" xfId="489" xr:uid="{00000000-0005-0000-0000-0000941C0000}"/>
    <cellStyle name="Normal 8 2 3 2 10" xfId="25965" xr:uid="{11CB12D4-4A70-4B79-8850-CCA1940986CA}"/>
    <cellStyle name="Normal 8 2 3 2 11" xfId="9079" xr:uid="{5B0F7FF6-6BEC-41E5-99A9-62C7A836ECAC}"/>
    <cellStyle name="Normal 8 2 3 2 2" xfId="490" xr:uid="{00000000-0005-0000-0000-0000951C0000}"/>
    <cellStyle name="Normal 8 2 3 2 2 10" xfId="9080" xr:uid="{0FC5F742-7D77-4F66-8A00-60ABAEFA6F71}"/>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24297" xr:uid="{710DC800-CF0B-4FF0-8452-22DB8EDA1644}"/>
    <cellStyle name="Normal 8 2 3 2 2 2 2 2 3" xfId="32743" xr:uid="{47973958-AEA9-43DD-B200-3E0A98D8B132}"/>
    <cellStyle name="Normal 8 2 3 2 2 2 2 2 4" xfId="15856" xr:uid="{47CA18CF-3EA1-48EF-846E-1E3EC6FBB76F}"/>
    <cellStyle name="Normal 8 2 3 2 2 2 2 3" xfId="20079" xr:uid="{1092DD00-B746-42F6-9D96-E3DAB0957A2E}"/>
    <cellStyle name="Normal 8 2 3 2 2 2 2 4" xfId="28526" xr:uid="{B3A173C2-13D4-4856-8C36-DF8796ED07B5}"/>
    <cellStyle name="Normal 8 2 3 2 2 2 2 5" xfId="11638" xr:uid="{5F280850-3905-4F22-84B2-60B02D5014C6}"/>
    <cellStyle name="Normal 8 2 3 2 2 2 3" xfId="5269" xr:uid="{00000000-0005-0000-0000-0000991C0000}"/>
    <cellStyle name="Normal 8 2 3 2 2 2 3 2" xfId="22152" xr:uid="{BCD2F8AE-BDF2-48C4-B625-C5159A55E506}"/>
    <cellStyle name="Normal 8 2 3 2 2 2 3 3" xfId="30598" xr:uid="{66A97CDA-066F-4084-B183-E8DABFB476EF}"/>
    <cellStyle name="Normal 8 2 3 2 2 2 3 4" xfId="13711" xr:uid="{9C6A66DA-CAD1-4156-87E7-288A5042DDBE}"/>
    <cellStyle name="Normal 8 2 3 2 2 2 4" xfId="17934" xr:uid="{F4CB4D97-8F6C-494E-83E8-7F7D9823A7D6}"/>
    <cellStyle name="Normal 8 2 3 2 2 2 5" xfId="26379" xr:uid="{B871D987-51A4-46E4-92F3-980D5F0AFB00}"/>
    <cellStyle name="Normal 8 2 3 2 2 2 6" xfId="9493" xr:uid="{A2612EBB-636A-4A1C-804B-BD6EED1B56D6}"/>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24710" xr:uid="{2CCC2E07-6812-4408-ABED-2789A3AA48BB}"/>
    <cellStyle name="Normal 8 2 3 2 2 3 2 2 3" xfId="33156" xr:uid="{BBCCF9B1-31EB-4ECF-9148-4D1E4A43073B}"/>
    <cellStyle name="Normal 8 2 3 2 2 3 2 2 4" xfId="16269" xr:uid="{F287049E-84F0-4477-8F6A-2E5FD3DC999A}"/>
    <cellStyle name="Normal 8 2 3 2 2 3 2 3" xfId="20492" xr:uid="{93DE06D3-6889-4A73-AA51-ED25174377CD}"/>
    <cellStyle name="Normal 8 2 3 2 2 3 2 4" xfId="28939" xr:uid="{7FF09E82-C24B-4BA2-ADEF-806D43332566}"/>
    <cellStyle name="Normal 8 2 3 2 2 3 2 5" xfId="12051" xr:uid="{A15361D3-1C0C-46D8-9760-8F074287BAA1}"/>
    <cellStyle name="Normal 8 2 3 2 2 3 3" xfId="5682" xr:uid="{00000000-0005-0000-0000-00009D1C0000}"/>
    <cellStyle name="Normal 8 2 3 2 2 3 3 2" xfId="22565" xr:uid="{02744B9A-ED8E-4232-907B-90063FA4A559}"/>
    <cellStyle name="Normal 8 2 3 2 2 3 3 3" xfId="31011" xr:uid="{6FFD1967-ED06-4D76-8A7B-A2A5AF57B0E3}"/>
    <cellStyle name="Normal 8 2 3 2 2 3 3 4" xfId="14124" xr:uid="{B79333C1-4D84-442A-AE5E-539E24BADA03}"/>
    <cellStyle name="Normal 8 2 3 2 2 3 4" xfId="18347" xr:uid="{F9FBA727-1CBB-4C37-815F-7FB89424A577}"/>
    <cellStyle name="Normal 8 2 3 2 2 3 5" xfId="26792" xr:uid="{B50E3289-DCB4-4BBD-ADDB-37569C916F1E}"/>
    <cellStyle name="Normal 8 2 3 2 2 3 6" xfId="9906" xr:uid="{A6640F77-1CB2-4A20-A76F-B7C67B6E3132}"/>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25123" xr:uid="{7E73E9AA-D2C3-4B5E-BB62-FBA64DA97D8E}"/>
    <cellStyle name="Normal 8 2 3 2 2 4 2 2 3" xfId="33569" xr:uid="{D189DA6C-3495-45E7-948E-2276A0F48261}"/>
    <cellStyle name="Normal 8 2 3 2 2 4 2 2 4" xfId="16682" xr:uid="{6438F7BE-7D22-44B3-B358-ACD1F7B789BA}"/>
    <cellStyle name="Normal 8 2 3 2 2 4 2 3" xfId="20905" xr:uid="{E5B615E0-21DF-4743-988B-AF61265DA64D}"/>
    <cellStyle name="Normal 8 2 3 2 2 4 2 4" xfId="29352" xr:uid="{E4B008AE-C59D-480C-AEC4-98377A56626C}"/>
    <cellStyle name="Normal 8 2 3 2 2 4 2 5" xfId="12464" xr:uid="{5A3B4C14-2953-49F9-8AED-6AD0E28D5FC5}"/>
    <cellStyle name="Normal 8 2 3 2 2 4 3" xfId="6095" xr:uid="{00000000-0005-0000-0000-0000A11C0000}"/>
    <cellStyle name="Normal 8 2 3 2 2 4 3 2" xfId="22978" xr:uid="{55C76C6C-6D4B-4147-B221-00DFB0D523DC}"/>
    <cellStyle name="Normal 8 2 3 2 2 4 3 3" xfId="31424" xr:uid="{4F581676-43E7-4BB9-A093-606B7E649580}"/>
    <cellStyle name="Normal 8 2 3 2 2 4 3 4" xfId="14537" xr:uid="{4F97F609-7417-4DA9-AA96-94E2421E0C22}"/>
    <cellStyle name="Normal 8 2 3 2 2 4 4" xfId="18760" xr:uid="{38B20246-6D11-4488-8F28-BBA7E5D7B7C7}"/>
    <cellStyle name="Normal 8 2 3 2 2 4 5" xfId="27205" xr:uid="{1966C47C-862F-46A7-AADB-58F645F11CFB}"/>
    <cellStyle name="Normal 8 2 3 2 2 4 6" xfId="10319" xr:uid="{3551DF22-2F25-47C1-B98A-2507DA02EB1C}"/>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25536" xr:uid="{276DA273-0C95-41C7-8B14-99BBFB443853}"/>
    <cellStyle name="Normal 8 2 3 2 2 5 2 2 3" xfId="33982" xr:uid="{83EAB54B-C695-4ACF-8FA1-ABE3B2A8482A}"/>
    <cellStyle name="Normal 8 2 3 2 2 5 2 2 4" xfId="17095" xr:uid="{A43D2EEA-F9BB-4F03-A113-34CAFD49144F}"/>
    <cellStyle name="Normal 8 2 3 2 2 5 2 3" xfId="21318" xr:uid="{05C548A1-63EF-441A-96D4-146B52BB3544}"/>
    <cellStyle name="Normal 8 2 3 2 2 5 2 4" xfId="29765" xr:uid="{89AA14C7-A66F-42FE-88E9-D208E0346C84}"/>
    <cellStyle name="Normal 8 2 3 2 2 5 2 5" xfId="12877" xr:uid="{F83EE912-07FB-4EF3-B1E0-71257DD52FA2}"/>
    <cellStyle name="Normal 8 2 3 2 2 5 3" xfId="6508" xr:uid="{00000000-0005-0000-0000-0000A51C0000}"/>
    <cellStyle name="Normal 8 2 3 2 2 5 3 2" xfId="23391" xr:uid="{64860EC3-8F8B-4198-99FC-F4B0F50FBE8F}"/>
    <cellStyle name="Normal 8 2 3 2 2 5 3 3" xfId="31837" xr:uid="{3C1B5CFA-F6AB-4EB3-AE4C-154E409809F6}"/>
    <cellStyle name="Normal 8 2 3 2 2 5 3 4" xfId="14950" xr:uid="{49D3A75C-956C-4240-8F91-20A53B6B95A2}"/>
    <cellStyle name="Normal 8 2 3 2 2 5 4" xfId="19173" xr:uid="{9B9928BF-6249-49B5-89F9-71493AB40701}"/>
    <cellStyle name="Normal 8 2 3 2 2 5 5" xfId="27618" xr:uid="{87658BBE-D0E3-4309-B0C2-6D2EC23B3CB8}"/>
    <cellStyle name="Normal 8 2 3 2 2 5 6" xfId="10732" xr:uid="{87BBB056-B8B6-4DB3-97A0-8DD53C9ABE00}"/>
    <cellStyle name="Normal 8 2 3 2 2 6" xfId="2637" xr:uid="{00000000-0005-0000-0000-0000A61C0000}"/>
    <cellStyle name="Normal 8 2 3 2 2 6 2" xfId="6921" xr:uid="{00000000-0005-0000-0000-0000A71C0000}"/>
    <cellStyle name="Normal 8 2 3 2 2 6 2 2" xfId="23804" xr:uid="{48E5B3FD-EA07-4A97-80AD-15BFDA95ABEE}"/>
    <cellStyle name="Normal 8 2 3 2 2 6 2 3" xfId="32250" xr:uid="{A64A7528-221D-419A-8FA3-1BB4D3265171}"/>
    <cellStyle name="Normal 8 2 3 2 2 6 2 4" xfId="15363" xr:uid="{32133992-B8DB-432E-9B4E-293C1AA317F0}"/>
    <cellStyle name="Normal 8 2 3 2 2 6 3" xfId="19586" xr:uid="{BD9BD56E-D21C-47E4-B43C-CE5162798E1E}"/>
    <cellStyle name="Normal 8 2 3 2 2 6 4" xfId="28031" xr:uid="{F40FF897-2FF2-4ADF-B578-E75D5F0CC68B}"/>
    <cellStyle name="Normal 8 2 3 2 2 6 5" xfId="11145" xr:uid="{9B6CC4EB-DD8B-40FA-929E-99BFBC939A0A}"/>
    <cellStyle name="Normal 8 2 3 2 2 7" xfId="4856" xr:uid="{00000000-0005-0000-0000-0000A81C0000}"/>
    <cellStyle name="Normal 8 2 3 2 2 7 2" xfId="21739" xr:uid="{0EE1D7A1-F657-47EB-AC8E-F6ED3FA1E034}"/>
    <cellStyle name="Normal 8 2 3 2 2 7 3" xfId="30185" xr:uid="{9B101084-3510-4242-90CB-A833D9B0ED70}"/>
    <cellStyle name="Normal 8 2 3 2 2 7 4" xfId="13298" xr:uid="{8CDB11E2-C059-4978-931B-74176D9F7F01}"/>
    <cellStyle name="Normal 8 2 3 2 2 8" xfId="17521" xr:uid="{46DBE76E-8A44-432A-A3BE-28FCCE666893}"/>
    <cellStyle name="Normal 8 2 3 2 2 9" xfId="25966" xr:uid="{8149399C-AEA3-4E36-A4F9-D0BBCBFB211E}"/>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24296" xr:uid="{D970EB48-3B09-40FF-8DB7-B6ACFC05F830}"/>
    <cellStyle name="Normal 8 2 3 2 3 2 2 3" xfId="32742" xr:uid="{1D2DABF3-B1EE-40F5-925E-AE9FAA4B8862}"/>
    <cellStyle name="Normal 8 2 3 2 3 2 2 4" xfId="15855" xr:uid="{0D169701-F85A-4191-BB09-5E1F3E8BCF28}"/>
    <cellStyle name="Normal 8 2 3 2 3 2 3" xfId="20078" xr:uid="{DAB525E7-565F-4150-9A02-DB8FD3C055A1}"/>
    <cellStyle name="Normal 8 2 3 2 3 2 4" xfId="28525" xr:uid="{380991B9-18D8-44F3-8A87-BCA9F7A64B07}"/>
    <cellStyle name="Normal 8 2 3 2 3 2 5" xfId="11637" xr:uid="{A73023CB-9524-4E77-AF50-A1F1448D7DF0}"/>
    <cellStyle name="Normal 8 2 3 2 3 3" xfId="5268" xr:uid="{00000000-0005-0000-0000-0000AC1C0000}"/>
    <cellStyle name="Normal 8 2 3 2 3 3 2" xfId="22151" xr:uid="{FB4FAA83-D68F-4A7E-86B6-04CE4E3F5BE3}"/>
    <cellStyle name="Normal 8 2 3 2 3 3 3" xfId="30597" xr:uid="{050F58F9-F62C-41DA-A5D6-FC0523BFDCBE}"/>
    <cellStyle name="Normal 8 2 3 2 3 3 4" xfId="13710" xr:uid="{524A789E-EEA2-4471-B808-7FE431BE1531}"/>
    <cellStyle name="Normal 8 2 3 2 3 4" xfId="17933" xr:uid="{88B2640E-77C0-4642-B36F-CA5F10CC9DF0}"/>
    <cellStyle name="Normal 8 2 3 2 3 5" xfId="26378" xr:uid="{5D10D9AE-0517-4495-9CAF-88C08CA9F1DC}"/>
    <cellStyle name="Normal 8 2 3 2 3 6" xfId="9492" xr:uid="{11BBAC3A-6846-45C6-BFBD-8ED4DC708713}"/>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24709" xr:uid="{800B6B00-577A-4AAF-8048-620E69B3DEDE}"/>
    <cellStyle name="Normal 8 2 3 2 4 2 2 3" xfId="33155" xr:uid="{6C18E802-B4B5-4B77-B602-2174C7CFA82E}"/>
    <cellStyle name="Normal 8 2 3 2 4 2 2 4" xfId="16268" xr:uid="{93F6A0F0-BE28-4D40-8A24-12A7A409E931}"/>
    <cellStyle name="Normal 8 2 3 2 4 2 3" xfId="20491" xr:uid="{E1CF29F0-8C6A-4E7A-9451-9A7560CABF5A}"/>
    <cellStyle name="Normal 8 2 3 2 4 2 4" xfId="28938" xr:uid="{B14D075F-1DAE-479D-AB3D-49873BAA8018}"/>
    <cellStyle name="Normal 8 2 3 2 4 2 5" xfId="12050" xr:uid="{C482C0F2-9883-47DA-98C6-58F234A58F64}"/>
    <cellStyle name="Normal 8 2 3 2 4 3" xfId="5681" xr:uid="{00000000-0005-0000-0000-0000B01C0000}"/>
    <cellStyle name="Normal 8 2 3 2 4 3 2" xfId="22564" xr:uid="{7EEA25BC-2B82-4FDC-B886-556E92FC5688}"/>
    <cellStyle name="Normal 8 2 3 2 4 3 3" xfId="31010" xr:uid="{A0E03990-10F2-444C-88F9-F36CD0194A67}"/>
    <cellStyle name="Normal 8 2 3 2 4 3 4" xfId="14123" xr:uid="{16D22214-4C5B-47D2-8115-4C15960D202B}"/>
    <cellStyle name="Normal 8 2 3 2 4 4" xfId="18346" xr:uid="{562DE444-A30E-4755-B7D4-A47C58967EE7}"/>
    <cellStyle name="Normal 8 2 3 2 4 5" xfId="26791" xr:uid="{A58BC245-B3FB-4E6B-A1EC-0F488F3A18B7}"/>
    <cellStyle name="Normal 8 2 3 2 4 6" xfId="9905" xr:uid="{3C3315E2-4B92-4CC6-9F47-B2D2A7D3848E}"/>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25122" xr:uid="{29FAD8D0-E1B4-45F8-83DC-095EA2E486FC}"/>
    <cellStyle name="Normal 8 2 3 2 5 2 2 3" xfId="33568" xr:uid="{60A71DC4-65BD-4106-9EB5-D84B058A79A1}"/>
    <cellStyle name="Normal 8 2 3 2 5 2 2 4" xfId="16681" xr:uid="{FC00CA5A-6621-4B14-8D1C-D721D22124ED}"/>
    <cellStyle name="Normal 8 2 3 2 5 2 3" xfId="20904" xr:uid="{74A79F13-8D72-44AE-B7F6-98450648253E}"/>
    <cellStyle name="Normal 8 2 3 2 5 2 4" xfId="29351" xr:uid="{4E2E18EE-FAA2-456C-B90D-8944BAB4C41E}"/>
    <cellStyle name="Normal 8 2 3 2 5 2 5" xfId="12463" xr:uid="{11682285-52E5-4D8B-8EC1-5839B14B1660}"/>
    <cellStyle name="Normal 8 2 3 2 5 3" xfId="6094" xr:uid="{00000000-0005-0000-0000-0000B41C0000}"/>
    <cellStyle name="Normal 8 2 3 2 5 3 2" xfId="22977" xr:uid="{8F0060D7-17BE-4F68-ACD1-D8563E4C64BC}"/>
    <cellStyle name="Normal 8 2 3 2 5 3 3" xfId="31423" xr:uid="{28BC9E0C-0FDD-439A-AD04-548764B09545}"/>
    <cellStyle name="Normal 8 2 3 2 5 3 4" xfId="14536" xr:uid="{B8EDA54A-8126-4B64-871C-326C40DD92FC}"/>
    <cellStyle name="Normal 8 2 3 2 5 4" xfId="18759" xr:uid="{E901D040-A579-4AB8-9BF4-E3CBBEC74E81}"/>
    <cellStyle name="Normal 8 2 3 2 5 5" xfId="27204" xr:uid="{7D715255-0589-4202-80BA-A95416C2719A}"/>
    <cellStyle name="Normal 8 2 3 2 5 6" xfId="10318" xr:uid="{2B749066-C447-46DF-AB65-0854A9E2577C}"/>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25535" xr:uid="{5B2A28AC-9A8E-4B65-A014-145D72E3CA82}"/>
    <cellStyle name="Normal 8 2 3 2 6 2 2 3" xfId="33981" xr:uid="{F08D7754-D6B6-4B8C-9C89-72A1D2A60381}"/>
    <cellStyle name="Normal 8 2 3 2 6 2 2 4" xfId="17094" xr:uid="{05599DDA-1203-4B24-AE12-6BA136C48A50}"/>
    <cellStyle name="Normal 8 2 3 2 6 2 3" xfId="21317" xr:uid="{A5E98C25-19A0-4B31-9622-33CD94B508DE}"/>
    <cellStyle name="Normal 8 2 3 2 6 2 4" xfId="29764" xr:uid="{2C0D1CA0-E3AE-4466-B426-6120A73067F3}"/>
    <cellStyle name="Normal 8 2 3 2 6 2 5" xfId="12876" xr:uid="{3FDC1243-702E-41D7-BF88-FFE3ED7AA399}"/>
    <cellStyle name="Normal 8 2 3 2 6 3" xfId="6507" xr:uid="{00000000-0005-0000-0000-0000B81C0000}"/>
    <cellStyle name="Normal 8 2 3 2 6 3 2" xfId="23390" xr:uid="{01BA3D68-E8D9-4320-936B-58B525ACC234}"/>
    <cellStyle name="Normal 8 2 3 2 6 3 3" xfId="31836" xr:uid="{7920E571-B5F7-4AC8-A462-A4BDB156E487}"/>
    <cellStyle name="Normal 8 2 3 2 6 3 4" xfId="14949" xr:uid="{93BB5C08-5402-4671-9FCD-78E75D369E3D}"/>
    <cellStyle name="Normal 8 2 3 2 6 4" xfId="19172" xr:uid="{EF3C3F5E-8180-4722-BD81-4E2DC6A09F40}"/>
    <cellStyle name="Normal 8 2 3 2 6 5" xfId="27617" xr:uid="{29BF9875-276D-4968-A223-8CC88BB718DD}"/>
    <cellStyle name="Normal 8 2 3 2 6 6" xfId="10731" xr:uid="{C190FB8B-5D0E-4936-A5ED-CFEB20DFEDAC}"/>
    <cellStyle name="Normal 8 2 3 2 7" xfId="2636" xr:uid="{00000000-0005-0000-0000-0000B91C0000}"/>
    <cellStyle name="Normal 8 2 3 2 7 2" xfId="6920" xr:uid="{00000000-0005-0000-0000-0000BA1C0000}"/>
    <cellStyle name="Normal 8 2 3 2 7 2 2" xfId="23803" xr:uid="{7AA013A9-61BA-4E70-B965-BCD2DF4A814A}"/>
    <cellStyle name="Normal 8 2 3 2 7 2 3" xfId="32249" xr:uid="{3EC10769-E024-4040-8473-D58E526560AB}"/>
    <cellStyle name="Normal 8 2 3 2 7 2 4" xfId="15362" xr:uid="{2B87F227-80F5-420B-949B-A66ACE32FE27}"/>
    <cellStyle name="Normal 8 2 3 2 7 3" xfId="19585" xr:uid="{AE451044-F3B8-46FD-8909-050713DDF406}"/>
    <cellStyle name="Normal 8 2 3 2 7 4" xfId="28030" xr:uid="{FAC76E94-59E2-48BB-B46F-5CDB58B9B720}"/>
    <cellStyle name="Normal 8 2 3 2 7 5" xfId="11144" xr:uid="{781C5FD1-4ADC-4253-A0D4-26059C04BD6C}"/>
    <cellStyle name="Normal 8 2 3 2 8" xfId="4855" xr:uid="{00000000-0005-0000-0000-0000BB1C0000}"/>
    <cellStyle name="Normal 8 2 3 2 8 2" xfId="21738" xr:uid="{71B4D2E2-A3EB-47DA-8F66-2D88B34FCDB4}"/>
    <cellStyle name="Normal 8 2 3 2 8 3" xfId="30184" xr:uid="{4D2E640E-5342-4DD2-BE96-E15C04553477}"/>
    <cellStyle name="Normal 8 2 3 2 8 4" xfId="13297" xr:uid="{920DED4F-6B21-426D-B300-BED5CEFE82D4}"/>
    <cellStyle name="Normal 8 2 3 2 9" xfId="17520" xr:uid="{260A668C-823A-4B8A-AE6F-A76B7A866129}"/>
    <cellStyle name="Normal 8 2 3 3" xfId="491" xr:uid="{00000000-0005-0000-0000-0000BC1C0000}"/>
    <cellStyle name="Normal 8 2 3 3 10" xfId="9081" xr:uid="{02066AC5-93AE-49DF-8D04-DDDF53E0E7A7}"/>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24298" xr:uid="{DF9A7710-F8AE-498D-94BF-A18B4105DE7E}"/>
    <cellStyle name="Normal 8 2 3 3 2 2 2 3" xfId="32744" xr:uid="{83C50132-62E9-40B2-BAC6-F8553E9B61B6}"/>
    <cellStyle name="Normal 8 2 3 3 2 2 2 4" xfId="15857" xr:uid="{F1158AD4-6B4D-4BD9-A735-AD1B03A5E737}"/>
    <cellStyle name="Normal 8 2 3 3 2 2 3" xfId="20080" xr:uid="{CEEF7A44-77E9-46B6-B4E9-8563A515FC84}"/>
    <cellStyle name="Normal 8 2 3 3 2 2 4" xfId="28527" xr:uid="{8F62D01A-FC4D-4268-9506-21FC72EA2589}"/>
    <cellStyle name="Normal 8 2 3 3 2 2 5" xfId="11639" xr:uid="{9224CE60-D9A6-44A7-8C03-E28B19F00ECB}"/>
    <cellStyle name="Normal 8 2 3 3 2 3" xfId="5270" xr:uid="{00000000-0005-0000-0000-0000C01C0000}"/>
    <cellStyle name="Normal 8 2 3 3 2 3 2" xfId="22153" xr:uid="{A75BD752-DC52-43BC-A311-206E95F04C9A}"/>
    <cellStyle name="Normal 8 2 3 3 2 3 3" xfId="30599" xr:uid="{D1395468-EDC0-4F17-B7DA-8C4C8E90CB66}"/>
    <cellStyle name="Normal 8 2 3 3 2 3 4" xfId="13712" xr:uid="{7122B94A-C7D1-4858-B22B-7AF45B5E7702}"/>
    <cellStyle name="Normal 8 2 3 3 2 4" xfId="17935" xr:uid="{5FB540D3-A502-4BAB-A3FB-7B46A2D87A83}"/>
    <cellStyle name="Normal 8 2 3 3 2 5" xfId="26380" xr:uid="{593025AF-1501-4993-9145-F915FC83CEF4}"/>
    <cellStyle name="Normal 8 2 3 3 2 6" xfId="9494" xr:uid="{ABC127D3-EED0-479D-B634-48E7A2F79DAB}"/>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24711" xr:uid="{4FC03DD0-F430-4532-943F-4CB99E523689}"/>
    <cellStyle name="Normal 8 2 3 3 3 2 2 3" xfId="33157" xr:uid="{8AE6CF3D-AF52-47CF-8BE0-63511CF83E2C}"/>
    <cellStyle name="Normal 8 2 3 3 3 2 2 4" xfId="16270" xr:uid="{BB324F9F-CE16-4310-823F-3370F9B7D61D}"/>
    <cellStyle name="Normal 8 2 3 3 3 2 3" xfId="20493" xr:uid="{4531507C-C681-4317-8EEB-F0781147ED96}"/>
    <cellStyle name="Normal 8 2 3 3 3 2 4" xfId="28940" xr:uid="{7C36759C-F7EA-473A-89A4-887DA1DE8436}"/>
    <cellStyle name="Normal 8 2 3 3 3 2 5" xfId="12052" xr:uid="{EAE8906D-8E16-4960-86C4-A63AD6A650F6}"/>
    <cellStyle name="Normal 8 2 3 3 3 3" xfId="5683" xr:uid="{00000000-0005-0000-0000-0000C41C0000}"/>
    <cellStyle name="Normal 8 2 3 3 3 3 2" xfId="22566" xr:uid="{17560452-0BD4-4E69-ADF7-72A8BEC5BB16}"/>
    <cellStyle name="Normal 8 2 3 3 3 3 3" xfId="31012" xr:uid="{94CA9B4D-66DC-4D9F-B48F-5B19AD4840C5}"/>
    <cellStyle name="Normal 8 2 3 3 3 3 4" xfId="14125" xr:uid="{D270C087-BF99-4C1D-8E78-A7B793521928}"/>
    <cellStyle name="Normal 8 2 3 3 3 4" xfId="18348" xr:uid="{0EC9F7A3-8E19-4F45-96E9-9BFC47F1F1BB}"/>
    <cellStyle name="Normal 8 2 3 3 3 5" xfId="26793" xr:uid="{58F25DE1-1744-4C68-99A8-56885E0F3D23}"/>
    <cellStyle name="Normal 8 2 3 3 3 6" xfId="9907" xr:uid="{650900FD-59C0-4F10-8E9D-0412CB1C59FB}"/>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25124" xr:uid="{F6300BF3-DC6A-448D-B491-1248E8296986}"/>
    <cellStyle name="Normal 8 2 3 3 4 2 2 3" xfId="33570" xr:uid="{10F1E2B7-32C5-4EF7-B61E-3B836C871907}"/>
    <cellStyle name="Normal 8 2 3 3 4 2 2 4" xfId="16683" xr:uid="{6223CFA7-7915-44FE-BE12-CED07D9D0C2C}"/>
    <cellStyle name="Normal 8 2 3 3 4 2 3" xfId="20906" xr:uid="{2F061087-B759-4A23-9EBD-21C48C1AB6C7}"/>
    <cellStyle name="Normal 8 2 3 3 4 2 4" xfId="29353" xr:uid="{42FE015E-B1E5-4BF3-ABCB-3E17656C3FD7}"/>
    <cellStyle name="Normal 8 2 3 3 4 2 5" xfId="12465" xr:uid="{C99F10CE-0B5E-4106-B221-127ACB522724}"/>
    <cellStyle name="Normal 8 2 3 3 4 3" xfId="6096" xr:uid="{00000000-0005-0000-0000-0000C81C0000}"/>
    <cellStyle name="Normal 8 2 3 3 4 3 2" xfId="22979" xr:uid="{73670D55-3F5D-489F-91C1-14322DC84955}"/>
    <cellStyle name="Normal 8 2 3 3 4 3 3" xfId="31425" xr:uid="{E09A6C3B-EB53-421D-A5E6-E152C211B53D}"/>
    <cellStyle name="Normal 8 2 3 3 4 3 4" xfId="14538" xr:uid="{38F1EE17-DFED-4D08-B134-855E3886A68C}"/>
    <cellStyle name="Normal 8 2 3 3 4 4" xfId="18761" xr:uid="{9EF2BA45-4DD6-4BEC-86FD-1622B4A4EDE7}"/>
    <cellStyle name="Normal 8 2 3 3 4 5" xfId="27206" xr:uid="{FD616C92-0C41-4CDB-8D05-81FF4CFE634A}"/>
    <cellStyle name="Normal 8 2 3 3 4 6" xfId="10320" xr:uid="{4479E4B9-2781-4E4A-BF9F-27D9B9CD69C6}"/>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25537" xr:uid="{CE52F6DB-9822-4CB5-956E-426123655977}"/>
    <cellStyle name="Normal 8 2 3 3 5 2 2 3" xfId="33983" xr:uid="{41ECFF2A-897B-4E94-BEF0-4F161F4FB084}"/>
    <cellStyle name="Normal 8 2 3 3 5 2 2 4" xfId="17096" xr:uid="{4B6289D4-5443-49D2-BC7F-842C0F158C9F}"/>
    <cellStyle name="Normal 8 2 3 3 5 2 3" xfId="21319" xr:uid="{E87C46A9-B4AA-45A1-839C-E7537D9A9FE5}"/>
    <cellStyle name="Normal 8 2 3 3 5 2 4" xfId="29766" xr:uid="{92D8CE6A-A06A-4FD7-B647-7D57C2E6F030}"/>
    <cellStyle name="Normal 8 2 3 3 5 2 5" xfId="12878" xr:uid="{AE105934-657F-4C9E-86B6-88FA8677FD5D}"/>
    <cellStyle name="Normal 8 2 3 3 5 3" xfId="6509" xr:uid="{00000000-0005-0000-0000-0000CC1C0000}"/>
    <cellStyle name="Normal 8 2 3 3 5 3 2" xfId="23392" xr:uid="{419ACCD8-0F84-4A4E-8940-B3D66603077A}"/>
    <cellStyle name="Normal 8 2 3 3 5 3 3" xfId="31838" xr:uid="{6E1DE66D-18AF-4447-99A9-F2F036D5BAD7}"/>
    <cellStyle name="Normal 8 2 3 3 5 3 4" xfId="14951" xr:uid="{CAE8EE2A-A564-4BCD-9F3B-3EC102EFDD7C}"/>
    <cellStyle name="Normal 8 2 3 3 5 4" xfId="19174" xr:uid="{46DDB3FE-8E57-47A9-B0DF-5F357ECAD9BC}"/>
    <cellStyle name="Normal 8 2 3 3 5 5" xfId="27619" xr:uid="{5535DACE-B94B-4630-8580-47296A299095}"/>
    <cellStyle name="Normal 8 2 3 3 5 6" xfId="10733" xr:uid="{BA334853-C12D-4A0D-9C3D-1EDCADA57693}"/>
    <cellStyle name="Normal 8 2 3 3 6" xfId="2638" xr:uid="{00000000-0005-0000-0000-0000CD1C0000}"/>
    <cellStyle name="Normal 8 2 3 3 6 2" xfId="6922" xr:uid="{00000000-0005-0000-0000-0000CE1C0000}"/>
    <cellStyle name="Normal 8 2 3 3 6 2 2" xfId="23805" xr:uid="{4EB0FA38-EC18-4444-8F5D-FBF9A4EF00DC}"/>
    <cellStyle name="Normal 8 2 3 3 6 2 3" xfId="32251" xr:uid="{2CAD70C9-2A8A-4EAB-8C56-778D664B656E}"/>
    <cellStyle name="Normal 8 2 3 3 6 2 4" xfId="15364" xr:uid="{E04DC8BA-EB54-4E62-8B0C-A7E29A22779F}"/>
    <cellStyle name="Normal 8 2 3 3 6 3" xfId="19587" xr:uid="{5095A861-4166-42D7-95FC-D9B0999E9B8A}"/>
    <cellStyle name="Normal 8 2 3 3 6 4" xfId="28032" xr:uid="{207D0014-E4B5-44AE-BA60-044BE605303E}"/>
    <cellStyle name="Normal 8 2 3 3 6 5" xfId="11146" xr:uid="{15AC3E8B-C8F9-430C-B829-16E9CAF8B927}"/>
    <cellStyle name="Normal 8 2 3 3 7" xfId="4857" xr:uid="{00000000-0005-0000-0000-0000CF1C0000}"/>
    <cellStyle name="Normal 8 2 3 3 7 2" xfId="21740" xr:uid="{8F47EC3D-1E06-4ED6-84D9-B422661C6A1D}"/>
    <cellStyle name="Normal 8 2 3 3 7 3" xfId="30186" xr:uid="{A0E8C115-BD11-45A5-855E-E536F7F2A4BB}"/>
    <cellStyle name="Normal 8 2 3 3 7 4" xfId="13299" xr:uid="{BF45214D-EB11-4946-A012-58CA374F9DAA}"/>
    <cellStyle name="Normal 8 2 3 3 8" xfId="17522" xr:uid="{72B0CC13-0562-4A70-9FEB-39917AB85AB0}"/>
    <cellStyle name="Normal 8 2 3 3 9" xfId="25967" xr:uid="{694CEE7D-571D-4B29-AFEF-DCCAD1B87DF9}"/>
    <cellStyle name="Normal 8 2 3 4" xfId="955" xr:uid="{00000000-0005-0000-0000-0000D01C0000}"/>
    <cellStyle name="Normal 8 2 3 4 2" xfId="3189" xr:uid="{00000000-0005-0000-0000-0000D11C0000}"/>
    <cellStyle name="Normal 8 2 3 4 2 2" xfId="7412" xr:uid="{00000000-0005-0000-0000-0000D21C0000}"/>
    <cellStyle name="Normal 8 2 3 4 2 2 2" xfId="24295" xr:uid="{9E3EADC7-44D2-42DC-AED4-774AA5EB1352}"/>
    <cellStyle name="Normal 8 2 3 4 2 2 3" xfId="32741" xr:uid="{1E7CA211-1369-471B-9BDB-B7C5B97AE1F9}"/>
    <cellStyle name="Normal 8 2 3 4 2 2 4" xfId="15854" xr:uid="{7308E00F-FEA7-4F10-941F-774F607EE15A}"/>
    <cellStyle name="Normal 8 2 3 4 2 3" xfId="20077" xr:uid="{55238FB5-1157-4DF1-9470-E01012284D67}"/>
    <cellStyle name="Normal 8 2 3 4 2 4" xfId="28524" xr:uid="{A56293FF-48B0-429A-8D03-D821B5D2C2F0}"/>
    <cellStyle name="Normal 8 2 3 4 2 5" xfId="11636" xr:uid="{D78A795D-86F6-40AF-8B39-2606168EFFCC}"/>
    <cellStyle name="Normal 8 2 3 4 3" xfId="5267" xr:uid="{00000000-0005-0000-0000-0000D31C0000}"/>
    <cellStyle name="Normal 8 2 3 4 3 2" xfId="22150" xr:uid="{DF3CDD44-5A62-4135-BA59-9255CF567857}"/>
    <cellStyle name="Normal 8 2 3 4 3 3" xfId="30596" xr:uid="{6DAB04A1-A5EE-48FD-A678-1ED166B6C835}"/>
    <cellStyle name="Normal 8 2 3 4 3 4" xfId="13709" xr:uid="{B18BB4ED-377E-4628-8792-EDCDD35D8D49}"/>
    <cellStyle name="Normal 8 2 3 4 4" xfId="17932" xr:uid="{AB376E9B-205E-436A-BF38-91181ECF21CB}"/>
    <cellStyle name="Normal 8 2 3 4 5" xfId="26377" xr:uid="{5A9BE55B-31FB-45BB-8F0A-3DE85B490A73}"/>
    <cellStyle name="Normal 8 2 3 4 6" xfId="9491" xr:uid="{24F01687-468B-4F8C-9F52-6ED67448EB40}"/>
    <cellStyle name="Normal 8 2 3 5" xfId="1372" xr:uid="{00000000-0005-0000-0000-0000D41C0000}"/>
    <cellStyle name="Normal 8 2 3 5 2" xfId="3602" xr:uid="{00000000-0005-0000-0000-0000D51C0000}"/>
    <cellStyle name="Normal 8 2 3 5 2 2" xfId="7825" xr:uid="{00000000-0005-0000-0000-0000D61C0000}"/>
    <cellStyle name="Normal 8 2 3 5 2 2 2" xfId="24708" xr:uid="{11A9F483-C482-414B-8DC8-A01304E79EFE}"/>
    <cellStyle name="Normal 8 2 3 5 2 2 3" xfId="33154" xr:uid="{0E53B7A8-F4A5-49B4-B4B5-46D5735F5F83}"/>
    <cellStyle name="Normal 8 2 3 5 2 2 4" xfId="16267" xr:uid="{DD79A627-FACB-4CF9-903F-DDEB07840AD5}"/>
    <cellStyle name="Normal 8 2 3 5 2 3" xfId="20490" xr:uid="{1CED7037-0E43-41D8-B31F-301292883874}"/>
    <cellStyle name="Normal 8 2 3 5 2 4" xfId="28937" xr:uid="{6ED2FD68-E053-4FC2-86EA-B72CC290092D}"/>
    <cellStyle name="Normal 8 2 3 5 2 5" xfId="12049" xr:uid="{13D0021F-C4EB-42CD-AC1D-648BB8985080}"/>
    <cellStyle name="Normal 8 2 3 5 3" xfId="5680" xr:uid="{00000000-0005-0000-0000-0000D71C0000}"/>
    <cellStyle name="Normal 8 2 3 5 3 2" xfId="22563" xr:uid="{9F594C0B-D692-434C-9F5F-C10CE26ECFA4}"/>
    <cellStyle name="Normal 8 2 3 5 3 3" xfId="31009" xr:uid="{0A1E6D89-4848-4FE7-8D01-D508023EC0F5}"/>
    <cellStyle name="Normal 8 2 3 5 3 4" xfId="14122" xr:uid="{3EC83490-1BBA-42FA-9E29-7086AF733D6C}"/>
    <cellStyle name="Normal 8 2 3 5 4" xfId="18345" xr:uid="{11B3F647-506D-4C94-B272-D9487658492D}"/>
    <cellStyle name="Normal 8 2 3 5 5" xfId="26790" xr:uid="{20F896EC-059B-476F-A7A4-1212820F8975}"/>
    <cellStyle name="Normal 8 2 3 5 6" xfId="9904" xr:uid="{9ED7CEED-9C1D-4A90-B7A4-277F4C8D1650}"/>
    <cellStyle name="Normal 8 2 3 6" xfId="1785" xr:uid="{00000000-0005-0000-0000-0000D81C0000}"/>
    <cellStyle name="Normal 8 2 3 6 2" xfId="4015" xr:uid="{00000000-0005-0000-0000-0000D91C0000}"/>
    <cellStyle name="Normal 8 2 3 6 2 2" xfId="8238" xr:uid="{00000000-0005-0000-0000-0000DA1C0000}"/>
    <cellStyle name="Normal 8 2 3 6 2 2 2" xfId="25121" xr:uid="{0BC49E1C-AC35-472F-8BC0-9455820B041E}"/>
    <cellStyle name="Normal 8 2 3 6 2 2 3" xfId="33567" xr:uid="{E4C931B4-DE8A-4789-A23F-30F1D2ECFCCB}"/>
    <cellStyle name="Normal 8 2 3 6 2 2 4" xfId="16680" xr:uid="{DFF9ED7E-7CFB-4933-8513-C00030C45620}"/>
    <cellStyle name="Normal 8 2 3 6 2 3" xfId="20903" xr:uid="{FFADC08D-B416-43CA-86D7-078047767403}"/>
    <cellStyle name="Normal 8 2 3 6 2 4" xfId="29350" xr:uid="{F18D6787-DCB5-49EB-847F-21E7BA1F5583}"/>
    <cellStyle name="Normal 8 2 3 6 2 5" xfId="12462" xr:uid="{4159E92F-EC96-4CC5-9D72-F4576556FC43}"/>
    <cellStyle name="Normal 8 2 3 6 3" xfId="6093" xr:uid="{00000000-0005-0000-0000-0000DB1C0000}"/>
    <cellStyle name="Normal 8 2 3 6 3 2" xfId="22976" xr:uid="{87FA4C2B-F346-4277-8544-EB00C25B12CC}"/>
    <cellStyle name="Normal 8 2 3 6 3 3" xfId="31422" xr:uid="{52B78A92-DFC7-44C0-A43D-9DA5498DC73A}"/>
    <cellStyle name="Normal 8 2 3 6 3 4" xfId="14535" xr:uid="{248BBA3A-E174-47DA-9BD3-4C9F39236BAD}"/>
    <cellStyle name="Normal 8 2 3 6 4" xfId="18758" xr:uid="{49959D06-476B-4CB1-9EF4-2472CB13E563}"/>
    <cellStyle name="Normal 8 2 3 6 5" xfId="27203" xr:uid="{D007918F-6746-4183-B044-8A7E133A35A4}"/>
    <cellStyle name="Normal 8 2 3 6 6" xfId="10317" xr:uid="{1F8169D8-0262-48FD-84F9-FA438D2F027A}"/>
    <cellStyle name="Normal 8 2 3 7" xfId="2199" xr:uid="{00000000-0005-0000-0000-0000DC1C0000}"/>
    <cellStyle name="Normal 8 2 3 7 2" xfId="4428" xr:uid="{00000000-0005-0000-0000-0000DD1C0000}"/>
    <cellStyle name="Normal 8 2 3 7 2 2" xfId="8651" xr:uid="{00000000-0005-0000-0000-0000DE1C0000}"/>
    <cellStyle name="Normal 8 2 3 7 2 2 2" xfId="25534" xr:uid="{14684A29-4F0F-405D-9B73-837AB018659A}"/>
    <cellStyle name="Normal 8 2 3 7 2 2 3" xfId="33980" xr:uid="{F57AB8D2-65FC-4EFB-A09B-7E7F2C0B5ED6}"/>
    <cellStyle name="Normal 8 2 3 7 2 2 4" xfId="17093" xr:uid="{8B5D4240-8007-4D21-A141-61CD7F0FF896}"/>
    <cellStyle name="Normal 8 2 3 7 2 3" xfId="21316" xr:uid="{4484E830-4FFF-48A4-952B-A7B1DFA30AFB}"/>
    <cellStyle name="Normal 8 2 3 7 2 4" xfId="29763" xr:uid="{2AE15295-B92E-4AB7-A805-78F013F90299}"/>
    <cellStyle name="Normal 8 2 3 7 2 5" xfId="12875" xr:uid="{DAC51FE2-10FE-4875-A2D0-6C2FB811A81C}"/>
    <cellStyle name="Normal 8 2 3 7 3" xfId="6506" xr:uid="{00000000-0005-0000-0000-0000DF1C0000}"/>
    <cellStyle name="Normal 8 2 3 7 3 2" xfId="23389" xr:uid="{696B6CC9-B304-4E89-8A06-7A8C7351C722}"/>
    <cellStyle name="Normal 8 2 3 7 3 3" xfId="31835" xr:uid="{726856EA-107E-4458-A28C-A115E01DE734}"/>
    <cellStyle name="Normal 8 2 3 7 3 4" xfId="14948" xr:uid="{A0EC8D31-9BAB-41C8-BCEF-F9CFCC47356A}"/>
    <cellStyle name="Normal 8 2 3 7 4" xfId="19171" xr:uid="{51FE5A2A-5C66-4F4A-9709-F15860AFD7FF}"/>
    <cellStyle name="Normal 8 2 3 7 5" xfId="27616" xr:uid="{CA7A7FB5-3AF1-4F75-8303-D2322BE2074B}"/>
    <cellStyle name="Normal 8 2 3 7 6" xfId="10730" xr:uid="{2E341BAC-36AE-47A0-B705-4959D47D404F}"/>
    <cellStyle name="Normal 8 2 3 8" xfId="2635" xr:uid="{00000000-0005-0000-0000-0000E01C0000}"/>
    <cellStyle name="Normal 8 2 3 8 2" xfId="6919" xr:uid="{00000000-0005-0000-0000-0000E11C0000}"/>
    <cellStyle name="Normal 8 2 3 8 2 2" xfId="23802" xr:uid="{B0477109-B24E-4D51-955D-102A7A97222A}"/>
    <cellStyle name="Normal 8 2 3 8 2 3" xfId="32248" xr:uid="{B159A55C-249E-4C8B-81F6-206A4A7E65C1}"/>
    <cellStyle name="Normal 8 2 3 8 2 4" xfId="15361" xr:uid="{481A73E9-33BC-4F2C-ABFE-02F5824F15D0}"/>
    <cellStyle name="Normal 8 2 3 8 3" xfId="19584" xr:uid="{BC22D498-F2B0-4415-BEB8-7CF8C25E3434}"/>
    <cellStyle name="Normal 8 2 3 8 4" xfId="28029" xr:uid="{D819AD61-4A39-4796-BA7A-DFC4F3061CDF}"/>
    <cellStyle name="Normal 8 2 3 8 5" xfId="11143" xr:uid="{5DBF88CB-88AE-450D-981A-43F43E7BFF9C}"/>
    <cellStyle name="Normal 8 2 3 9" xfId="4854" xr:uid="{00000000-0005-0000-0000-0000E21C0000}"/>
    <cellStyle name="Normal 8 2 3 9 2" xfId="21737" xr:uid="{4DD7409A-A3A0-4B1A-8A48-14512FFCB54F}"/>
    <cellStyle name="Normal 8 2 3 9 3" xfId="30183" xr:uid="{BCEF82EC-4BEE-4178-98B6-73EE98AE91BE}"/>
    <cellStyle name="Normal 8 2 3 9 4" xfId="13296" xr:uid="{805B7E53-C89D-4E6C-A06B-285230B83260}"/>
    <cellStyle name="Normal 8 2 4" xfId="492" xr:uid="{00000000-0005-0000-0000-0000E31C0000}"/>
    <cellStyle name="Normal 8 2 4 10" xfId="25968" xr:uid="{D6373114-4B4B-44B2-885E-F8E2E82B6BBA}"/>
    <cellStyle name="Normal 8 2 4 11" xfId="9082" xr:uid="{5B8FC387-B5C2-4B6E-B9D4-E7271F528B69}"/>
    <cellStyle name="Normal 8 2 4 2" xfId="493" xr:uid="{00000000-0005-0000-0000-0000E41C0000}"/>
    <cellStyle name="Normal 8 2 4 2 10" xfId="9083" xr:uid="{B32F998D-5B8E-4B9D-B3A1-54B5DA3A6E1F}"/>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24300" xr:uid="{4A16B6D5-EBAC-4C1A-A0C1-868FABF73DCB}"/>
    <cellStyle name="Normal 8 2 4 2 2 2 2 3" xfId="32746" xr:uid="{87231129-1D70-4836-B818-317FB21D51D1}"/>
    <cellStyle name="Normal 8 2 4 2 2 2 2 4" xfId="15859" xr:uid="{0D0F87AD-21FE-4FCA-8C2A-69BDF5056D39}"/>
    <cellStyle name="Normal 8 2 4 2 2 2 3" xfId="20082" xr:uid="{FCBA7094-EA71-400C-BEC2-F0244FDB4B37}"/>
    <cellStyle name="Normal 8 2 4 2 2 2 4" xfId="28529" xr:uid="{EF8C5A42-44A4-4564-995C-7111F99D8F1C}"/>
    <cellStyle name="Normal 8 2 4 2 2 2 5" xfId="11641" xr:uid="{DAB38454-447D-404E-BED0-52806A57C0A1}"/>
    <cellStyle name="Normal 8 2 4 2 2 3" xfId="5272" xr:uid="{00000000-0005-0000-0000-0000E81C0000}"/>
    <cellStyle name="Normal 8 2 4 2 2 3 2" xfId="22155" xr:uid="{093240D2-DE90-4EFC-BF01-9BABD66926AB}"/>
    <cellStyle name="Normal 8 2 4 2 2 3 3" xfId="30601" xr:uid="{45ED521A-BEA9-4856-A2D0-3F5AC2AFEDAA}"/>
    <cellStyle name="Normal 8 2 4 2 2 3 4" xfId="13714" xr:uid="{B36FE54E-A6F0-4465-9941-71C7BDC8A9E5}"/>
    <cellStyle name="Normal 8 2 4 2 2 4" xfId="17937" xr:uid="{5101D1C6-4D28-43BD-939F-1F1D5A62A5D1}"/>
    <cellStyle name="Normal 8 2 4 2 2 5" xfId="26382" xr:uid="{8FA622FE-A095-484B-A79B-D373BDEC60BF}"/>
    <cellStyle name="Normal 8 2 4 2 2 6" xfId="9496" xr:uid="{3D7C7625-9C28-4761-939F-5BD546D7D65E}"/>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24713" xr:uid="{782ABE1A-EE64-447F-BF78-F633F5BFE08F}"/>
    <cellStyle name="Normal 8 2 4 2 3 2 2 3" xfId="33159" xr:uid="{451B6BB9-129A-401F-A7D3-246B9168F960}"/>
    <cellStyle name="Normal 8 2 4 2 3 2 2 4" xfId="16272" xr:uid="{09AAA0D4-2709-4608-B074-DF85A8DB6B02}"/>
    <cellStyle name="Normal 8 2 4 2 3 2 3" xfId="20495" xr:uid="{E5006356-8310-41DD-A451-75EB7C0FCDB0}"/>
    <cellStyle name="Normal 8 2 4 2 3 2 4" xfId="28942" xr:uid="{BC6E6359-852A-40F1-9AFF-233A3CE14AB9}"/>
    <cellStyle name="Normal 8 2 4 2 3 2 5" xfId="12054" xr:uid="{D87F746B-EEDB-465E-B1B9-BC6AB12DBBE6}"/>
    <cellStyle name="Normal 8 2 4 2 3 3" xfId="5685" xr:uid="{00000000-0005-0000-0000-0000EC1C0000}"/>
    <cellStyle name="Normal 8 2 4 2 3 3 2" xfId="22568" xr:uid="{717C1787-D3C7-4B65-A14A-80F4342A29D7}"/>
    <cellStyle name="Normal 8 2 4 2 3 3 3" xfId="31014" xr:uid="{ADB1F4D1-8124-400B-BB52-977CB80F64B0}"/>
    <cellStyle name="Normal 8 2 4 2 3 3 4" xfId="14127" xr:uid="{3692E5AB-F1FA-4266-9057-A0C0DB390555}"/>
    <cellStyle name="Normal 8 2 4 2 3 4" xfId="18350" xr:uid="{ED3B7248-CD24-44BF-95E5-D6FC5006A4A5}"/>
    <cellStyle name="Normal 8 2 4 2 3 5" xfId="26795" xr:uid="{5822E9EA-773D-4F79-8935-9B15F0AE6AFA}"/>
    <cellStyle name="Normal 8 2 4 2 3 6" xfId="9909" xr:uid="{6B22BEED-69AC-41E4-A3BE-A9D32F8B0513}"/>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25126" xr:uid="{247B00C8-E2E0-4BE9-9C43-8390C9E92EB1}"/>
    <cellStyle name="Normal 8 2 4 2 4 2 2 3" xfId="33572" xr:uid="{1DCCB0E7-EDCB-4425-8B5D-8A490BCD9F97}"/>
    <cellStyle name="Normal 8 2 4 2 4 2 2 4" xfId="16685" xr:uid="{3B010570-371B-42BB-A94A-FED9FC8180F7}"/>
    <cellStyle name="Normal 8 2 4 2 4 2 3" xfId="20908" xr:uid="{DDB126D4-F8A9-45D7-B1CC-3F1EB14517BC}"/>
    <cellStyle name="Normal 8 2 4 2 4 2 4" xfId="29355" xr:uid="{C852B7AE-A8B9-47D9-96CB-1C4D84F6270A}"/>
    <cellStyle name="Normal 8 2 4 2 4 2 5" xfId="12467" xr:uid="{B12C3B22-564C-4E2E-99C2-0AC71BE2C7F1}"/>
    <cellStyle name="Normal 8 2 4 2 4 3" xfId="6098" xr:uid="{00000000-0005-0000-0000-0000F01C0000}"/>
    <cellStyle name="Normal 8 2 4 2 4 3 2" xfId="22981" xr:uid="{A7D6F33B-E8C7-48C2-80E7-26BA03434DD9}"/>
    <cellStyle name="Normal 8 2 4 2 4 3 3" xfId="31427" xr:uid="{2CB67DCB-9025-45FD-B2BF-C144EE3F44E4}"/>
    <cellStyle name="Normal 8 2 4 2 4 3 4" xfId="14540" xr:uid="{5C00D622-E939-442B-B642-A42D275CF9F4}"/>
    <cellStyle name="Normal 8 2 4 2 4 4" xfId="18763" xr:uid="{43D1B28F-F556-48B7-8FE5-91878243C63E}"/>
    <cellStyle name="Normal 8 2 4 2 4 5" xfId="27208" xr:uid="{50618143-0A7A-41D3-9D26-2D6E0FF06589}"/>
    <cellStyle name="Normal 8 2 4 2 4 6" xfId="10322" xr:uid="{13F24555-1C5F-42E6-B2AA-54DE7C1C0933}"/>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25539" xr:uid="{EA2D378D-30D8-49FF-BFBA-5EC5CEBC29F1}"/>
    <cellStyle name="Normal 8 2 4 2 5 2 2 3" xfId="33985" xr:uid="{A87C7E74-4C38-46BA-96B4-8126B181873C}"/>
    <cellStyle name="Normal 8 2 4 2 5 2 2 4" xfId="17098" xr:uid="{67722007-ED85-465C-AE7F-8366DDD67064}"/>
    <cellStyle name="Normal 8 2 4 2 5 2 3" xfId="21321" xr:uid="{6C358369-2F56-4223-A6CE-54420798B231}"/>
    <cellStyle name="Normal 8 2 4 2 5 2 4" xfId="29768" xr:uid="{7E0CF98A-852B-4742-878D-0268B76E3F6E}"/>
    <cellStyle name="Normal 8 2 4 2 5 2 5" xfId="12880" xr:uid="{9F234C63-31D8-4D2C-A078-B92AE387602A}"/>
    <cellStyle name="Normal 8 2 4 2 5 3" xfId="6511" xr:uid="{00000000-0005-0000-0000-0000F41C0000}"/>
    <cellStyle name="Normal 8 2 4 2 5 3 2" xfId="23394" xr:uid="{4FE7B3D5-C0D8-4B08-A9D2-450E08411055}"/>
    <cellStyle name="Normal 8 2 4 2 5 3 3" xfId="31840" xr:uid="{74F00810-631D-4BCD-9955-ACD84B78BECD}"/>
    <cellStyle name="Normal 8 2 4 2 5 3 4" xfId="14953" xr:uid="{59CCD198-BD88-4C3E-BD79-4DB32C0D3C1B}"/>
    <cellStyle name="Normal 8 2 4 2 5 4" xfId="19176" xr:uid="{BF2F3E65-44DF-4602-A3A3-B506F6667BF9}"/>
    <cellStyle name="Normal 8 2 4 2 5 5" xfId="27621" xr:uid="{2F2C5360-6EB0-4606-851B-C710525A37B7}"/>
    <cellStyle name="Normal 8 2 4 2 5 6" xfId="10735" xr:uid="{16FFFDD8-2488-4085-862D-5A45C4D56F15}"/>
    <cellStyle name="Normal 8 2 4 2 6" xfId="2640" xr:uid="{00000000-0005-0000-0000-0000F51C0000}"/>
    <cellStyle name="Normal 8 2 4 2 6 2" xfId="6924" xr:uid="{00000000-0005-0000-0000-0000F61C0000}"/>
    <cellStyle name="Normal 8 2 4 2 6 2 2" xfId="23807" xr:uid="{713057CD-6D5D-4B8D-8897-CDF6FAFF7681}"/>
    <cellStyle name="Normal 8 2 4 2 6 2 3" xfId="32253" xr:uid="{1A5C137F-8205-4645-95F7-2E152C5F1EF5}"/>
    <cellStyle name="Normal 8 2 4 2 6 2 4" xfId="15366" xr:uid="{7C82976C-D408-44DC-B222-FD1637EF83AF}"/>
    <cellStyle name="Normal 8 2 4 2 6 3" xfId="19589" xr:uid="{910E36E6-88E8-4A39-ABF2-7F9DE749F573}"/>
    <cellStyle name="Normal 8 2 4 2 6 4" xfId="28034" xr:uid="{1A99E679-9561-42B0-A83E-26E9A3B57A87}"/>
    <cellStyle name="Normal 8 2 4 2 6 5" xfId="11148" xr:uid="{2911302E-04EC-4573-A3BC-B1AD35A6DC96}"/>
    <cellStyle name="Normal 8 2 4 2 7" xfId="4859" xr:uid="{00000000-0005-0000-0000-0000F71C0000}"/>
    <cellStyle name="Normal 8 2 4 2 7 2" xfId="21742" xr:uid="{40A7717E-803B-4B0C-8DC4-BE3F0A26BC56}"/>
    <cellStyle name="Normal 8 2 4 2 7 3" xfId="30188" xr:uid="{30BBF213-6A76-4FE6-8D7D-A76016F0DC3D}"/>
    <cellStyle name="Normal 8 2 4 2 7 4" xfId="13301" xr:uid="{7F719523-74A5-45DF-B58F-275EDA10CF7A}"/>
    <cellStyle name="Normal 8 2 4 2 8" xfId="17524" xr:uid="{2EBFAA2B-57F6-497A-9678-188A3AEEE9D1}"/>
    <cellStyle name="Normal 8 2 4 2 9" xfId="25969" xr:uid="{D74629D9-3E2B-456A-BDEA-1F360B58D8A7}"/>
    <cellStyle name="Normal 8 2 4 3" xfId="959" xr:uid="{00000000-0005-0000-0000-0000F81C0000}"/>
    <cellStyle name="Normal 8 2 4 3 2" xfId="3193" xr:uid="{00000000-0005-0000-0000-0000F91C0000}"/>
    <cellStyle name="Normal 8 2 4 3 2 2" xfId="7416" xr:uid="{00000000-0005-0000-0000-0000FA1C0000}"/>
    <cellStyle name="Normal 8 2 4 3 2 2 2" xfId="24299" xr:uid="{84581E03-78DB-4246-A295-A28D406224F2}"/>
    <cellStyle name="Normal 8 2 4 3 2 2 3" xfId="32745" xr:uid="{1FAF2A19-F32D-4286-B053-A754F124BEB4}"/>
    <cellStyle name="Normal 8 2 4 3 2 2 4" xfId="15858" xr:uid="{4F2914C5-6E73-4142-A31E-C47D33F7A0AF}"/>
    <cellStyle name="Normal 8 2 4 3 2 3" xfId="20081" xr:uid="{A8DA6BCE-0DAF-4618-8EBD-0B25D276AB30}"/>
    <cellStyle name="Normal 8 2 4 3 2 4" xfId="28528" xr:uid="{5DA40CE9-B6C5-4D03-AF1E-7F6045FFF366}"/>
    <cellStyle name="Normal 8 2 4 3 2 5" xfId="11640" xr:uid="{37A523FD-7D31-43DB-AA5E-2115CBD57184}"/>
    <cellStyle name="Normal 8 2 4 3 3" xfId="5271" xr:uid="{00000000-0005-0000-0000-0000FB1C0000}"/>
    <cellStyle name="Normal 8 2 4 3 3 2" xfId="22154" xr:uid="{CD641532-6731-4814-844C-47B2E23E81D7}"/>
    <cellStyle name="Normal 8 2 4 3 3 3" xfId="30600" xr:uid="{F468983A-645C-4343-BCEE-36BEC06A4AE4}"/>
    <cellStyle name="Normal 8 2 4 3 3 4" xfId="13713" xr:uid="{25AD9AC9-5B6C-4031-9339-FBBF0732E6DA}"/>
    <cellStyle name="Normal 8 2 4 3 4" xfId="17936" xr:uid="{710033B8-0F23-4664-BBC6-7AEB8131D93D}"/>
    <cellStyle name="Normal 8 2 4 3 5" xfId="26381" xr:uid="{62B1AB2B-B1B5-429F-B9AB-AB9A9A5C17F3}"/>
    <cellStyle name="Normal 8 2 4 3 6" xfId="9495" xr:uid="{FDD61442-5E4F-43A7-AF5E-26E0996D0D40}"/>
    <cellStyle name="Normal 8 2 4 4" xfId="1376" xr:uid="{00000000-0005-0000-0000-0000FC1C0000}"/>
    <cellStyle name="Normal 8 2 4 4 2" xfId="3606" xr:uid="{00000000-0005-0000-0000-0000FD1C0000}"/>
    <cellStyle name="Normal 8 2 4 4 2 2" xfId="7829" xr:uid="{00000000-0005-0000-0000-0000FE1C0000}"/>
    <cellStyle name="Normal 8 2 4 4 2 2 2" xfId="24712" xr:uid="{09D1F355-AA54-4901-8C53-3525CE1185E5}"/>
    <cellStyle name="Normal 8 2 4 4 2 2 3" xfId="33158" xr:uid="{0DE028A3-63C9-4E1D-965A-01051027E3A4}"/>
    <cellStyle name="Normal 8 2 4 4 2 2 4" xfId="16271" xr:uid="{36A35288-12BF-4004-90FE-265CD257EEE8}"/>
    <cellStyle name="Normal 8 2 4 4 2 3" xfId="20494" xr:uid="{10721A2E-742D-4B24-AED8-B167D97BE2B8}"/>
    <cellStyle name="Normal 8 2 4 4 2 4" xfId="28941" xr:uid="{6C46A445-DA8E-473B-992C-FAD841C2F31A}"/>
    <cellStyle name="Normal 8 2 4 4 2 5" xfId="12053" xr:uid="{1270C676-B336-450F-842A-6264EBCE3A8E}"/>
    <cellStyle name="Normal 8 2 4 4 3" xfId="5684" xr:uid="{00000000-0005-0000-0000-0000FF1C0000}"/>
    <cellStyle name="Normal 8 2 4 4 3 2" xfId="22567" xr:uid="{DD59C337-C031-48AD-8576-1CFDA83EC2FC}"/>
    <cellStyle name="Normal 8 2 4 4 3 3" xfId="31013" xr:uid="{A591D3AB-BB72-4130-9F03-EEA3E9B3BC53}"/>
    <cellStyle name="Normal 8 2 4 4 3 4" xfId="14126" xr:uid="{F5C336F9-1F62-46A3-B508-227DE49A096F}"/>
    <cellStyle name="Normal 8 2 4 4 4" xfId="18349" xr:uid="{3CDC872D-1822-4A6C-B1C1-49FD633B8387}"/>
    <cellStyle name="Normal 8 2 4 4 5" xfId="26794" xr:uid="{93AE1856-9AA7-406C-91C6-B7409F9DBADA}"/>
    <cellStyle name="Normal 8 2 4 4 6" xfId="9908" xr:uid="{45725AA3-8F91-415C-AAF0-A2F78E41289C}"/>
    <cellStyle name="Normal 8 2 4 5" xfId="1789" xr:uid="{00000000-0005-0000-0000-0000001D0000}"/>
    <cellStyle name="Normal 8 2 4 5 2" xfId="4019" xr:uid="{00000000-0005-0000-0000-0000011D0000}"/>
    <cellStyle name="Normal 8 2 4 5 2 2" xfId="8242" xr:uid="{00000000-0005-0000-0000-0000021D0000}"/>
    <cellStyle name="Normal 8 2 4 5 2 2 2" xfId="25125" xr:uid="{68BA84C3-2944-416D-96F2-2CD6713F905F}"/>
    <cellStyle name="Normal 8 2 4 5 2 2 3" xfId="33571" xr:uid="{F493E73F-2376-4841-BF4A-9FE043F48F25}"/>
    <cellStyle name="Normal 8 2 4 5 2 2 4" xfId="16684" xr:uid="{551EDD35-80EB-4075-ADB5-E6834B355EDF}"/>
    <cellStyle name="Normal 8 2 4 5 2 3" xfId="20907" xr:uid="{FF12CB69-5044-4DFB-A617-3E06ACE39751}"/>
    <cellStyle name="Normal 8 2 4 5 2 4" xfId="29354" xr:uid="{B190C694-FAAD-448D-BCB6-0B6C7A740979}"/>
    <cellStyle name="Normal 8 2 4 5 2 5" xfId="12466" xr:uid="{CA213A22-8431-4A96-924A-D54DA96D687E}"/>
    <cellStyle name="Normal 8 2 4 5 3" xfId="6097" xr:uid="{00000000-0005-0000-0000-0000031D0000}"/>
    <cellStyle name="Normal 8 2 4 5 3 2" xfId="22980" xr:uid="{2FE9A270-1C97-458D-839C-155E1C683981}"/>
    <cellStyle name="Normal 8 2 4 5 3 3" xfId="31426" xr:uid="{816A8880-E5F1-4F1B-B720-0A9191983DD7}"/>
    <cellStyle name="Normal 8 2 4 5 3 4" xfId="14539" xr:uid="{307FF864-690A-4EB4-9108-192351CA70DC}"/>
    <cellStyle name="Normal 8 2 4 5 4" xfId="18762" xr:uid="{07B5BCE2-E831-4929-8287-57ED6604E69F}"/>
    <cellStyle name="Normal 8 2 4 5 5" xfId="27207" xr:uid="{EE5CF735-7633-4880-B232-D1FC72699CD8}"/>
    <cellStyle name="Normal 8 2 4 5 6" xfId="10321" xr:uid="{1BCDDA95-BFF3-4C2D-8264-101E621D7E41}"/>
    <cellStyle name="Normal 8 2 4 6" xfId="2203" xr:uid="{00000000-0005-0000-0000-0000041D0000}"/>
    <cellStyle name="Normal 8 2 4 6 2" xfId="4432" xr:uid="{00000000-0005-0000-0000-0000051D0000}"/>
    <cellStyle name="Normal 8 2 4 6 2 2" xfId="8655" xr:uid="{00000000-0005-0000-0000-0000061D0000}"/>
    <cellStyle name="Normal 8 2 4 6 2 2 2" xfId="25538" xr:uid="{1A3B29DE-0CB7-4422-BAF4-779111E70A91}"/>
    <cellStyle name="Normal 8 2 4 6 2 2 3" xfId="33984" xr:uid="{CCDFC2B7-8DCD-4332-883D-E36D13E09A0B}"/>
    <cellStyle name="Normal 8 2 4 6 2 2 4" xfId="17097" xr:uid="{31C0696C-8E5D-4C85-9FBE-4C4B61DC9ED8}"/>
    <cellStyle name="Normal 8 2 4 6 2 3" xfId="21320" xr:uid="{7D453833-2E3A-474A-A00C-C76ED097DE8C}"/>
    <cellStyle name="Normal 8 2 4 6 2 4" xfId="29767" xr:uid="{49658CB7-1798-4741-931E-A150C982B856}"/>
    <cellStyle name="Normal 8 2 4 6 2 5" xfId="12879" xr:uid="{4ACD0F1A-6297-410B-9F0C-52301883C78E}"/>
    <cellStyle name="Normal 8 2 4 6 3" xfId="6510" xr:uid="{00000000-0005-0000-0000-0000071D0000}"/>
    <cellStyle name="Normal 8 2 4 6 3 2" xfId="23393" xr:uid="{10110451-C8BF-40BA-B8C2-7892807860C2}"/>
    <cellStyle name="Normal 8 2 4 6 3 3" xfId="31839" xr:uid="{4D60311B-9D90-43A7-A635-5BADA3A2B264}"/>
    <cellStyle name="Normal 8 2 4 6 3 4" xfId="14952" xr:uid="{B305CA0E-5EDE-4EF0-815C-2D3CFBFE305A}"/>
    <cellStyle name="Normal 8 2 4 6 4" xfId="19175" xr:uid="{66729A5E-35F0-47D8-BF24-85A81E4BC2C2}"/>
    <cellStyle name="Normal 8 2 4 6 5" xfId="27620" xr:uid="{1C8CA0E0-A6B8-44D0-B03E-5F6D041FF4B9}"/>
    <cellStyle name="Normal 8 2 4 6 6" xfId="10734" xr:uid="{B585D35E-AE0F-47A3-8FA9-E0659F15842B}"/>
    <cellStyle name="Normal 8 2 4 7" xfId="2639" xr:uid="{00000000-0005-0000-0000-0000081D0000}"/>
    <cellStyle name="Normal 8 2 4 7 2" xfId="6923" xr:uid="{00000000-0005-0000-0000-0000091D0000}"/>
    <cellStyle name="Normal 8 2 4 7 2 2" xfId="23806" xr:uid="{7621098A-4C3E-4034-A24A-99D9FF086833}"/>
    <cellStyle name="Normal 8 2 4 7 2 3" xfId="32252" xr:uid="{8E7C6376-265C-4C4F-9D66-8C11C608C4C6}"/>
    <cellStyle name="Normal 8 2 4 7 2 4" xfId="15365" xr:uid="{0A8031C9-C093-4043-8523-818E73E899E0}"/>
    <cellStyle name="Normal 8 2 4 7 3" xfId="19588" xr:uid="{33DC4761-332E-472A-A79F-6B89675F58FF}"/>
    <cellStyle name="Normal 8 2 4 7 4" xfId="28033" xr:uid="{EF068F16-3EA9-4396-86B2-02255EF9B1E5}"/>
    <cellStyle name="Normal 8 2 4 7 5" xfId="11147" xr:uid="{99C5660F-D42E-4DA2-8633-5894EF07E822}"/>
    <cellStyle name="Normal 8 2 4 8" xfId="4858" xr:uid="{00000000-0005-0000-0000-00000A1D0000}"/>
    <cellStyle name="Normal 8 2 4 8 2" xfId="21741" xr:uid="{8935930F-FCF9-4CEE-8CAE-F916FEAE1D66}"/>
    <cellStyle name="Normal 8 2 4 8 3" xfId="30187" xr:uid="{EEF82997-CAFC-4447-8DB2-0A90343F2EE0}"/>
    <cellStyle name="Normal 8 2 4 8 4" xfId="13300" xr:uid="{74683F4D-57E5-4A8C-8135-B9703FE263C1}"/>
    <cellStyle name="Normal 8 2 4 9" xfId="17523" xr:uid="{DC8DE623-3909-49CB-9DA3-60767D2D261A}"/>
    <cellStyle name="Normal 8 2 5" xfId="494" xr:uid="{00000000-0005-0000-0000-00000B1D0000}"/>
    <cellStyle name="Normal 8 2 5 10" xfId="9084" xr:uid="{C64C1F39-723B-42E9-BBA7-47A41E984BF2}"/>
    <cellStyle name="Normal 8 2 5 2" xfId="961" xr:uid="{00000000-0005-0000-0000-00000C1D0000}"/>
    <cellStyle name="Normal 8 2 5 2 2" xfId="3195" xr:uid="{00000000-0005-0000-0000-00000D1D0000}"/>
    <cellStyle name="Normal 8 2 5 2 2 2" xfId="7418" xr:uid="{00000000-0005-0000-0000-00000E1D0000}"/>
    <cellStyle name="Normal 8 2 5 2 2 2 2" xfId="24301" xr:uid="{0EAC4390-F141-4793-B512-B1850A24A1A8}"/>
    <cellStyle name="Normal 8 2 5 2 2 2 3" xfId="32747" xr:uid="{2F7153D9-803B-4C44-A9C9-9797A6EE76C7}"/>
    <cellStyle name="Normal 8 2 5 2 2 2 4" xfId="15860" xr:uid="{35E34CA4-F42B-4961-8785-DA5079CDB90F}"/>
    <cellStyle name="Normal 8 2 5 2 2 3" xfId="20083" xr:uid="{E0C9E4A2-FE94-4FBB-8108-8DAB704FF90A}"/>
    <cellStyle name="Normal 8 2 5 2 2 4" xfId="28530" xr:uid="{29C1D636-7555-4E40-81A1-9798C5415BB5}"/>
    <cellStyle name="Normal 8 2 5 2 2 5" xfId="11642" xr:uid="{226DC184-211B-4DD2-9BEC-C069D0ADD7E9}"/>
    <cellStyle name="Normal 8 2 5 2 3" xfId="5273" xr:uid="{00000000-0005-0000-0000-00000F1D0000}"/>
    <cellStyle name="Normal 8 2 5 2 3 2" xfId="22156" xr:uid="{29288BEA-73C2-4AED-AAA2-9169713500AC}"/>
    <cellStyle name="Normal 8 2 5 2 3 3" xfId="30602" xr:uid="{F7ACBA30-37B7-4EDD-848B-0E59FE897443}"/>
    <cellStyle name="Normal 8 2 5 2 3 4" xfId="13715" xr:uid="{09589655-D915-40C1-AC46-234F545CB215}"/>
    <cellStyle name="Normal 8 2 5 2 4" xfId="17938" xr:uid="{C5A6A8D0-FFAE-4870-B232-79A0F77ED063}"/>
    <cellStyle name="Normal 8 2 5 2 5" xfId="26383" xr:uid="{8C12057F-4965-4C6A-8668-6FB003BE3617}"/>
    <cellStyle name="Normal 8 2 5 2 6" xfId="9497" xr:uid="{17A4DAEA-10A5-45C1-A046-B628FE500E7D}"/>
    <cellStyle name="Normal 8 2 5 3" xfId="1378" xr:uid="{00000000-0005-0000-0000-0000101D0000}"/>
    <cellStyle name="Normal 8 2 5 3 2" xfId="3608" xr:uid="{00000000-0005-0000-0000-0000111D0000}"/>
    <cellStyle name="Normal 8 2 5 3 2 2" xfId="7831" xr:uid="{00000000-0005-0000-0000-0000121D0000}"/>
    <cellStyle name="Normal 8 2 5 3 2 2 2" xfId="24714" xr:uid="{C1AB093B-67FD-4454-9566-405A894A8232}"/>
    <cellStyle name="Normal 8 2 5 3 2 2 3" xfId="33160" xr:uid="{8725E344-38A5-4C9F-9D8A-E5C024BFB1D7}"/>
    <cellStyle name="Normal 8 2 5 3 2 2 4" xfId="16273" xr:uid="{21B0E1C1-2B12-4731-AFE9-48BCDCD3EBF0}"/>
    <cellStyle name="Normal 8 2 5 3 2 3" xfId="20496" xr:uid="{1150AB2A-0741-4E02-BF42-8F4B51EFF291}"/>
    <cellStyle name="Normal 8 2 5 3 2 4" xfId="28943" xr:uid="{4DB92CE0-7E99-4E3B-969C-3FA33F6FDCA2}"/>
    <cellStyle name="Normal 8 2 5 3 2 5" xfId="12055" xr:uid="{717996E6-C061-41D2-B281-898C00C91AE3}"/>
    <cellStyle name="Normal 8 2 5 3 3" xfId="5686" xr:uid="{00000000-0005-0000-0000-0000131D0000}"/>
    <cellStyle name="Normal 8 2 5 3 3 2" xfId="22569" xr:uid="{F257386A-67EB-4734-AD53-CDFDBE7654E7}"/>
    <cellStyle name="Normal 8 2 5 3 3 3" xfId="31015" xr:uid="{60C97042-FC3F-40ED-8687-E0AF5DC03151}"/>
    <cellStyle name="Normal 8 2 5 3 3 4" xfId="14128" xr:uid="{362FF8C1-D5AC-4F0B-A2E1-C58896380A78}"/>
    <cellStyle name="Normal 8 2 5 3 4" xfId="18351" xr:uid="{65DB7D9B-088A-4184-9AE6-971F130DDBB5}"/>
    <cellStyle name="Normal 8 2 5 3 5" xfId="26796" xr:uid="{E811CB8F-AAFA-4EED-AC40-90EDC05C0439}"/>
    <cellStyle name="Normal 8 2 5 3 6" xfId="9910" xr:uid="{81C91251-0A04-46F0-BA89-AD0FF349447D}"/>
    <cellStyle name="Normal 8 2 5 4" xfId="1791" xr:uid="{00000000-0005-0000-0000-0000141D0000}"/>
    <cellStyle name="Normal 8 2 5 4 2" xfId="4021" xr:uid="{00000000-0005-0000-0000-0000151D0000}"/>
    <cellStyle name="Normal 8 2 5 4 2 2" xfId="8244" xr:uid="{00000000-0005-0000-0000-0000161D0000}"/>
    <cellStyle name="Normal 8 2 5 4 2 2 2" xfId="25127" xr:uid="{F3C97AB1-8C9A-40A2-B785-FEB1B0654409}"/>
    <cellStyle name="Normal 8 2 5 4 2 2 3" xfId="33573" xr:uid="{0E377047-11B6-45EB-B67F-DFA671481F84}"/>
    <cellStyle name="Normal 8 2 5 4 2 2 4" xfId="16686" xr:uid="{7FFBC67B-095C-4D1A-B239-A921CF16585A}"/>
    <cellStyle name="Normal 8 2 5 4 2 3" xfId="20909" xr:uid="{F353528F-AB31-4AA4-B6EB-4E4C942E9DDE}"/>
    <cellStyle name="Normal 8 2 5 4 2 4" xfId="29356" xr:uid="{8E6B344C-E18C-4943-8D3B-F961C2C693CA}"/>
    <cellStyle name="Normal 8 2 5 4 2 5" xfId="12468" xr:uid="{093CF59F-AA45-40EE-9D44-03AE107E5BA3}"/>
    <cellStyle name="Normal 8 2 5 4 3" xfId="6099" xr:uid="{00000000-0005-0000-0000-0000171D0000}"/>
    <cellStyle name="Normal 8 2 5 4 3 2" xfId="22982" xr:uid="{ECD075F1-DBBB-42CA-A088-5E2C4BE4E3ED}"/>
    <cellStyle name="Normal 8 2 5 4 3 3" xfId="31428" xr:uid="{92F49DB9-5ECD-488F-B253-76EB57555FE1}"/>
    <cellStyle name="Normal 8 2 5 4 3 4" xfId="14541" xr:uid="{A7CCEA7B-A951-478E-9F7C-75D4A4DC1A06}"/>
    <cellStyle name="Normal 8 2 5 4 4" xfId="18764" xr:uid="{34CC1F42-DDA6-41BD-AC5E-EBB4B459BD11}"/>
    <cellStyle name="Normal 8 2 5 4 5" xfId="27209" xr:uid="{80898D88-3FC0-46B1-B6DB-ED17790635E9}"/>
    <cellStyle name="Normal 8 2 5 4 6" xfId="10323" xr:uid="{2828E382-4052-4EE3-A01A-10A4AEA082EF}"/>
    <cellStyle name="Normal 8 2 5 5" xfId="2205" xr:uid="{00000000-0005-0000-0000-0000181D0000}"/>
    <cellStyle name="Normal 8 2 5 5 2" xfId="4434" xr:uid="{00000000-0005-0000-0000-0000191D0000}"/>
    <cellStyle name="Normal 8 2 5 5 2 2" xfId="8657" xr:uid="{00000000-0005-0000-0000-00001A1D0000}"/>
    <cellStyle name="Normal 8 2 5 5 2 2 2" xfId="25540" xr:uid="{A57CCDF8-89E0-4FC0-9F8F-68C0C00A6F61}"/>
    <cellStyle name="Normal 8 2 5 5 2 2 3" xfId="33986" xr:uid="{0057E2E7-C61E-4A9A-88EA-E0502244C733}"/>
    <cellStyle name="Normal 8 2 5 5 2 2 4" xfId="17099" xr:uid="{E1E5DCF3-E567-4E8C-A67C-C28073131C2D}"/>
    <cellStyle name="Normal 8 2 5 5 2 3" xfId="21322" xr:uid="{E6170CB5-4F1A-4CCA-AC9D-D6725C6E7257}"/>
    <cellStyle name="Normal 8 2 5 5 2 4" xfId="29769" xr:uid="{6C4EADB4-158E-485F-96F5-79FEFFC372EB}"/>
    <cellStyle name="Normal 8 2 5 5 2 5" xfId="12881" xr:uid="{91E6F355-9ED5-4A36-B8FF-B12DC62A085C}"/>
    <cellStyle name="Normal 8 2 5 5 3" xfId="6512" xr:uid="{00000000-0005-0000-0000-00001B1D0000}"/>
    <cellStyle name="Normal 8 2 5 5 3 2" xfId="23395" xr:uid="{9120013A-AA0F-4DD4-80F6-CA543CB9324B}"/>
    <cellStyle name="Normal 8 2 5 5 3 3" xfId="31841" xr:uid="{F12B32BE-A190-4702-BBCC-9FDDC8B2D156}"/>
    <cellStyle name="Normal 8 2 5 5 3 4" xfId="14954" xr:uid="{563990BA-7D1C-472A-9144-CB5BA0CE0648}"/>
    <cellStyle name="Normal 8 2 5 5 4" xfId="19177" xr:uid="{A3489857-5382-4870-A134-FAEE1A6D99FF}"/>
    <cellStyle name="Normal 8 2 5 5 5" xfId="27622" xr:uid="{4B202717-5608-4C06-B41F-13A1CFE40090}"/>
    <cellStyle name="Normal 8 2 5 5 6" xfId="10736" xr:uid="{98A7013C-5A73-4110-A6BE-AEB79291140D}"/>
    <cellStyle name="Normal 8 2 5 6" xfId="2641" xr:uid="{00000000-0005-0000-0000-00001C1D0000}"/>
    <cellStyle name="Normal 8 2 5 6 2" xfId="6925" xr:uid="{00000000-0005-0000-0000-00001D1D0000}"/>
    <cellStyle name="Normal 8 2 5 6 2 2" xfId="23808" xr:uid="{EB65873B-7C0A-42F3-A6EB-CC78393AA5C9}"/>
    <cellStyle name="Normal 8 2 5 6 2 3" xfId="32254" xr:uid="{354172E0-8875-426E-88ED-EA2DD2324704}"/>
    <cellStyle name="Normal 8 2 5 6 2 4" xfId="15367" xr:uid="{AE8601D1-F87F-4FF3-A4AD-CFACC60F6040}"/>
    <cellStyle name="Normal 8 2 5 6 3" xfId="19590" xr:uid="{06AD2BB5-EDF2-422B-BB2A-43D06083DCBA}"/>
    <cellStyle name="Normal 8 2 5 6 4" xfId="28035" xr:uid="{64915D69-5522-4324-B16A-702D8BC9BC1C}"/>
    <cellStyle name="Normal 8 2 5 6 5" xfId="11149" xr:uid="{A871D830-634F-4F33-B73A-2F88F8260FE0}"/>
    <cellStyle name="Normal 8 2 5 7" xfId="4860" xr:uid="{00000000-0005-0000-0000-00001E1D0000}"/>
    <cellStyle name="Normal 8 2 5 7 2" xfId="21743" xr:uid="{714B7C38-BB1B-4CBD-AA4A-F5A62BD57465}"/>
    <cellStyle name="Normal 8 2 5 7 3" xfId="30189" xr:uid="{42D39E21-1095-43DF-860C-8D9EA6ACE38A}"/>
    <cellStyle name="Normal 8 2 5 7 4" xfId="13302" xr:uid="{8CDA98E3-6E10-40A1-B13D-DAF87CACDC30}"/>
    <cellStyle name="Normal 8 2 5 8" xfId="17525" xr:uid="{CCB12DC7-6BA0-460C-B170-CEE48F518D04}"/>
    <cellStyle name="Normal 8 2 5 9" xfId="25970" xr:uid="{6D49676D-E475-40BD-A237-059A18C24660}"/>
    <cellStyle name="Normal 8 2 6" xfId="946" xr:uid="{00000000-0005-0000-0000-00001F1D0000}"/>
    <cellStyle name="Normal 8 2 6 2" xfId="3180" xr:uid="{00000000-0005-0000-0000-0000201D0000}"/>
    <cellStyle name="Normal 8 2 6 2 2" xfId="7403" xr:uid="{00000000-0005-0000-0000-0000211D0000}"/>
    <cellStyle name="Normal 8 2 6 2 2 2" xfId="24286" xr:uid="{B5A4F887-590D-464D-A8A0-CC8E13ACF0A3}"/>
    <cellStyle name="Normal 8 2 6 2 2 3" xfId="32732" xr:uid="{99203974-192B-43A4-9673-E2BDBBBAE0F0}"/>
    <cellStyle name="Normal 8 2 6 2 2 4" xfId="15845" xr:uid="{3E57B79E-6F3F-4494-A1F8-A27BEF5FF0CF}"/>
    <cellStyle name="Normal 8 2 6 2 3" xfId="20068" xr:uid="{44F13648-6FDE-4F68-A4B5-DBC9AAFA10EF}"/>
    <cellStyle name="Normal 8 2 6 2 4" xfId="28515" xr:uid="{EBEA9C70-C3E8-4AA1-A732-B314B3E3413F}"/>
    <cellStyle name="Normal 8 2 6 2 5" xfId="11627" xr:uid="{876D5B51-84CF-404A-98EF-94518F7E884D}"/>
    <cellStyle name="Normal 8 2 6 3" xfId="5258" xr:uid="{00000000-0005-0000-0000-0000221D0000}"/>
    <cellStyle name="Normal 8 2 6 3 2" xfId="22141" xr:uid="{39225034-0381-4417-A664-6B3487174C11}"/>
    <cellStyle name="Normal 8 2 6 3 3" xfId="30587" xr:uid="{31D1CEC5-EAD9-414F-8142-F3C367CC1578}"/>
    <cellStyle name="Normal 8 2 6 3 4" xfId="13700" xr:uid="{099E96EC-DAF8-4ECB-A11A-47E90BA9961A}"/>
    <cellStyle name="Normal 8 2 6 4" xfId="17923" xr:uid="{A3FACB0B-C594-4A87-9E2C-ED77F1B881DE}"/>
    <cellStyle name="Normal 8 2 6 5" xfId="26368" xr:uid="{C09E1C0C-1F31-47B8-A999-A9766545A848}"/>
    <cellStyle name="Normal 8 2 6 6" xfId="9482" xr:uid="{7F8C14D0-5CE5-425B-9F22-8D8B6254092C}"/>
    <cellStyle name="Normal 8 2 7" xfId="1363" xr:uid="{00000000-0005-0000-0000-0000231D0000}"/>
    <cellStyle name="Normal 8 2 7 2" xfId="3593" xr:uid="{00000000-0005-0000-0000-0000241D0000}"/>
    <cellStyle name="Normal 8 2 7 2 2" xfId="7816" xr:uid="{00000000-0005-0000-0000-0000251D0000}"/>
    <cellStyle name="Normal 8 2 7 2 2 2" xfId="24699" xr:uid="{9AD1C5D5-958A-4682-8265-76D3F1CFC26F}"/>
    <cellStyle name="Normal 8 2 7 2 2 3" xfId="33145" xr:uid="{3F55F41D-FB89-4703-851A-7371CD07A74F}"/>
    <cellStyle name="Normal 8 2 7 2 2 4" xfId="16258" xr:uid="{7C144BC3-4BCB-4F24-BC8E-9B0C67919484}"/>
    <cellStyle name="Normal 8 2 7 2 3" xfId="20481" xr:uid="{1EF11631-430D-4393-8C2A-387EB80AC482}"/>
    <cellStyle name="Normal 8 2 7 2 4" xfId="28928" xr:uid="{51DB3907-AEBA-4D4C-9ECF-DFB8A9F16B0E}"/>
    <cellStyle name="Normal 8 2 7 2 5" xfId="12040" xr:uid="{B5F00740-E953-4611-9680-C2FDD65ED393}"/>
    <cellStyle name="Normal 8 2 7 3" xfId="5671" xr:uid="{00000000-0005-0000-0000-0000261D0000}"/>
    <cellStyle name="Normal 8 2 7 3 2" xfId="22554" xr:uid="{84F1D3A0-89D9-4D8A-9D6E-7195B549FE92}"/>
    <cellStyle name="Normal 8 2 7 3 3" xfId="31000" xr:uid="{34E467B7-038F-4024-A116-103E9DAB54E6}"/>
    <cellStyle name="Normal 8 2 7 3 4" xfId="14113" xr:uid="{279BE3DF-A785-4B0A-BFDF-44199EF753EF}"/>
    <cellStyle name="Normal 8 2 7 4" xfId="18336" xr:uid="{6C6312D8-0E9D-4278-A75D-8FBB766DBC99}"/>
    <cellStyle name="Normal 8 2 7 5" xfId="26781" xr:uid="{E711173D-DBAB-4AAB-B960-7115A0E50879}"/>
    <cellStyle name="Normal 8 2 7 6" xfId="9895" xr:uid="{0F8968AD-80CE-4B5B-A6BF-7766D4749946}"/>
    <cellStyle name="Normal 8 2 8" xfId="1776" xr:uid="{00000000-0005-0000-0000-0000271D0000}"/>
    <cellStyle name="Normal 8 2 8 2" xfId="4006" xr:uid="{00000000-0005-0000-0000-0000281D0000}"/>
    <cellStyle name="Normal 8 2 8 2 2" xfId="8229" xr:uid="{00000000-0005-0000-0000-0000291D0000}"/>
    <cellStyle name="Normal 8 2 8 2 2 2" xfId="25112" xr:uid="{4E122006-4711-4597-ACE9-D75FEB85ECFF}"/>
    <cellStyle name="Normal 8 2 8 2 2 3" xfId="33558" xr:uid="{96347F64-2CEA-42B7-B802-FA36C7A0159E}"/>
    <cellStyle name="Normal 8 2 8 2 2 4" xfId="16671" xr:uid="{D0EB64A5-F504-4265-8D26-FD3070F7173E}"/>
    <cellStyle name="Normal 8 2 8 2 3" xfId="20894" xr:uid="{0AC90DD7-336D-4ACE-A705-92DFFC07FA3E}"/>
    <cellStyle name="Normal 8 2 8 2 4" xfId="29341" xr:uid="{0B91E9B8-A060-4DF4-B506-951608E73192}"/>
    <cellStyle name="Normal 8 2 8 2 5" xfId="12453" xr:uid="{5D857972-FA85-440C-BF40-3A9AC51833DA}"/>
    <cellStyle name="Normal 8 2 8 3" xfId="6084" xr:uid="{00000000-0005-0000-0000-00002A1D0000}"/>
    <cellStyle name="Normal 8 2 8 3 2" xfId="22967" xr:uid="{8154C5DD-1513-4179-8556-F7EEA47E94E8}"/>
    <cellStyle name="Normal 8 2 8 3 3" xfId="31413" xr:uid="{A012D1B3-65D6-42B7-9A24-A9506CEFA83A}"/>
    <cellStyle name="Normal 8 2 8 3 4" xfId="14526" xr:uid="{20739ED3-0445-4BF4-A330-B6E91224F192}"/>
    <cellStyle name="Normal 8 2 8 4" xfId="18749" xr:uid="{9AA643BA-E5A2-4648-91D7-46A08D2AE59B}"/>
    <cellStyle name="Normal 8 2 8 5" xfId="27194" xr:uid="{01B6853B-7369-4BCF-A241-E183E2134328}"/>
    <cellStyle name="Normal 8 2 8 6" xfId="10308" xr:uid="{AEC68092-564B-4028-B5F4-B4D3EDFD9B8D}"/>
    <cellStyle name="Normal 8 2 9" xfId="2190" xr:uid="{00000000-0005-0000-0000-00002B1D0000}"/>
    <cellStyle name="Normal 8 2 9 2" xfId="4419" xr:uid="{00000000-0005-0000-0000-00002C1D0000}"/>
    <cellStyle name="Normal 8 2 9 2 2" xfId="8642" xr:uid="{00000000-0005-0000-0000-00002D1D0000}"/>
    <cellStyle name="Normal 8 2 9 2 2 2" xfId="25525" xr:uid="{EB3C4FF0-C29D-4B23-BC5D-CB7D0A62B4C8}"/>
    <cellStyle name="Normal 8 2 9 2 2 3" xfId="33971" xr:uid="{8034B09E-6A67-45DA-8B43-3884C75965A7}"/>
    <cellStyle name="Normal 8 2 9 2 2 4" xfId="17084" xr:uid="{73793AC8-99F7-410A-B491-E4F0719039A5}"/>
    <cellStyle name="Normal 8 2 9 2 3" xfId="21307" xr:uid="{4C754B3B-1981-41E7-90EE-2C22CAD04770}"/>
    <cellStyle name="Normal 8 2 9 2 4" xfId="29754" xr:uid="{91B75CDA-432E-40DB-9DC7-7B92057D8375}"/>
    <cellStyle name="Normal 8 2 9 2 5" xfId="12866" xr:uid="{17DDD608-36F1-45AB-A956-9C7F26F91F18}"/>
    <cellStyle name="Normal 8 2 9 3" xfId="6497" xr:uid="{00000000-0005-0000-0000-00002E1D0000}"/>
    <cellStyle name="Normal 8 2 9 3 2" xfId="23380" xr:uid="{BA0CC90B-E840-4AE4-84FC-6E98D685B956}"/>
    <cellStyle name="Normal 8 2 9 3 3" xfId="31826" xr:uid="{ED100690-B8B3-4E07-97EF-289BE442D663}"/>
    <cellStyle name="Normal 8 2 9 3 4" xfId="14939" xr:uid="{D10DD168-0B01-4458-BEEE-598853F68E33}"/>
    <cellStyle name="Normal 8 2 9 4" xfId="19162" xr:uid="{7783BC6C-15CE-41BD-902D-F5B740AF3B20}"/>
    <cellStyle name="Normal 8 2 9 5" xfId="27607" xr:uid="{27F292F0-48E0-4504-9677-7FD26C11F812}"/>
    <cellStyle name="Normal 8 2 9 6" xfId="10721" xr:uid="{64721EE2-0446-42F3-AAE6-8DF4D8B89C81}"/>
    <cellStyle name="Normal 8 3" xfId="495" xr:uid="{00000000-0005-0000-0000-00002F1D0000}"/>
    <cellStyle name="Normal 8 3 10" xfId="4861" xr:uid="{00000000-0005-0000-0000-0000301D0000}"/>
    <cellStyle name="Normal 8 3 10 2" xfId="21744" xr:uid="{555B730B-0046-4DCA-9AE9-7CDCF072EEC4}"/>
    <cellStyle name="Normal 8 3 10 3" xfId="30190" xr:uid="{2552452F-0043-4806-B0DE-F6E8982E7C38}"/>
    <cellStyle name="Normal 8 3 10 4" xfId="13303" xr:uid="{021624D3-3DB2-473A-B171-CA5F6BA5FA81}"/>
    <cellStyle name="Normal 8 3 11" xfId="17526" xr:uid="{D1D81F7F-3ADA-4BD8-BD63-E9F07EA616B8}"/>
    <cellStyle name="Normal 8 3 12" xfId="25971" xr:uid="{6F231130-0B03-4867-8C4D-E8FC356A0253}"/>
    <cellStyle name="Normal 8 3 13" xfId="34214" xr:uid="{50EA8EAE-C127-416B-B8C4-4D88CDBBF4C4}"/>
    <cellStyle name="Normal 8 3 14" xfId="9085" xr:uid="{2C058D07-58DF-461D-9233-0CCA799E4D25}"/>
    <cellStyle name="Normal 8 3 2" xfId="496" xr:uid="{00000000-0005-0000-0000-0000311D0000}"/>
    <cellStyle name="Normal 8 3 2 10" xfId="17527" xr:uid="{1F6B29D8-5A52-4E9F-BCE9-764806AC08B6}"/>
    <cellStyle name="Normal 8 3 2 11" xfId="25972" xr:uid="{59F18520-6594-40E4-9A5F-4A4E71A33C7C}"/>
    <cellStyle name="Normal 8 3 2 12" xfId="9086" xr:uid="{4A564D5E-0671-46C9-AF6A-96ADC9D0A0F0}"/>
    <cellStyle name="Normal 8 3 2 2" xfId="497" xr:uid="{00000000-0005-0000-0000-0000321D0000}"/>
    <cellStyle name="Normal 8 3 2 2 10" xfId="25973" xr:uid="{C3777EC5-3BC7-44A5-B421-448F52F3AFA7}"/>
    <cellStyle name="Normal 8 3 2 2 11" xfId="9087" xr:uid="{D4CA10DA-2772-4972-A1B9-2DCBECF966C7}"/>
    <cellStyle name="Normal 8 3 2 2 2" xfId="498" xr:uid="{00000000-0005-0000-0000-0000331D0000}"/>
    <cellStyle name="Normal 8 3 2 2 2 10" xfId="9088" xr:uid="{9A588B8F-3525-4CA3-9B46-FF0947DA9EF3}"/>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24305" xr:uid="{01A005D6-6FFF-4A13-9474-92F786C4F25D}"/>
    <cellStyle name="Normal 8 3 2 2 2 2 2 2 3" xfId="32751" xr:uid="{E7C87195-441D-4723-960E-87CBF0ABC7C2}"/>
    <cellStyle name="Normal 8 3 2 2 2 2 2 2 4" xfId="15864" xr:uid="{7AF8545F-D494-47C0-BA17-49E83081D4F0}"/>
    <cellStyle name="Normal 8 3 2 2 2 2 2 3" xfId="20087" xr:uid="{C841A955-E392-4DEB-ABC3-8A16BFFE0703}"/>
    <cellStyle name="Normal 8 3 2 2 2 2 2 4" xfId="28534" xr:uid="{16FD24AA-D824-4DAE-A5C3-8C3312530805}"/>
    <cellStyle name="Normal 8 3 2 2 2 2 2 5" xfId="11646" xr:uid="{D15EE7FC-E718-4DF2-A915-5E1E359A07D3}"/>
    <cellStyle name="Normal 8 3 2 2 2 2 3" xfId="5277" xr:uid="{00000000-0005-0000-0000-0000371D0000}"/>
    <cellStyle name="Normal 8 3 2 2 2 2 3 2" xfId="22160" xr:uid="{EA848E5F-AB2B-43AA-AE03-252B9C24877F}"/>
    <cellStyle name="Normal 8 3 2 2 2 2 3 3" xfId="30606" xr:uid="{C5DCE396-4014-480E-B067-4A27A1063D18}"/>
    <cellStyle name="Normal 8 3 2 2 2 2 3 4" xfId="13719" xr:uid="{1A0FE589-0291-4BE7-9E35-0871C00BDBC7}"/>
    <cellStyle name="Normal 8 3 2 2 2 2 4" xfId="17942" xr:uid="{D5549E0D-4FF2-42C7-ACA4-EC83E9C711CD}"/>
    <cellStyle name="Normal 8 3 2 2 2 2 5" xfId="26387" xr:uid="{B690B8FD-CEAA-4EBF-BF63-F66E6CABF57C}"/>
    <cellStyle name="Normal 8 3 2 2 2 2 6" xfId="9501" xr:uid="{D839CEEF-168E-4960-B122-075D01F123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24718" xr:uid="{658C61CE-3A7D-485A-9EA3-521758ECF90D}"/>
    <cellStyle name="Normal 8 3 2 2 2 3 2 2 3" xfId="33164" xr:uid="{36BBE545-D765-49BA-A900-A16C581C911F}"/>
    <cellStyle name="Normal 8 3 2 2 2 3 2 2 4" xfId="16277" xr:uid="{6B316C2C-6905-4CE0-A8F3-DF698008B17E}"/>
    <cellStyle name="Normal 8 3 2 2 2 3 2 3" xfId="20500" xr:uid="{5C3D37B6-F09E-43BB-9BAF-C437C9586DA2}"/>
    <cellStyle name="Normal 8 3 2 2 2 3 2 4" xfId="28947" xr:uid="{DBF46129-4DA0-4CEF-ABCC-8B552FE58927}"/>
    <cellStyle name="Normal 8 3 2 2 2 3 2 5" xfId="12059" xr:uid="{64D1CFAD-D0E4-4552-BCFC-838DDFE423F3}"/>
    <cellStyle name="Normal 8 3 2 2 2 3 3" xfId="5690" xr:uid="{00000000-0005-0000-0000-00003B1D0000}"/>
    <cellStyle name="Normal 8 3 2 2 2 3 3 2" xfId="22573" xr:uid="{7821D270-568E-42D0-A458-BF6735C8FEB1}"/>
    <cellStyle name="Normal 8 3 2 2 2 3 3 3" xfId="31019" xr:uid="{D19D48BD-A7BD-4DF0-8EBE-7796E07F516E}"/>
    <cellStyle name="Normal 8 3 2 2 2 3 3 4" xfId="14132" xr:uid="{01B84192-AC3B-4287-AE0C-8AE91777C0E5}"/>
    <cellStyle name="Normal 8 3 2 2 2 3 4" xfId="18355" xr:uid="{633A9947-4FA1-4E6F-BF6D-D045ED1DF5B0}"/>
    <cellStyle name="Normal 8 3 2 2 2 3 5" xfId="26800" xr:uid="{522F7FE7-CA4E-4D96-A6FC-65A366E12ABD}"/>
    <cellStyle name="Normal 8 3 2 2 2 3 6" xfId="9914" xr:uid="{6F0493E2-497E-4B32-9BDB-53B78E90688E}"/>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25131" xr:uid="{31BC434C-4E60-4E81-BB48-D178157A2724}"/>
    <cellStyle name="Normal 8 3 2 2 2 4 2 2 3" xfId="33577" xr:uid="{CB28C3FA-4585-4005-9B74-1749DD44F040}"/>
    <cellStyle name="Normal 8 3 2 2 2 4 2 2 4" xfId="16690" xr:uid="{5B918AB1-0832-46F2-8981-2300543C6291}"/>
    <cellStyle name="Normal 8 3 2 2 2 4 2 3" xfId="20913" xr:uid="{6A051592-6803-4DF5-8C0F-9E38CE5F0E55}"/>
    <cellStyle name="Normal 8 3 2 2 2 4 2 4" xfId="29360" xr:uid="{44C26080-4ABD-4751-96E9-5F776EA38904}"/>
    <cellStyle name="Normal 8 3 2 2 2 4 2 5" xfId="12472" xr:uid="{2556CA22-16A3-4C80-9E4B-35A00448FC02}"/>
    <cellStyle name="Normal 8 3 2 2 2 4 3" xfId="6103" xr:uid="{00000000-0005-0000-0000-00003F1D0000}"/>
    <cellStyle name="Normal 8 3 2 2 2 4 3 2" xfId="22986" xr:uid="{447FB042-F6D7-48F9-B2CC-554E6870620A}"/>
    <cellStyle name="Normal 8 3 2 2 2 4 3 3" xfId="31432" xr:uid="{DBCAECBB-198E-47E6-8980-73435BA4C3D6}"/>
    <cellStyle name="Normal 8 3 2 2 2 4 3 4" xfId="14545" xr:uid="{81A7A3B8-2E77-4F3B-A3D1-F7599DA7009A}"/>
    <cellStyle name="Normal 8 3 2 2 2 4 4" xfId="18768" xr:uid="{F4CDB67C-01CB-4E75-BF35-EAF5296C6B25}"/>
    <cellStyle name="Normal 8 3 2 2 2 4 5" xfId="27213" xr:uid="{F03F43C8-3FB9-44B9-9724-2D98F8D767B3}"/>
    <cellStyle name="Normal 8 3 2 2 2 4 6" xfId="10327" xr:uid="{5D8CA8A4-D9E9-40B8-903D-38769139BC7D}"/>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25544" xr:uid="{BFA80A99-72D3-4C25-A461-5356601D5153}"/>
    <cellStyle name="Normal 8 3 2 2 2 5 2 2 3" xfId="33990" xr:uid="{39051E0E-692E-4966-83F3-2B0EC774666F}"/>
    <cellStyle name="Normal 8 3 2 2 2 5 2 2 4" xfId="17103" xr:uid="{C85E04E0-F0E8-4552-911D-44C3B8184E92}"/>
    <cellStyle name="Normal 8 3 2 2 2 5 2 3" xfId="21326" xr:uid="{84D75F89-ABD4-48F8-B242-753F02D3CE58}"/>
    <cellStyle name="Normal 8 3 2 2 2 5 2 4" xfId="29773" xr:uid="{14CDAC52-2096-48D3-B70B-E04EFA30EA96}"/>
    <cellStyle name="Normal 8 3 2 2 2 5 2 5" xfId="12885" xr:uid="{B5A11DD4-F8CE-42DA-860D-41CD6CB66F4F}"/>
    <cellStyle name="Normal 8 3 2 2 2 5 3" xfId="6516" xr:uid="{00000000-0005-0000-0000-0000431D0000}"/>
    <cellStyle name="Normal 8 3 2 2 2 5 3 2" xfId="23399" xr:uid="{D6F4DC10-0D60-491C-A1E2-3CC80FC0B6DA}"/>
    <cellStyle name="Normal 8 3 2 2 2 5 3 3" xfId="31845" xr:uid="{F27C9483-DAC1-4208-BED2-4BF011AE1E95}"/>
    <cellStyle name="Normal 8 3 2 2 2 5 3 4" xfId="14958" xr:uid="{0BA4AE1E-2F45-4E62-A0F4-3FE323D8B8BD}"/>
    <cellStyle name="Normal 8 3 2 2 2 5 4" xfId="19181" xr:uid="{0D88CF81-F8CF-412F-9ED3-8E8AD19916D6}"/>
    <cellStyle name="Normal 8 3 2 2 2 5 5" xfId="27626" xr:uid="{CD8A86A9-88C6-4E7F-ADAA-B33E73CB462E}"/>
    <cellStyle name="Normal 8 3 2 2 2 5 6" xfId="10740" xr:uid="{3A392B0F-4DD4-4098-8CE9-C9B8B8F983DC}"/>
    <cellStyle name="Normal 8 3 2 2 2 6" xfId="2645" xr:uid="{00000000-0005-0000-0000-0000441D0000}"/>
    <cellStyle name="Normal 8 3 2 2 2 6 2" xfId="6929" xr:uid="{00000000-0005-0000-0000-0000451D0000}"/>
    <cellStyle name="Normal 8 3 2 2 2 6 2 2" xfId="23812" xr:uid="{D8A67027-D362-4DB3-AD21-70121C5B8264}"/>
    <cellStyle name="Normal 8 3 2 2 2 6 2 3" xfId="32258" xr:uid="{71B6AAF6-D654-4F86-B100-B8EACD1A5FAE}"/>
    <cellStyle name="Normal 8 3 2 2 2 6 2 4" xfId="15371" xr:uid="{CBDAEE09-C7F8-42C7-9002-745FFCD457E4}"/>
    <cellStyle name="Normal 8 3 2 2 2 6 3" xfId="19594" xr:uid="{6B657275-1F5B-47BB-9CB5-C3F7F31A3FC7}"/>
    <cellStyle name="Normal 8 3 2 2 2 6 4" xfId="28039" xr:uid="{91F81A1E-F429-451B-BEAA-C6C9D211F5BE}"/>
    <cellStyle name="Normal 8 3 2 2 2 6 5" xfId="11153" xr:uid="{3CFF023C-69F6-4D42-A0C3-37E2DD079ECC}"/>
    <cellStyle name="Normal 8 3 2 2 2 7" xfId="4864" xr:uid="{00000000-0005-0000-0000-0000461D0000}"/>
    <cellStyle name="Normal 8 3 2 2 2 7 2" xfId="21747" xr:uid="{AB359FE4-A318-4E49-BB0B-93F582022316}"/>
    <cellStyle name="Normal 8 3 2 2 2 7 3" xfId="30193" xr:uid="{A1F77B28-5B62-4ACB-839B-CB97777F30E4}"/>
    <cellStyle name="Normal 8 3 2 2 2 7 4" xfId="13306" xr:uid="{F62451A1-C551-4CE8-9C8A-265489DBEE6A}"/>
    <cellStyle name="Normal 8 3 2 2 2 8" xfId="17529" xr:uid="{175F1073-59A1-4368-9A59-5E45A0259EAD}"/>
    <cellStyle name="Normal 8 3 2 2 2 9" xfId="25974" xr:uid="{28301990-05B0-474E-A0AB-2CC5919EDCDF}"/>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24304" xr:uid="{59482C1F-D156-4AAF-BB34-B4CACA88E105}"/>
    <cellStyle name="Normal 8 3 2 2 3 2 2 3" xfId="32750" xr:uid="{F3A67807-580B-44F1-A23D-B42B56B513C0}"/>
    <cellStyle name="Normal 8 3 2 2 3 2 2 4" xfId="15863" xr:uid="{F3764502-2E66-4279-9288-BE15D1DFA4EE}"/>
    <cellStyle name="Normal 8 3 2 2 3 2 3" xfId="20086" xr:uid="{0A7EAE44-82F1-471C-A2A6-3EFFA33062A0}"/>
    <cellStyle name="Normal 8 3 2 2 3 2 4" xfId="28533" xr:uid="{DDB7F7B4-052B-456B-9C59-CE02512900FD}"/>
    <cellStyle name="Normal 8 3 2 2 3 2 5" xfId="11645" xr:uid="{5D728C60-8F44-4BF3-AA50-F079B6E045B2}"/>
    <cellStyle name="Normal 8 3 2 2 3 3" xfId="5276" xr:uid="{00000000-0005-0000-0000-00004A1D0000}"/>
    <cellStyle name="Normal 8 3 2 2 3 3 2" xfId="22159" xr:uid="{2F752FA8-D252-410D-82F2-A4987D667E88}"/>
    <cellStyle name="Normal 8 3 2 2 3 3 3" xfId="30605" xr:uid="{AE24519D-CE3F-40CF-ACF8-34B9726C13A2}"/>
    <cellStyle name="Normal 8 3 2 2 3 3 4" xfId="13718" xr:uid="{4C6AE905-2AE9-4275-8201-86C6F1892515}"/>
    <cellStyle name="Normal 8 3 2 2 3 4" xfId="17941" xr:uid="{7707FD94-9C3E-4B28-BDFE-C04A2B62B95E}"/>
    <cellStyle name="Normal 8 3 2 2 3 5" xfId="26386" xr:uid="{18C73862-8B4F-4562-9B37-2DACD374C55E}"/>
    <cellStyle name="Normal 8 3 2 2 3 6" xfId="9500" xr:uid="{2E4F8D7C-BCFE-4403-AFF7-E7468A0F3181}"/>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24717" xr:uid="{CBACFB04-B5FD-49C6-950D-2644A6D9F692}"/>
    <cellStyle name="Normal 8 3 2 2 4 2 2 3" xfId="33163" xr:uid="{A233FA9D-EFD7-48EF-90F7-D27D8E3E2235}"/>
    <cellStyle name="Normal 8 3 2 2 4 2 2 4" xfId="16276" xr:uid="{B5600FE5-3590-43AF-9AE9-2951C143947E}"/>
    <cellStyle name="Normal 8 3 2 2 4 2 3" xfId="20499" xr:uid="{E1D4F737-A276-40FD-B112-A7B60E262097}"/>
    <cellStyle name="Normal 8 3 2 2 4 2 4" xfId="28946" xr:uid="{B4CD8B1B-486E-4FED-BC0A-358728FC68BC}"/>
    <cellStyle name="Normal 8 3 2 2 4 2 5" xfId="12058" xr:uid="{D8A919E4-47A1-42AE-8D41-9833C0490E0B}"/>
    <cellStyle name="Normal 8 3 2 2 4 3" xfId="5689" xr:uid="{00000000-0005-0000-0000-00004E1D0000}"/>
    <cellStyle name="Normal 8 3 2 2 4 3 2" xfId="22572" xr:uid="{642E87DD-D8C7-411F-B3D6-80458583D0A0}"/>
    <cellStyle name="Normal 8 3 2 2 4 3 3" xfId="31018" xr:uid="{3F48FCE5-6D41-4005-A33A-CE980F0ED1F6}"/>
    <cellStyle name="Normal 8 3 2 2 4 3 4" xfId="14131" xr:uid="{54A8F26B-5F7C-4CB2-B4EA-3CEF8898B564}"/>
    <cellStyle name="Normal 8 3 2 2 4 4" xfId="18354" xr:uid="{B83413E4-1257-4F7F-AB7A-4E25A8A79042}"/>
    <cellStyle name="Normal 8 3 2 2 4 5" xfId="26799" xr:uid="{652A3AFE-55F5-4701-8AAE-B175DC6552C7}"/>
    <cellStyle name="Normal 8 3 2 2 4 6" xfId="9913" xr:uid="{06C30B42-DB1A-430E-99B0-F2CC3D8AEBB9}"/>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25130" xr:uid="{B9FC0A24-F932-4A84-920E-9722E399D5C6}"/>
    <cellStyle name="Normal 8 3 2 2 5 2 2 3" xfId="33576" xr:uid="{CEFC81CD-CC54-4329-AEE6-4EFB3D95C77D}"/>
    <cellStyle name="Normal 8 3 2 2 5 2 2 4" xfId="16689" xr:uid="{6A7BCF89-4B89-4E56-ADA4-B42811719C0C}"/>
    <cellStyle name="Normal 8 3 2 2 5 2 3" xfId="20912" xr:uid="{CDC29B30-B99A-40C1-AB2B-BB65C569BD46}"/>
    <cellStyle name="Normal 8 3 2 2 5 2 4" xfId="29359" xr:uid="{DA4DFB69-594A-4B84-BB18-E9B9A281433F}"/>
    <cellStyle name="Normal 8 3 2 2 5 2 5" xfId="12471" xr:uid="{1A98FF9B-96C9-48B7-B25E-3E6B88681B2B}"/>
    <cellStyle name="Normal 8 3 2 2 5 3" xfId="6102" xr:uid="{00000000-0005-0000-0000-0000521D0000}"/>
    <cellStyle name="Normal 8 3 2 2 5 3 2" xfId="22985" xr:uid="{D6E1F437-820E-4BFC-9C85-ED2A7EE43D27}"/>
    <cellStyle name="Normal 8 3 2 2 5 3 3" xfId="31431" xr:uid="{9AB61EB2-D230-4FF7-B85A-0FD55A220EE4}"/>
    <cellStyle name="Normal 8 3 2 2 5 3 4" xfId="14544" xr:uid="{BFA41630-A6C9-4F09-A6C7-D3FE36D5B366}"/>
    <cellStyle name="Normal 8 3 2 2 5 4" xfId="18767" xr:uid="{B8963122-4B1D-446A-99C2-88B36984FE1E}"/>
    <cellStyle name="Normal 8 3 2 2 5 5" xfId="27212" xr:uid="{AB975A25-790F-41C6-98D0-E21C842EFFD5}"/>
    <cellStyle name="Normal 8 3 2 2 5 6" xfId="10326" xr:uid="{D4D81083-5223-4941-8E5A-843C477F56ED}"/>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25543" xr:uid="{DA539CB7-28E3-4108-8FC3-20A35960896E}"/>
    <cellStyle name="Normal 8 3 2 2 6 2 2 3" xfId="33989" xr:uid="{41CCEC2B-B909-4441-BD88-F8FBF6677BAD}"/>
    <cellStyle name="Normal 8 3 2 2 6 2 2 4" xfId="17102" xr:uid="{2F2AB238-6857-4650-9C16-40260F9D2EEE}"/>
    <cellStyle name="Normal 8 3 2 2 6 2 3" xfId="21325" xr:uid="{0A8CBFC5-2031-4E6C-AC96-BBA5D59F39B8}"/>
    <cellStyle name="Normal 8 3 2 2 6 2 4" xfId="29772" xr:uid="{961951AF-C7BF-413B-9EF9-FE8379D01A15}"/>
    <cellStyle name="Normal 8 3 2 2 6 2 5" xfId="12884" xr:uid="{3CC3080B-A7B6-4F99-9566-04BA3DE1B53E}"/>
    <cellStyle name="Normal 8 3 2 2 6 3" xfId="6515" xr:uid="{00000000-0005-0000-0000-0000561D0000}"/>
    <cellStyle name="Normal 8 3 2 2 6 3 2" xfId="23398" xr:uid="{8C9C7C62-DDD2-4817-B839-55EAD7D13EE6}"/>
    <cellStyle name="Normal 8 3 2 2 6 3 3" xfId="31844" xr:uid="{71D73974-9BE6-419B-90A4-E44BB68DC7B8}"/>
    <cellStyle name="Normal 8 3 2 2 6 3 4" xfId="14957" xr:uid="{90B7BA10-7A1F-461D-AA6B-2BE4A4565D8B}"/>
    <cellStyle name="Normal 8 3 2 2 6 4" xfId="19180" xr:uid="{51992B28-D121-40EC-B37D-8A511738DFF9}"/>
    <cellStyle name="Normal 8 3 2 2 6 5" xfId="27625" xr:uid="{353BBA69-921B-4740-8C79-1FCD4E040B84}"/>
    <cellStyle name="Normal 8 3 2 2 6 6" xfId="10739" xr:uid="{84DCF5C9-0360-4FAD-B5A4-D0FBA86D280E}"/>
    <cellStyle name="Normal 8 3 2 2 7" xfId="2644" xr:uid="{00000000-0005-0000-0000-0000571D0000}"/>
    <cellStyle name="Normal 8 3 2 2 7 2" xfId="6928" xr:uid="{00000000-0005-0000-0000-0000581D0000}"/>
    <cellStyle name="Normal 8 3 2 2 7 2 2" xfId="23811" xr:uid="{483769E0-7166-402A-ABB0-2266F0783C12}"/>
    <cellStyle name="Normal 8 3 2 2 7 2 3" xfId="32257" xr:uid="{DA2C800A-5B59-437C-AADD-D235FBD028AF}"/>
    <cellStyle name="Normal 8 3 2 2 7 2 4" xfId="15370" xr:uid="{EE39BB33-2E7D-47B3-AA01-529A50DB99ED}"/>
    <cellStyle name="Normal 8 3 2 2 7 3" xfId="19593" xr:uid="{F1E1E2E8-C8E8-4C89-9975-941F44CD5298}"/>
    <cellStyle name="Normal 8 3 2 2 7 4" xfId="28038" xr:uid="{AEC186FE-A377-4AD1-A90A-F0E21064182E}"/>
    <cellStyle name="Normal 8 3 2 2 7 5" xfId="11152" xr:uid="{8CFF5159-F03C-4EDA-AB26-682CE13BBA87}"/>
    <cellStyle name="Normal 8 3 2 2 8" xfId="4863" xr:uid="{00000000-0005-0000-0000-0000591D0000}"/>
    <cellStyle name="Normal 8 3 2 2 8 2" xfId="21746" xr:uid="{DF34DFDA-8F52-442E-A0EF-A87982A9DE7A}"/>
    <cellStyle name="Normal 8 3 2 2 8 3" xfId="30192" xr:uid="{A82C8326-9D09-4EF6-963B-CF36294280E0}"/>
    <cellStyle name="Normal 8 3 2 2 8 4" xfId="13305" xr:uid="{3F755AF2-0C7C-4345-8F84-6547B778334F}"/>
    <cellStyle name="Normal 8 3 2 2 9" xfId="17528" xr:uid="{E3434E85-744C-415C-90AD-8C2F476616D5}"/>
    <cellStyle name="Normal 8 3 2 3" xfId="499" xr:uid="{00000000-0005-0000-0000-00005A1D0000}"/>
    <cellStyle name="Normal 8 3 2 3 10" xfId="9089" xr:uid="{39EB0DB9-E317-4206-A47A-CB9A48696E12}"/>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24306" xr:uid="{8E0BBC1D-7D0E-4806-A161-D5B7CCBBCCA9}"/>
    <cellStyle name="Normal 8 3 2 3 2 2 2 3" xfId="32752" xr:uid="{A59B75AF-BECE-4D79-986A-4527026A5BC5}"/>
    <cellStyle name="Normal 8 3 2 3 2 2 2 4" xfId="15865" xr:uid="{96A6F781-687C-464C-B9C9-9937C37CA53A}"/>
    <cellStyle name="Normal 8 3 2 3 2 2 3" xfId="20088" xr:uid="{29AA8948-48EA-4A69-AB65-AB3E1BE37468}"/>
    <cellStyle name="Normal 8 3 2 3 2 2 4" xfId="28535" xr:uid="{36446076-6D4F-47EB-8616-BB8A0C8F9A48}"/>
    <cellStyle name="Normal 8 3 2 3 2 2 5" xfId="11647" xr:uid="{688E8ACB-D397-49C6-ADD5-140EBC57E9D6}"/>
    <cellStyle name="Normal 8 3 2 3 2 3" xfId="5278" xr:uid="{00000000-0005-0000-0000-00005E1D0000}"/>
    <cellStyle name="Normal 8 3 2 3 2 3 2" xfId="22161" xr:uid="{F4B12604-72D8-46E7-9268-E31D7ECD2FD7}"/>
    <cellStyle name="Normal 8 3 2 3 2 3 3" xfId="30607" xr:uid="{CEF0562D-A6E6-4C6D-BA78-43F0B682BDD6}"/>
    <cellStyle name="Normal 8 3 2 3 2 3 4" xfId="13720" xr:uid="{29F28F01-200E-4777-8BC0-BEE8CBC14CD8}"/>
    <cellStyle name="Normal 8 3 2 3 2 4" xfId="17943" xr:uid="{29681105-4004-41B1-B357-4CF87C6C8746}"/>
    <cellStyle name="Normal 8 3 2 3 2 5" xfId="26388" xr:uid="{7768937E-B9E4-4057-9A1D-D6905BF62C9C}"/>
    <cellStyle name="Normal 8 3 2 3 2 6" xfId="9502" xr:uid="{BC8D8E7F-4152-48A2-A96F-696C79BFE7A0}"/>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24719" xr:uid="{8C16B09C-541F-4DC3-8936-661008D60AD2}"/>
    <cellStyle name="Normal 8 3 2 3 3 2 2 3" xfId="33165" xr:uid="{BDE92925-1C0D-42B8-BD8B-0E4AB50846A3}"/>
    <cellStyle name="Normal 8 3 2 3 3 2 2 4" xfId="16278" xr:uid="{8A46EC52-9746-4340-BA77-0313F895B28F}"/>
    <cellStyle name="Normal 8 3 2 3 3 2 3" xfId="20501" xr:uid="{EA9DCE2C-5986-4B9A-B1A4-76B5BAA80C5D}"/>
    <cellStyle name="Normal 8 3 2 3 3 2 4" xfId="28948" xr:uid="{17C7F248-8E61-4804-9E8A-A42F435E5A23}"/>
    <cellStyle name="Normal 8 3 2 3 3 2 5" xfId="12060" xr:uid="{73C93BDB-5CF1-4ED3-9788-6BE568DC594B}"/>
    <cellStyle name="Normal 8 3 2 3 3 3" xfId="5691" xr:uid="{00000000-0005-0000-0000-0000621D0000}"/>
    <cellStyle name="Normal 8 3 2 3 3 3 2" xfId="22574" xr:uid="{72B219D2-F30F-4049-B09F-E6231DDAC893}"/>
    <cellStyle name="Normal 8 3 2 3 3 3 3" xfId="31020" xr:uid="{469CC499-BC02-4AFB-98DC-A0B656A662D3}"/>
    <cellStyle name="Normal 8 3 2 3 3 3 4" xfId="14133" xr:uid="{06AFDCE9-A1C9-4C20-805E-44CB89FB3631}"/>
    <cellStyle name="Normal 8 3 2 3 3 4" xfId="18356" xr:uid="{E500765E-6F24-4E06-B09C-CC7C556057A3}"/>
    <cellStyle name="Normal 8 3 2 3 3 5" xfId="26801" xr:uid="{6936D10E-21D4-48BE-9D1D-21968FE06DF2}"/>
    <cellStyle name="Normal 8 3 2 3 3 6" xfId="9915" xr:uid="{C84C0BC1-E5A7-463F-AB05-A2171868B483}"/>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25132" xr:uid="{D2D53A38-A53F-4031-AC23-71557139EB63}"/>
    <cellStyle name="Normal 8 3 2 3 4 2 2 3" xfId="33578" xr:uid="{C246D0A5-AA14-440B-9129-1ECF753C73A3}"/>
    <cellStyle name="Normal 8 3 2 3 4 2 2 4" xfId="16691" xr:uid="{66E5951D-AA83-4CE7-AF3B-624D3F0E67CB}"/>
    <cellStyle name="Normal 8 3 2 3 4 2 3" xfId="20914" xr:uid="{53F8C606-BB6D-4289-93A2-54CDC2DC7281}"/>
    <cellStyle name="Normal 8 3 2 3 4 2 4" xfId="29361" xr:uid="{8F7A93A2-AFFA-4442-BEF2-F0F6B14F79CD}"/>
    <cellStyle name="Normal 8 3 2 3 4 2 5" xfId="12473" xr:uid="{FAFD2C69-6A6C-4EFB-A5A8-6643EDF38F74}"/>
    <cellStyle name="Normal 8 3 2 3 4 3" xfId="6104" xr:uid="{00000000-0005-0000-0000-0000661D0000}"/>
    <cellStyle name="Normal 8 3 2 3 4 3 2" xfId="22987" xr:uid="{4978B64A-8B30-4E29-9933-BAB8182C18CD}"/>
    <cellStyle name="Normal 8 3 2 3 4 3 3" xfId="31433" xr:uid="{78B061B5-DF97-49F7-A3EC-869C0EF7A782}"/>
    <cellStyle name="Normal 8 3 2 3 4 3 4" xfId="14546" xr:uid="{14105C1B-AC37-4DE3-916F-6973236C212B}"/>
    <cellStyle name="Normal 8 3 2 3 4 4" xfId="18769" xr:uid="{4E8CC2CE-3083-4898-B419-C1F7723E5E74}"/>
    <cellStyle name="Normal 8 3 2 3 4 5" xfId="27214" xr:uid="{6E8DD56C-5A9C-46D6-BA3D-1325AECDEC04}"/>
    <cellStyle name="Normal 8 3 2 3 4 6" xfId="10328" xr:uid="{8255C131-EBF5-4B92-B577-E51E096BDAF6}"/>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25545" xr:uid="{4B795AFE-E282-4B1A-A860-9E5194F02730}"/>
    <cellStyle name="Normal 8 3 2 3 5 2 2 3" xfId="33991" xr:uid="{DAF4E92C-E446-47DA-A8AD-E6A03B7D1C35}"/>
    <cellStyle name="Normal 8 3 2 3 5 2 2 4" xfId="17104" xr:uid="{37AC4ACA-9AF3-4191-8BB1-97D99EB1590A}"/>
    <cellStyle name="Normal 8 3 2 3 5 2 3" xfId="21327" xr:uid="{6042FCFB-966B-4C8D-8396-A53D40982831}"/>
    <cellStyle name="Normal 8 3 2 3 5 2 4" xfId="29774" xr:uid="{053E77B8-72E1-4933-B385-4ED1ABF6DF96}"/>
    <cellStyle name="Normal 8 3 2 3 5 2 5" xfId="12886" xr:uid="{918F745D-6170-4E4C-B0FA-20E6AFDD6A48}"/>
    <cellStyle name="Normal 8 3 2 3 5 3" xfId="6517" xr:uid="{00000000-0005-0000-0000-00006A1D0000}"/>
    <cellStyle name="Normal 8 3 2 3 5 3 2" xfId="23400" xr:uid="{618D4B57-3715-4BC9-80E4-830FB2CC1550}"/>
    <cellStyle name="Normal 8 3 2 3 5 3 3" xfId="31846" xr:uid="{454D176C-C936-4EF6-812F-0A4E2422B085}"/>
    <cellStyle name="Normal 8 3 2 3 5 3 4" xfId="14959" xr:uid="{78154E99-17A3-4C79-AC8D-8594EC05E205}"/>
    <cellStyle name="Normal 8 3 2 3 5 4" xfId="19182" xr:uid="{E7E57920-E1A1-48AE-999A-A521A0E7F65E}"/>
    <cellStyle name="Normal 8 3 2 3 5 5" xfId="27627" xr:uid="{382B2C26-3A8E-43C7-A5CE-6E7D0E855FE1}"/>
    <cellStyle name="Normal 8 3 2 3 5 6" xfId="10741" xr:uid="{28DBD050-2436-4BD7-A91E-5609EE60D8B3}"/>
    <cellStyle name="Normal 8 3 2 3 6" xfId="2646" xr:uid="{00000000-0005-0000-0000-00006B1D0000}"/>
    <cellStyle name="Normal 8 3 2 3 6 2" xfId="6930" xr:uid="{00000000-0005-0000-0000-00006C1D0000}"/>
    <cellStyle name="Normal 8 3 2 3 6 2 2" xfId="23813" xr:uid="{C78DBDE7-8A3A-4DB4-AAB2-A4EA17A85E82}"/>
    <cellStyle name="Normal 8 3 2 3 6 2 3" xfId="32259" xr:uid="{148D1D60-75EB-4A3B-933F-33F8C2C40806}"/>
    <cellStyle name="Normal 8 3 2 3 6 2 4" xfId="15372" xr:uid="{E8D45354-A586-4A4F-A717-083BCE9F87BB}"/>
    <cellStyle name="Normal 8 3 2 3 6 3" xfId="19595" xr:uid="{A145593B-A840-4326-90FA-BF21CFBAE5F5}"/>
    <cellStyle name="Normal 8 3 2 3 6 4" xfId="28040" xr:uid="{3095D5D1-8847-4A3C-A60F-71EE4B0B380F}"/>
    <cellStyle name="Normal 8 3 2 3 6 5" xfId="11154" xr:uid="{4BE09B1A-6436-4A0C-BABC-2E6CAFBEB470}"/>
    <cellStyle name="Normal 8 3 2 3 7" xfId="4865" xr:uid="{00000000-0005-0000-0000-00006D1D0000}"/>
    <cellStyle name="Normal 8 3 2 3 7 2" xfId="21748" xr:uid="{A03ACFD7-B585-4FF7-9868-D7789C89349A}"/>
    <cellStyle name="Normal 8 3 2 3 7 3" xfId="30194" xr:uid="{0F314764-3E6D-4C00-B8C7-A98E9F12688D}"/>
    <cellStyle name="Normal 8 3 2 3 7 4" xfId="13307" xr:uid="{086A7C5F-22A0-472A-A904-08AF0203DEE4}"/>
    <cellStyle name="Normal 8 3 2 3 8" xfId="17530" xr:uid="{890794EC-75B6-48DB-927A-69422C404050}"/>
    <cellStyle name="Normal 8 3 2 3 9" xfId="25975" xr:uid="{8E4B81C0-C3EB-48BE-8861-6BEF48C22594}"/>
    <cellStyle name="Normal 8 3 2 4" xfId="963" xr:uid="{00000000-0005-0000-0000-00006E1D0000}"/>
    <cellStyle name="Normal 8 3 2 4 2" xfId="3197" xr:uid="{00000000-0005-0000-0000-00006F1D0000}"/>
    <cellStyle name="Normal 8 3 2 4 2 2" xfId="7420" xr:uid="{00000000-0005-0000-0000-0000701D0000}"/>
    <cellStyle name="Normal 8 3 2 4 2 2 2" xfId="24303" xr:uid="{E8BB6E5D-08AA-44C9-A849-AF98961B187F}"/>
    <cellStyle name="Normal 8 3 2 4 2 2 3" xfId="32749" xr:uid="{98746703-E374-4AF6-89AC-E36737212B1C}"/>
    <cellStyle name="Normal 8 3 2 4 2 2 4" xfId="15862" xr:uid="{87B28EB4-7EF9-48C4-BD55-3452818925E9}"/>
    <cellStyle name="Normal 8 3 2 4 2 3" xfId="20085" xr:uid="{9437DE0C-6EB0-416B-9648-8BA2D38CE328}"/>
    <cellStyle name="Normal 8 3 2 4 2 4" xfId="28532" xr:uid="{8F441BAB-1208-48FC-9C9C-9B950CDB0E65}"/>
    <cellStyle name="Normal 8 3 2 4 2 5" xfId="11644" xr:uid="{2CA9C69A-9A60-4099-A63A-F2EF5074DE60}"/>
    <cellStyle name="Normal 8 3 2 4 3" xfId="5275" xr:uid="{00000000-0005-0000-0000-0000711D0000}"/>
    <cellStyle name="Normal 8 3 2 4 3 2" xfId="22158" xr:uid="{BD7EA7EB-90BC-45BF-A805-E289B48F19EF}"/>
    <cellStyle name="Normal 8 3 2 4 3 3" xfId="30604" xr:uid="{1BD615FA-42F3-42F9-80DB-F72DDFB1CD09}"/>
    <cellStyle name="Normal 8 3 2 4 3 4" xfId="13717" xr:uid="{9F5DD136-2BBE-4330-81AC-093F1AD5FDF3}"/>
    <cellStyle name="Normal 8 3 2 4 4" xfId="17940" xr:uid="{BC864B60-DE86-4D9F-A073-879205C686BE}"/>
    <cellStyle name="Normal 8 3 2 4 5" xfId="26385" xr:uid="{A1B815DF-A904-4D94-8DF2-3A36AFCCAB60}"/>
    <cellStyle name="Normal 8 3 2 4 6" xfId="9499" xr:uid="{DB96ACFC-4A84-47C5-94B5-949960930561}"/>
    <cellStyle name="Normal 8 3 2 5" xfId="1380" xr:uid="{00000000-0005-0000-0000-0000721D0000}"/>
    <cellStyle name="Normal 8 3 2 5 2" xfId="3610" xr:uid="{00000000-0005-0000-0000-0000731D0000}"/>
    <cellStyle name="Normal 8 3 2 5 2 2" xfId="7833" xr:uid="{00000000-0005-0000-0000-0000741D0000}"/>
    <cellStyle name="Normal 8 3 2 5 2 2 2" xfId="24716" xr:uid="{C43DBD29-DF33-468C-B42F-EE7C34C5F446}"/>
    <cellStyle name="Normal 8 3 2 5 2 2 3" xfId="33162" xr:uid="{5234D8AD-09BE-4609-A7F6-53D5AFB60341}"/>
    <cellStyle name="Normal 8 3 2 5 2 2 4" xfId="16275" xr:uid="{CFDA3FD8-7A25-462C-83F8-0F5D4020AD21}"/>
    <cellStyle name="Normal 8 3 2 5 2 3" xfId="20498" xr:uid="{DD65B4F9-9F2A-4C46-B9EF-272BCB43DF76}"/>
    <cellStyle name="Normal 8 3 2 5 2 4" xfId="28945" xr:uid="{F71794C2-6351-4890-A2B1-95C1EDEE7A04}"/>
    <cellStyle name="Normal 8 3 2 5 2 5" xfId="12057" xr:uid="{C13A5EAE-A091-4275-AB89-3C20BDF44F19}"/>
    <cellStyle name="Normal 8 3 2 5 3" xfId="5688" xr:uid="{00000000-0005-0000-0000-0000751D0000}"/>
    <cellStyle name="Normal 8 3 2 5 3 2" xfId="22571" xr:uid="{91EAEFD4-F6C2-4018-8644-5D9839E9EA53}"/>
    <cellStyle name="Normal 8 3 2 5 3 3" xfId="31017" xr:uid="{93FE0EA2-1BAD-408A-82F2-AF7838531468}"/>
    <cellStyle name="Normal 8 3 2 5 3 4" xfId="14130" xr:uid="{D534CD22-6D90-4379-93AF-476BCEC1B9F8}"/>
    <cellStyle name="Normal 8 3 2 5 4" xfId="18353" xr:uid="{A73DA92D-5B22-4073-8034-1E9D602D25E1}"/>
    <cellStyle name="Normal 8 3 2 5 5" xfId="26798" xr:uid="{3A31E0F9-89F9-4EEB-BACE-3EB23630AA4B}"/>
    <cellStyle name="Normal 8 3 2 5 6" xfId="9912" xr:uid="{C96AB92A-E9E9-4BEF-AC22-04830D8FD01A}"/>
    <cellStyle name="Normal 8 3 2 6" xfId="1793" xr:uid="{00000000-0005-0000-0000-0000761D0000}"/>
    <cellStyle name="Normal 8 3 2 6 2" xfId="4023" xr:uid="{00000000-0005-0000-0000-0000771D0000}"/>
    <cellStyle name="Normal 8 3 2 6 2 2" xfId="8246" xr:uid="{00000000-0005-0000-0000-0000781D0000}"/>
    <cellStyle name="Normal 8 3 2 6 2 2 2" xfId="25129" xr:uid="{72A10450-EE5C-4944-B05D-FD8572C60C4C}"/>
    <cellStyle name="Normal 8 3 2 6 2 2 3" xfId="33575" xr:uid="{651C5DE7-4701-4B97-B8BA-B175848A9BC2}"/>
    <cellStyle name="Normal 8 3 2 6 2 2 4" xfId="16688" xr:uid="{F99D74A8-835E-4C8A-90ED-75BA47F5BBCF}"/>
    <cellStyle name="Normal 8 3 2 6 2 3" xfId="20911" xr:uid="{A308AFB7-7DAA-4AAC-8709-4B3E86EF579B}"/>
    <cellStyle name="Normal 8 3 2 6 2 4" xfId="29358" xr:uid="{76AF1BA4-A7D7-4B13-8D8E-906144B66511}"/>
    <cellStyle name="Normal 8 3 2 6 2 5" xfId="12470" xr:uid="{46AE04F2-6873-4FFB-B8D4-67B2B80B335D}"/>
    <cellStyle name="Normal 8 3 2 6 3" xfId="6101" xr:uid="{00000000-0005-0000-0000-0000791D0000}"/>
    <cellStyle name="Normal 8 3 2 6 3 2" xfId="22984" xr:uid="{3ACA97C2-FE73-4503-A1E2-D7E0E5A9ADBA}"/>
    <cellStyle name="Normal 8 3 2 6 3 3" xfId="31430" xr:uid="{37F99173-4B5A-4917-8DE8-94BACFD1328E}"/>
    <cellStyle name="Normal 8 3 2 6 3 4" xfId="14543" xr:uid="{EB5958E8-4606-4DF2-99B7-5ED23824792E}"/>
    <cellStyle name="Normal 8 3 2 6 4" xfId="18766" xr:uid="{96C2B3F9-6531-4C4C-8D4E-9D27CA393F43}"/>
    <cellStyle name="Normal 8 3 2 6 5" xfId="27211" xr:uid="{1E334C18-BB08-4005-839E-5E789937F4A4}"/>
    <cellStyle name="Normal 8 3 2 6 6" xfId="10325" xr:uid="{9DFFEA3C-8225-4E4B-822B-7DAAC5D25F7F}"/>
    <cellStyle name="Normal 8 3 2 7" xfId="2207" xr:uid="{00000000-0005-0000-0000-00007A1D0000}"/>
    <cellStyle name="Normal 8 3 2 7 2" xfId="4436" xr:uid="{00000000-0005-0000-0000-00007B1D0000}"/>
    <cellStyle name="Normal 8 3 2 7 2 2" xfId="8659" xr:uid="{00000000-0005-0000-0000-00007C1D0000}"/>
    <cellStyle name="Normal 8 3 2 7 2 2 2" xfId="25542" xr:uid="{1C07E83B-6369-4EE3-9D19-798546C02A43}"/>
    <cellStyle name="Normal 8 3 2 7 2 2 3" xfId="33988" xr:uid="{F0BAC9D5-49EA-43F0-AE7F-1A514D9072DA}"/>
    <cellStyle name="Normal 8 3 2 7 2 2 4" xfId="17101" xr:uid="{97A7CBAC-AA97-4531-A995-64686DF14EFD}"/>
    <cellStyle name="Normal 8 3 2 7 2 3" xfId="21324" xr:uid="{6DC31F70-34A4-4FCD-A9BE-020C721B8B67}"/>
    <cellStyle name="Normal 8 3 2 7 2 4" xfId="29771" xr:uid="{D121F92B-121B-4B53-ACD9-0367BE21EFCC}"/>
    <cellStyle name="Normal 8 3 2 7 2 5" xfId="12883" xr:uid="{075D9A7F-25B2-414A-8291-67E388104380}"/>
    <cellStyle name="Normal 8 3 2 7 3" xfId="6514" xr:uid="{00000000-0005-0000-0000-00007D1D0000}"/>
    <cellStyle name="Normal 8 3 2 7 3 2" xfId="23397" xr:uid="{855792B1-8C50-4019-A68D-722647281351}"/>
    <cellStyle name="Normal 8 3 2 7 3 3" xfId="31843" xr:uid="{A9819735-D2C2-41A9-8D83-1505CEA290AF}"/>
    <cellStyle name="Normal 8 3 2 7 3 4" xfId="14956" xr:uid="{DF85AA4D-26C9-4396-AAFB-F8FDF07D611F}"/>
    <cellStyle name="Normal 8 3 2 7 4" xfId="19179" xr:uid="{6C69266B-A7E4-4B1E-8E58-D94C69D16FB5}"/>
    <cellStyle name="Normal 8 3 2 7 5" xfId="27624" xr:uid="{DFF6FD17-5F41-492F-BA73-C752FDD9BBF6}"/>
    <cellStyle name="Normal 8 3 2 7 6" xfId="10738" xr:uid="{86DB1129-D67C-4C2F-8EEF-041649C10D47}"/>
    <cellStyle name="Normal 8 3 2 8" xfId="2643" xr:uid="{00000000-0005-0000-0000-00007E1D0000}"/>
    <cellStyle name="Normal 8 3 2 8 2" xfId="6927" xr:uid="{00000000-0005-0000-0000-00007F1D0000}"/>
    <cellStyle name="Normal 8 3 2 8 2 2" xfId="23810" xr:uid="{D09A792B-60E9-481B-8C3D-5432584DDEFE}"/>
    <cellStyle name="Normal 8 3 2 8 2 3" xfId="32256" xr:uid="{4A0391E6-E42C-4365-A8C5-1B9FA425CCBA}"/>
    <cellStyle name="Normal 8 3 2 8 2 4" xfId="15369" xr:uid="{8FA93811-2AA7-4F0F-BE14-3943999C14FD}"/>
    <cellStyle name="Normal 8 3 2 8 3" xfId="19592" xr:uid="{F63219FC-BB3B-4818-BB9B-9E3A9CE93977}"/>
    <cellStyle name="Normal 8 3 2 8 4" xfId="28037" xr:uid="{911230B4-D13A-4223-A588-BE97F1D2F1DC}"/>
    <cellStyle name="Normal 8 3 2 8 5" xfId="11151" xr:uid="{D04FC44D-55EF-4019-822E-9CF6F15EAEC9}"/>
    <cellStyle name="Normal 8 3 2 9" xfId="4862" xr:uid="{00000000-0005-0000-0000-0000801D0000}"/>
    <cellStyle name="Normal 8 3 2 9 2" xfId="21745" xr:uid="{2A0C010E-29B3-4058-84CA-8A89075AD9E4}"/>
    <cellStyle name="Normal 8 3 2 9 3" xfId="30191" xr:uid="{ECD63591-C6DC-4D10-AF12-93B6B9E8AE40}"/>
    <cellStyle name="Normal 8 3 2 9 4" xfId="13304" xr:uid="{F6CBC806-3026-4591-B52A-65D252989E72}"/>
    <cellStyle name="Normal 8 3 3" xfId="500" xr:uid="{00000000-0005-0000-0000-0000811D0000}"/>
    <cellStyle name="Normal 8 3 3 10" xfId="25976" xr:uid="{56E31B30-C449-439E-A284-E295060EF9B9}"/>
    <cellStyle name="Normal 8 3 3 11" xfId="9090" xr:uid="{15CA5756-BFF6-41A5-A6BC-5B49EEDD6363}"/>
    <cellStyle name="Normal 8 3 3 2" xfId="501" xr:uid="{00000000-0005-0000-0000-0000821D0000}"/>
    <cellStyle name="Normal 8 3 3 2 10" xfId="9091" xr:uid="{7BF6E54D-848F-4DD2-84ED-FC1874C0A887}"/>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24308" xr:uid="{6E450C28-9E75-4B58-BE1D-06FD087CB9FA}"/>
    <cellStyle name="Normal 8 3 3 2 2 2 2 3" xfId="32754" xr:uid="{DB14CF01-E79C-4A3A-A8DC-EE722059AEC5}"/>
    <cellStyle name="Normal 8 3 3 2 2 2 2 4" xfId="15867" xr:uid="{690A9FB7-5503-4A8D-BE8A-53BC9BC758C2}"/>
    <cellStyle name="Normal 8 3 3 2 2 2 3" xfId="20090" xr:uid="{20A79E4F-7543-463E-962B-3AB405031B2C}"/>
    <cellStyle name="Normal 8 3 3 2 2 2 4" xfId="28537" xr:uid="{8FFF22C7-99E3-4096-8FD6-A5B9AB70F25F}"/>
    <cellStyle name="Normal 8 3 3 2 2 2 5" xfId="11649" xr:uid="{EF8F5BF1-04F0-43D8-A7E8-EA306ECC1088}"/>
    <cellStyle name="Normal 8 3 3 2 2 3" xfId="5280" xr:uid="{00000000-0005-0000-0000-0000861D0000}"/>
    <cellStyle name="Normal 8 3 3 2 2 3 2" xfId="22163" xr:uid="{6557AB6C-679E-4CA0-A715-44F7202338EA}"/>
    <cellStyle name="Normal 8 3 3 2 2 3 3" xfId="30609" xr:uid="{FED56C2D-6CCB-4337-96AB-7696F6C4072E}"/>
    <cellStyle name="Normal 8 3 3 2 2 3 4" xfId="13722" xr:uid="{53EF7BD3-F61B-423B-A410-D2E062828CC2}"/>
    <cellStyle name="Normal 8 3 3 2 2 4" xfId="17945" xr:uid="{B2E845F2-6A25-4BC3-961C-A03C961D6353}"/>
    <cellStyle name="Normal 8 3 3 2 2 5" xfId="26390" xr:uid="{728D365C-C16D-4D9C-84B3-9E9BBD2F1180}"/>
    <cellStyle name="Normal 8 3 3 2 2 6" xfId="9504" xr:uid="{22885028-3045-4ADF-823C-609F840CE50C}"/>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24721" xr:uid="{7C9166BC-0579-4A4C-BD4B-18AFFE08479D}"/>
    <cellStyle name="Normal 8 3 3 2 3 2 2 3" xfId="33167" xr:uid="{D8A748AE-56F6-463B-8E86-98CFAADE9B14}"/>
    <cellStyle name="Normal 8 3 3 2 3 2 2 4" xfId="16280" xr:uid="{73F81F1E-71E0-4EA0-84B0-274DF99AD84A}"/>
    <cellStyle name="Normal 8 3 3 2 3 2 3" xfId="20503" xr:uid="{CFF623C3-E294-480D-A5C5-4FBBEC68383F}"/>
    <cellStyle name="Normal 8 3 3 2 3 2 4" xfId="28950" xr:uid="{B1645E74-9135-48DA-9915-FACB70DF00AC}"/>
    <cellStyle name="Normal 8 3 3 2 3 2 5" xfId="12062" xr:uid="{9617A244-068A-46A2-9443-A002C94E5856}"/>
    <cellStyle name="Normal 8 3 3 2 3 3" xfId="5693" xr:uid="{00000000-0005-0000-0000-00008A1D0000}"/>
    <cellStyle name="Normal 8 3 3 2 3 3 2" xfId="22576" xr:uid="{AC4C7B07-FD1C-4512-BFF0-715498D9BED9}"/>
    <cellStyle name="Normal 8 3 3 2 3 3 3" xfId="31022" xr:uid="{A4129EE3-A0D2-448E-A428-91932B71F1EE}"/>
    <cellStyle name="Normal 8 3 3 2 3 3 4" xfId="14135" xr:uid="{8170C04A-FB18-44CA-A89A-99AAB21EC1D8}"/>
    <cellStyle name="Normal 8 3 3 2 3 4" xfId="18358" xr:uid="{EED77F13-72D6-438D-BF7E-0C727DBE1A4A}"/>
    <cellStyle name="Normal 8 3 3 2 3 5" xfId="26803" xr:uid="{4842766F-6A83-4B65-B8AE-A1A53B78C275}"/>
    <cellStyle name="Normal 8 3 3 2 3 6" xfId="9917" xr:uid="{8D44FBD3-4E15-4B30-AB87-E31075C39480}"/>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25134" xr:uid="{718D93DB-41DB-410F-859A-80BD8B1539D7}"/>
    <cellStyle name="Normal 8 3 3 2 4 2 2 3" xfId="33580" xr:uid="{EE8141C3-31D0-4B25-BCFD-AD7A66613051}"/>
    <cellStyle name="Normal 8 3 3 2 4 2 2 4" xfId="16693" xr:uid="{E2F6A53E-8F11-4BE9-8963-1A250937AA75}"/>
    <cellStyle name="Normal 8 3 3 2 4 2 3" xfId="20916" xr:uid="{7C544246-DD43-4C5C-A49C-0411B971C0B7}"/>
    <cellStyle name="Normal 8 3 3 2 4 2 4" xfId="29363" xr:uid="{BA7A64DF-2C6C-4107-B0F1-F2B2B4D89FBB}"/>
    <cellStyle name="Normal 8 3 3 2 4 2 5" xfId="12475" xr:uid="{E00BBE88-05CC-4215-843D-BB02D3ACCD4D}"/>
    <cellStyle name="Normal 8 3 3 2 4 3" xfId="6106" xr:uid="{00000000-0005-0000-0000-00008E1D0000}"/>
    <cellStyle name="Normal 8 3 3 2 4 3 2" xfId="22989" xr:uid="{2433D92E-F69F-4930-83C0-984EBBA75782}"/>
    <cellStyle name="Normal 8 3 3 2 4 3 3" xfId="31435" xr:uid="{0DA00A0B-6BFB-458A-A21F-2397327C6394}"/>
    <cellStyle name="Normal 8 3 3 2 4 3 4" xfId="14548" xr:uid="{C824A7F6-F17B-4A9B-A29C-3EF45D8A21AE}"/>
    <cellStyle name="Normal 8 3 3 2 4 4" xfId="18771" xr:uid="{C3E4B396-180B-4D91-8752-611423FFA710}"/>
    <cellStyle name="Normal 8 3 3 2 4 5" xfId="27216" xr:uid="{89B594D6-5D56-4A63-AB72-B43C035074BC}"/>
    <cellStyle name="Normal 8 3 3 2 4 6" xfId="10330" xr:uid="{411A1229-B96F-45D4-B76E-E345CAC1F4B7}"/>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25547" xr:uid="{C0A5DF20-0DFB-4488-99D2-BE334800F54D}"/>
    <cellStyle name="Normal 8 3 3 2 5 2 2 3" xfId="33993" xr:uid="{260E841F-F745-4416-B00E-7F06B691EB8C}"/>
    <cellStyle name="Normal 8 3 3 2 5 2 2 4" xfId="17106" xr:uid="{C88AAC1B-F596-4502-AF60-E07FFF812CC6}"/>
    <cellStyle name="Normal 8 3 3 2 5 2 3" xfId="21329" xr:uid="{7B5BCFF6-125F-48D7-A4BD-FEFD0652F65D}"/>
    <cellStyle name="Normal 8 3 3 2 5 2 4" xfId="29776" xr:uid="{995FFA13-64B9-4AB1-BA21-5D6BD29B5762}"/>
    <cellStyle name="Normal 8 3 3 2 5 2 5" xfId="12888" xr:uid="{BA2AD161-7EAC-45C6-B662-BB61DDD3FE39}"/>
    <cellStyle name="Normal 8 3 3 2 5 3" xfId="6519" xr:uid="{00000000-0005-0000-0000-0000921D0000}"/>
    <cellStyle name="Normal 8 3 3 2 5 3 2" xfId="23402" xr:uid="{17FCD846-DB13-46E5-A03F-1F3631542A5C}"/>
    <cellStyle name="Normal 8 3 3 2 5 3 3" xfId="31848" xr:uid="{E80ACFC0-4F51-4715-BB98-920BA0B91AA5}"/>
    <cellStyle name="Normal 8 3 3 2 5 3 4" xfId="14961" xr:uid="{72E77312-F3A8-40E1-BC2C-D9A17AE1F8F6}"/>
    <cellStyle name="Normal 8 3 3 2 5 4" xfId="19184" xr:uid="{D8B0B0EF-F641-4190-9C36-72650D68F1E7}"/>
    <cellStyle name="Normal 8 3 3 2 5 5" xfId="27629" xr:uid="{DACB2148-37FF-488A-B72A-344BBB09C692}"/>
    <cellStyle name="Normal 8 3 3 2 5 6" xfId="10743" xr:uid="{F589B5F1-277F-4DDB-B616-A8869D71D59E}"/>
    <cellStyle name="Normal 8 3 3 2 6" xfId="2648" xr:uid="{00000000-0005-0000-0000-0000931D0000}"/>
    <cellStyle name="Normal 8 3 3 2 6 2" xfId="6932" xr:uid="{00000000-0005-0000-0000-0000941D0000}"/>
    <cellStyle name="Normal 8 3 3 2 6 2 2" xfId="23815" xr:uid="{BFA3D655-978D-476A-B8CE-1398F6994E0E}"/>
    <cellStyle name="Normal 8 3 3 2 6 2 3" xfId="32261" xr:uid="{4D543164-CA69-418B-887D-BF37DADF35B8}"/>
    <cellStyle name="Normal 8 3 3 2 6 2 4" xfId="15374" xr:uid="{62B642B3-FCE8-40A0-A5C3-C3EC38F8DF15}"/>
    <cellStyle name="Normal 8 3 3 2 6 3" xfId="19597" xr:uid="{A7D69216-F9DD-474F-97A6-04847CF6CC73}"/>
    <cellStyle name="Normal 8 3 3 2 6 4" xfId="28042" xr:uid="{020599EF-0894-47BC-9946-D4B5C0289943}"/>
    <cellStyle name="Normal 8 3 3 2 6 5" xfId="11156" xr:uid="{4425347A-1AD4-4C20-9F3F-907BA73D3A51}"/>
    <cellStyle name="Normal 8 3 3 2 7" xfId="4867" xr:uid="{00000000-0005-0000-0000-0000951D0000}"/>
    <cellStyle name="Normal 8 3 3 2 7 2" xfId="21750" xr:uid="{E865D44D-4059-4E4B-9AE1-73543BDA2870}"/>
    <cellStyle name="Normal 8 3 3 2 7 3" xfId="30196" xr:uid="{0741E172-AF11-47C3-A0AB-0A455275177D}"/>
    <cellStyle name="Normal 8 3 3 2 7 4" xfId="13309" xr:uid="{0E909A0B-97FD-48A3-BD03-201F3DFA7734}"/>
    <cellStyle name="Normal 8 3 3 2 8" xfId="17532" xr:uid="{0A47ED6F-20F9-471A-912E-8494163B4BFF}"/>
    <cellStyle name="Normal 8 3 3 2 9" xfId="25977" xr:uid="{1F78D918-92ED-4B10-80B2-576F8DA23598}"/>
    <cellStyle name="Normal 8 3 3 3" xfId="967" xr:uid="{00000000-0005-0000-0000-0000961D0000}"/>
    <cellStyle name="Normal 8 3 3 3 2" xfId="3201" xr:uid="{00000000-0005-0000-0000-0000971D0000}"/>
    <cellStyle name="Normal 8 3 3 3 2 2" xfId="7424" xr:uid="{00000000-0005-0000-0000-0000981D0000}"/>
    <cellStyle name="Normal 8 3 3 3 2 2 2" xfId="24307" xr:uid="{DAB8008C-1283-4533-97BD-21B9987761F5}"/>
    <cellStyle name="Normal 8 3 3 3 2 2 3" xfId="32753" xr:uid="{690587DB-C0E6-4DB6-BD65-C5A95A67BC22}"/>
    <cellStyle name="Normal 8 3 3 3 2 2 4" xfId="15866" xr:uid="{EB7180CA-6FCC-4942-8046-B06155247D4C}"/>
    <cellStyle name="Normal 8 3 3 3 2 3" xfId="20089" xr:uid="{5854E0E0-1D4C-497F-A446-CAEA4ED5E480}"/>
    <cellStyle name="Normal 8 3 3 3 2 4" xfId="28536" xr:uid="{3C3310C3-FAC9-4B4C-9A51-9F9E2D5D989B}"/>
    <cellStyle name="Normal 8 3 3 3 2 5" xfId="11648" xr:uid="{2B3F19BA-CECA-4501-A513-81DB0DCB05A6}"/>
    <cellStyle name="Normal 8 3 3 3 3" xfId="5279" xr:uid="{00000000-0005-0000-0000-0000991D0000}"/>
    <cellStyle name="Normal 8 3 3 3 3 2" xfId="22162" xr:uid="{B633A4B9-503E-4B3D-974F-C9B3C1615662}"/>
    <cellStyle name="Normal 8 3 3 3 3 3" xfId="30608" xr:uid="{B4465732-6ED6-4C90-8019-7535CFD4D8D2}"/>
    <cellStyle name="Normal 8 3 3 3 3 4" xfId="13721" xr:uid="{247AAF08-D18C-4396-86B4-DCC5ED0E3236}"/>
    <cellStyle name="Normal 8 3 3 3 4" xfId="17944" xr:uid="{5041068E-9085-42C0-B0B1-31D9D152C6FA}"/>
    <cellStyle name="Normal 8 3 3 3 5" xfId="26389" xr:uid="{F17C1065-F076-437F-9503-2C313070D6E5}"/>
    <cellStyle name="Normal 8 3 3 3 6" xfId="9503" xr:uid="{B2DA97D7-F3D9-46FE-AC89-7B2E892CD2E9}"/>
    <cellStyle name="Normal 8 3 3 4" xfId="1384" xr:uid="{00000000-0005-0000-0000-00009A1D0000}"/>
    <cellStyle name="Normal 8 3 3 4 2" xfId="3614" xr:uid="{00000000-0005-0000-0000-00009B1D0000}"/>
    <cellStyle name="Normal 8 3 3 4 2 2" xfId="7837" xr:uid="{00000000-0005-0000-0000-00009C1D0000}"/>
    <cellStyle name="Normal 8 3 3 4 2 2 2" xfId="24720" xr:uid="{5B3A01A8-3A30-401B-919A-019E1C3DF493}"/>
    <cellStyle name="Normal 8 3 3 4 2 2 3" xfId="33166" xr:uid="{A60CE98A-5104-4254-A04F-3518E19324D5}"/>
    <cellStyle name="Normal 8 3 3 4 2 2 4" xfId="16279" xr:uid="{1BE463AA-E33E-43DF-88E1-0E7793D67FB7}"/>
    <cellStyle name="Normal 8 3 3 4 2 3" xfId="20502" xr:uid="{A9FA1691-4E3B-49BE-9156-3D598122E73B}"/>
    <cellStyle name="Normal 8 3 3 4 2 4" xfId="28949" xr:uid="{A81F11A3-AF72-432A-95D8-BC059C20F349}"/>
    <cellStyle name="Normal 8 3 3 4 2 5" xfId="12061" xr:uid="{92A9003B-C0CE-4977-8C83-96B5A4427DCC}"/>
    <cellStyle name="Normal 8 3 3 4 3" xfId="5692" xr:uid="{00000000-0005-0000-0000-00009D1D0000}"/>
    <cellStyle name="Normal 8 3 3 4 3 2" xfId="22575" xr:uid="{666ED16B-BC8B-48F1-81D7-D171A941953B}"/>
    <cellStyle name="Normal 8 3 3 4 3 3" xfId="31021" xr:uid="{70F9B013-77F8-44F8-9264-4DC3A8AC0DB8}"/>
    <cellStyle name="Normal 8 3 3 4 3 4" xfId="14134" xr:uid="{E5D9BCB6-680C-4901-B270-89C28C346400}"/>
    <cellStyle name="Normal 8 3 3 4 4" xfId="18357" xr:uid="{56D3EE48-1153-4E14-8A2E-8E54F251065E}"/>
    <cellStyle name="Normal 8 3 3 4 5" xfId="26802" xr:uid="{43D005A0-96DD-4B26-8564-1D53DF4C4415}"/>
    <cellStyle name="Normal 8 3 3 4 6" xfId="9916" xr:uid="{5F8D40C8-095C-4729-A6B9-18D2C53FBEE5}"/>
    <cellStyle name="Normal 8 3 3 5" xfId="1797" xr:uid="{00000000-0005-0000-0000-00009E1D0000}"/>
    <cellStyle name="Normal 8 3 3 5 2" xfId="4027" xr:uid="{00000000-0005-0000-0000-00009F1D0000}"/>
    <cellStyle name="Normal 8 3 3 5 2 2" xfId="8250" xr:uid="{00000000-0005-0000-0000-0000A01D0000}"/>
    <cellStyle name="Normal 8 3 3 5 2 2 2" xfId="25133" xr:uid="{7732BCAC-6B6F-413B-BEDA-1FA0FA6EDB3C}"/>
    <cellStyle name="Normal 8 3 3 5 2 2 3" xfId="33579" xr:uid="{CD44EF10-EA62-45A7-9477-1F43C40AF829}"/>
    <cellStyle name="Normal 8 3 3 5 2 2 4" xfId="16692" xr:uid="{F77BAA89-19A4-4305-86D4-65B60F76AC98}"/>
    <cellStyle name="Normal 8 3 3 5 2 3" xfId="20915" xr:uid="{9CC06EF5-40B8-4213-AF12-A21E3D47439C}"/>
    <cellStyle name="Normal 8 3 3 5 2 4" xfId="29362" xr:uid="{0984A37C-C8CA-4188-9A51-78BD08962DCF}"/>
    <cellStyle name="Normal 8 3 3 5 2 5" xfId="12474" xr:uid="{04EEB0AD-35B4-4203-8B18-9EF22E7E92B6}"/>
    <cellStyle name="Normal 8 3 3 5 3" xfId="6105" xr:uid="{00000000-0005-0000-0000-0000A11D0000}"/>
    <cellStyle name="Normal 8 3 3 5 3 2" xfId="22988" xr:uid="{D7AD974D-97A6-4332-B35F-3FEB3546DBA1}"/>
    <cellStyle name="Normal 8 3 3 5 3 3" xfId="31434" xr:uid="{5CEC89AF-600B-4E46-B0D9-89107FF5CAA4}"/>
    <cellStyle name="Normal 8 3 3 5 3 4" xfId="14547" xr:uid="{14355E8F-FD21-4D40-9680-3D155D766C4C}"/>
    <cellStyle name="Normal 8 3 3 5 4" xfId="18770" xr:uid="{CD08F2DF-79B9-495F-88B0-53987588165A}"/>
    <cellStyle name="Normal 8 3 3 5 5" xfId="27215" xr:uid="{97C0A326-BEFC-489E-8108-E05718BC38BB}"/>
    <cellStyle name="Normal 8 3 3 5 6" xfId="10329" xr:uid="{50B0C0A2-E551-4D0E-8800-6D0BFA808634}"/>
    <cellStyle name="Normal 8 3 3 6" xfId="2211" xr:uid="{00000000-0005-0000-0000-0000A21D0000}"/>
    <cellStyle name="Normal 8 3 3 6 2" xfId="4440" xr:uid="{00000000-0005-0000-0000-0000A31D0000}"/>
    <cellStyle name="Normal 8 3 3 6 2 2" xfId="8663" xr:uid="{00000000-0005-0000-0000-0000A41D0000}"/>
    <cellStyle name="Normal 8 3 3 6 2 2 2" xfId="25546" xr:uid="{FA7F70D6-54DF-4734-BB4F-7BBF9D477EE8}"/>
    <cellStyle name="Normal 8 3 3 6 2 2 3" xfId="33992" xr:uid="{FE24D5BB-E78B-4CDB-B9F5-94B4FF1DDCA1}"/>
    <cellStyle name="Normal 8 3 3 6 2 2 4" xfId="17105" xr:uid="{CD51FAC8-23FB-49A3-ACAA-FC193D5C5358}"/>
    <cellStyle name="Normal 8 3 3 6 2 3" xfId="21328" xr:uid="{53D9FE6D-32F9-47C1-BB3D-A354493ABA03}"/>
    <cellStyle name="Normal 8 3 3 6 2 4" xfId="29775" xr:uid="{1EA04864-5D33-4CA0-AFBD-28DACE0A3774}"/>
    <cellStyle name="Normal 8 3 3 6 2 5" xfId="12887" xr:uid="{48121A3B-237C-4ABB-86DB-4EC4271AA54E}"/>
    <cellStyle name="Normal 8 3 3 6 3" xfId="6518" xr:uid="{00000000-0005-0000-0000-0000A51D0000}"/>
    <cellStyle name="Normal 8 3 3 6 3 2" xfId="23401" xr:uid="{17445615-A311-4296-9C4C-92404FC1B1B5}"/>
    <cellStyle name="Normal 8 3 3 6 3 3" xfId="31847" xr:uid="{2A6263ED-F99B-46FA-8549-1ECEAA0BF0B6}"/>
    <cellStyle name="Normal 8 3 3 6 3 4" xfId="14960" xr:uid="{27CD80C7-42A3-45FF-A9F8-3EB750514F87}"/>
    <cellStyle name="Normal 8 3 3 6 4" xfId="19183" xr:uid="{8B78FEA1-F0A1-4935-BEF5-D6F68B375827}"/>
    <cellStyle name="Normal 8 3 3 6 5" xfId="27628" xr:uid="{893A7670-5DEF-4DD8-B982-47701951A196}"/>
    <cellStyle name="Normal 8 3 3 6 6" xfId="10742" xr:uid="{69482A91-D44F-423F-95D7-5897B2D14813}"/>
    <cellStyle name="Normal 8 3 3 7" xfId="2647" xr:uid="{00000000-0005-0000-0000-0000A61D0000}"/>
    <cellStyle name="Normal 8 3 3 7 2" xfId="6931" xr:uid="{00000000-0005-0000-0000-0000A71D0000}"/>
    <cellStyle name="Normal 8 3 3 7 2 2" xfId="23814" xr:uid="{519DEFE9-8F22-4890-BECD-263F0792DF61}"/>
    <cellStyle name="Normal 8 3 3 7 2 3" xfId="32260" xr:uid="{EC25B059-E128-475A-8B24-AEBF42CD0A98}"/>
    <cellStyle name="Normal 8 3 3 7 2 4" xfId="15373" xr:uid="{25A58301-DF22-4F25-B2E0-D9D4461A813C}"/>
    <cellStyle name="Normal 8 3 3 7 3" xfId="19596" xr:uid="{13A17198-7B60-492D-9E41-2C61144D4B96}"/>
    <cellStyle name="Normal 8 3 3 7 4" xfId="28041" xr:uid="{C6FC3B27-D879-4D20-A951-D9A770B3B7EA}"/>
    <cellStyle name="Normal 8 3 3 7 5" xfId="11155" xr:uid="{35818B67-78AD-4B76-A6EE-DAE266353193}"/>
    <cellStyle name="Normal 8 3 3 8" xfId="4866" xr:uid="{00000000-0005-0000-0000-0000A81D0000}"/>
    <cellStyle name="Normal 8 3 3 8 2" xfId="21749" xr:uid="{F5A210DB-F104-4B99-96DE-A33D1A6B4ECD}"/>
    <cellStyle name="Normal 8 3 3 8 3" xfId="30195" xr:uid="{9A8346F2-95B5-4324-8408-68B0FFAF061F}"/>
    <cellStyle name="Normal 8 3 3 8 4" xfId="13308" xr:uid="{0395EC3B-85FF-4791-9A2E-86E425C92DF9}"/>
    <cellStyle name="Normal 8 3 3 9" xfId="17531" xr:uid="{5BC10C73-A09E-44C5-8715-0E453F7FC806}"/>
    <cellStyle name="Normal 8 3 4" xfId="502" xr:uid="{00000000-0005-0000-0000-0000A91D0000}"/>
    <cellStyle name="Normal 8 3 4 10" xfId="9092" xr:uid="{99DE7B91-FC49-4A7D-8ADC-5CECA0169F3B}"/>
    <cellStyle name="Normal 8 3 4 2" xfId="969" xr:uid="{00000000-0005-0000-0000-0000AA1D0000}"/>
    <cellStyle name="Normal 8 3 4 2 2" xfId="3203" xr:uid="{00000000-0005-0000-0000-0000AB1D0000}"/>
    <cellStyle name="Normal 8 3 4 2 2 2" xfId="7426" xr:uid="{00000000-0005-0000-0000-0000AC1D0000}"/>
    <cellStyle name="Normal 8 3 4 2 2 2 2" xfId="24309" xr:uid="{4D20477B-9D8F-45E7-A6F7-96054CBFA525}"/>
    <cellStyle name="Normal 8 3 4 2 2 2 3" xfId="32755" xr:uid="{0374A997-6C20-4339-B9B4-0758194A4A64}"/>
    <cellStyle name="Normal 8 3 4 2 2 2 4" xfId="15868" xr:uid="{B9D13EBB-B3EF-4C15-AB81-6462528AE3C5}"/>
    <cellStyle name="Normal 8 3 4 2 2 3" xfId="20091" xr:uid="{3D33D32D-EDB2-4285-9CAC-3E47DEA61D4D}"/>
    <cellStyle name="Normal 8 3 4 2 2 4" xfId="28538" xr:uid="{CF41CB05-411A-46DA-A37E-19F612C69019}"/>
    <cellStyle name="Normal 8 3 4 2 2 5" xfId="11650" xr:uid="{D3197D84-1D56-4A92-BE70-D46BE3FBFF31}"/>
    <cellStyle name="Normal 8 3 4 2 3" xfId="5281" xr:uid="{00000000-0005-0000-0000-0000AD1D0000}"/>
    <cellStyle name="Normal 8 3 4 2 3 2" xfId="22164" xr:uid="{ADF1899C-9D23-402C-B9B9-52327741BB51}"/>
    <cellStyle name="Normal 8 3 4 2 3 3" xfId="30610" xr:uid="{7ED4F1D0-5074-415C-A4E8-3CFA7E8A83C2}"/>
    <cellStyle name="Normal 8 3 4 2 3 4" xfId="13723" xr:uid="{091A0B7B-5916-4440-9D1F-42E6A1EC36E3}"/>
    <cellStyle name="Normal 8 3 4 2 4" xfId="17946" xr:uid="{0AD3128D-D7DB-47E9-AF84-5CBAFCE8448B}"/>
    <cellStyle name="Normal 8 3 4 2 5" xfId="26391" xr:uid="{C4CCA612-37DD-49C2-9020-E06EF17BC20A}"/>
    <cellStyle name="Normal 8 3 4 2 6" xfId="9505" xr:uid="{71DFCAF8-03F6-47C1-A8A2-5AE01BFED990}"/>
    <cellStyle name="Normal 8 3 4 3" xfId="1386" xr:uid="{00000000-0005-0000-0000-0000AE1D0000}"/>
    <cellStyle name="Normal 8 3 4 3 2" xfId="3616" xr:uid="{00000000-0005-0000-0000-0000AF1D0000}"/>
    <cellStyle name="Normal 8 3 4 3 2 2" xfId="7839" xr:uid="{00000000-0005-0000-0000-0000B01D0000}"/>
    <cellStyle name="Normal 8 3 4 3 2 2 2" xfId="24722" xr:uid="{F118C0DF-EAC0-4B57-AEB4-832D3A7B911B}"/>
    <cellStyle name="Normal 8 3 4 3 2 2 3" xfId="33168" xr:uid="{167C2F68-2D9B-4E87-8F58-CB453E7F5354}"/>
    <cellStyle name="Normal 8 3 4 3 2 2 4" xfId="16281" xr:uid="{B348AC43-B42D-426F-910D-62B74B0BEDBA}"/>
    <cellStyle name="Normal 8 3 4 3 2 3" xfId="20504" xr:uid="{8A035926-D269-4CBD-BE5A-96B0F80C846C}"/>
    <cellStyle name="Normal 8 3 4 3 2 4" xfId="28951" xr:uid="{7CEE433D-05E7-4B2C-8DA9-0BF1B00C3706}"/>
    <cellStyle name="Normal 8 3 4 3 2 5" xfId="12063" xr:uid="{CF9D0393-B5D5-4DB6-9352-9C0F09ABDBF9}"/>
    <cellStyle name="Normal 8 3 4 3 3" xfId="5694" xr:uid="{00000000-0005-0000-0000-0000B11D0000}"/>
    <cellStyle name="Normal 8 3 4 3 3 2" xfId="22577" xr:uid="{EBCD5E3C-55CA-45EF-9420-3483361EC63B}"/>
    <cellStyle name="Normal 8 3 4 3 3 3" xfId="31023" xr:uid="{6201661E-4AD3-420C-81EB-2CBC7E02AFEE}"/>
    <cellStyle name="Normal 8 3 4 3 3 4" xfId="14136" xr:uid="{3E747C20-1660-4214-87B7-7A0C36433A21}"/>
    <cellStyle name="Normal 8 3 4 3 4" xfId="18359" xr:uid="{81AC0053-F512-4683-AD05-2B016E25692A}"/>
    <cellStyle name="Normal 8 3 4 3 5" xfId="26804" xr:uid="{48C4CD85-70E9-4E65-8CF0-CAC86BD8B54F}"/>
    <cellStyle name="Normal 8 3 4 3 6" xfId="9918" xr:uid="{5C44F4F9-9520-4C09-ADFE-C0053F1AD283}"/>
    <cellStyle name="Normal 8 3 4 4" xfId="1799" xr:uid="{00000000-0005-0000-0000-0000B21D0000}"/>
    <cellStyle name="Normal 8 3 4 4 2" xfId="4029" xr:uid="{00000000-0005-0000-0000-0000B31D0000}"/>
    <cellStyle name="Normal 8 3 4 4 2 2" xfId="8252" xr:uid="{00000000-0005-0000-0000-0000B41D0000}"/>
    <cellStyle name="Normal 8 3 4 4 2 2 2" xfId="25135" xr:uid="{A856EA14-8E17-48C5-B719-B9AAB755CA69}"/>
    <cellStyle name="Normal 8 3 4 4 2 2 3" xfId="33581" xr:uid="{DA244F77-6ACC-4A2C-B8F9-93499057070C}"/>
    <cellStyle name="Normal 8 3 4 4 2 2 4" xfId="16694" xr:uid="{56DD1F93-FE75-4CA9-B1FB-E34225193D37}"/>
    <cellStyle name="Normal 8 3 4 4 2 3" xfId="20917" xr:uid="{50500933-2577-46F6-A914-B875D018C650}"/>
    <cellStyle name="Normal 8 3 4 4 2 4" xfId="29364" xr:uid="{66BF9D04-6291-459C-B309-03792F685865}"/>
    <cellStyle name="Normal 8 3 4 4 2 5" xfId="12476" xr:uid="{460DD38E-8182-4679-A3A7-9275DC51D50F}"/>
    <cellStyle name="Normal 8 3 4 4 3" xfId="6107" xr:uid="{00000000-0005-0000-0000-0000B51D0000}"/>
    <cellStyle name="Normal 8 3 4 4 3 2" xfId="22990" xr:uid="{26415B09-05CF-421F-A31B-F4B7DC1A842C}"/>
    <cellStyle name="Normal 8 3 4 4 3 3" xfId="31436" xr:uid="{A0B100E3-774B-4B20-9D40-D473EDC2ABB7}"/>
    <cellStyle name="Normal 8 3 4 4 3 4" xfId="14549" xr:uid="{2C9E7058-D9E1-466B-8D64-ED64BFFE68B3}"/>
    <cellStyle name="Normal 8 3 4 4 4" xfId="18772" xr:uid="{5826918E-4B1B-4CF0-BE44-6CF2A3B1CA8B}"/>
    <cellStyle name="Normal 8 3 4 4 5" xfId="27217" xr:uid="{3694B7B2-96EB-430F-9E18-19429FBE4DB0}"/>
    <cellStyle name="Normal 8 3 4 4 6" xfId="10331" xr:uid="{BDE9FF98-6E00-4C99-87AF-8370C74FDB16}"/>
    <cellStyle name="Normal 8 3 4 5" xfId="2213" xr:uid="{00000000-0005-0000-0000-0000B61D0000}"/>
    <cellStyle name="Normal 8 3 4 5 2" xfId="4442" xr:uid="{00000000-0005-0000-0000-0000B71D0000}"/>
    <cellStyle name="Normal 8 3 4 5 2 2" xfId="8665" xr:uid="{00000000-0005-0000-0000-0000B81D0000}"/>
    <cellStyle name="Normal 8 3 4 5 2 2 2" xfId="25548" xr:uid="{D9DC8FB7-FEB4-4960-A1A8-E1B0CF77895D}"/>
    <cellStyle name="Normal 8 3 4 5 2 2 3" xfId="33994" xr:uid="{3FB86C62-C616-4D24-AE23-7EB3105BE571}"/>
    <cellStyle name="Normal 8 3 4 5 2 2 4" xfId="17107" xr:uid="{9DA5353D-03D0-4B93-BA37-31C38B3B60E3}"/>
    <cellStyle name="Normal 8 3 4 5 2 3" xfId="21330" xr:uid="{A295E5E8-C5CE-4B52-8A55-356715E4F872}"/>
    <cellStyle name="Normal 8 3 4 5 2 4" xfId="29777" xr:uid="{8CBEF472-A8EE-4E4A-8747-438F7FCF6895}"/>
    <cellStyle name="Normal 8 3 4 5 2 5" xfId="12889" xr:uid="{6BC9CDE9-77B6-47C4-92D6-45791EED5AFD}"/>
    <cellStyle name="Normal 8 3 4 5 3" xfId="6520" xr:uid="{00000000-0005-0000-0000-0000B91D0000}"/>
    <cellStyle name="Normal 8 3 4 5 3 2" xfId="23403" xr:uid="{ADD67621-F88D-4EDC-A81E-2745030E8620}"/>
    <cellStyle name="Normal 8 3 4 5 3 3" xfId="31849" xr:uid="{17018AFB-4BE5-4DB2-A955-92A070399F04}"/>
    <cellStyle name="Normal 8 3 4 5 3 4" xfId="14962" xr:uid="{6DD0A289-FAC7-4FC3-A1B5-E544861DDF16}"/>
    <cellStyle name="Normal 8 3 4 5 4" xfId="19185" xr:uid="{EEE743CA-ADFC-41AF-99CA-BEDD386A60E3}"/>
    <cellStyle name="Normal 8 3 4 5 5" xfId="27630" xr:uid="{D21F74C6-4963-478D-B3AE-8DBB6232E26B}"/>
    <cellStyle name="Normal 8 3 4 5 6" xfId="10744" xr:uid="{7D3A54F3-CAAA-4BC4-A5D5-B9C4B0661F69}"/>
    <cellStyle name="Normal 8 3 4 6" xfId="2649" xr:uid="{00000000-0005-0000-0000-0000BA1D0000}"/>
    <cellStyle name="Normal 8 3 4 6 2" xfId="6933" xr:uid="{00000000-0005-0000-0000-0000BB1D0000}"/>
    <cellStyle name="Normal 8 3 4 6 2 2" xfId="23816" xr:uid="{CA17E629-5C0B-4A2B-BB95-8AD59FE64C79}"/>
    <cellStyle name="Normal 8 3 4 6 2 3" xfId="32262" xr:uid="{50FD7DFE-2AD9-41E3-9D2E-28B719B8CB72}"/>
    <cellStyle name="Normal 8 3 4 6 2 4" xfId="15375" xr:uid="{B7AA0036-9468-42CD-816E-B4A1CE10EB38}"/>
    <cellStyle name="Normal 8 3 4 6 3" xfId="19598" xr:uid="{3EF1EE39-5A2A-4A64-8383-95B2D92D8DEA}"/>
    <cellStyle name="Normal 8 3 4 6 4" xfId="28043" xr:uid="{17EB6829-C83D-4455-A324-335EC0DAEFC4}"/>
    <cellStyle name="Normal 8 3 4 6 5" xfId="11157" xr:uid="{6B108D17-A827-4CE8-B524-617884C0A9D1}"/>
    <cellStyle name="Normal 8 3 4 7" xfId="4868" xr:uid="{00000000-0005-0000-0000-0000BC1D0000}"/>
    <cellStyle name="Normal 8 3 4 7 2" xfId="21751" xr:uid="{8D0EFE4C-3273-4A0E-8559-784387CDAAE4}"/>
    <cellStyle name="Normal 8 3 4 7 3" xfId="30197" xr:uid="{81A6D0C3-507B-4F10-B27B-3A5D16764B62}"/>
    <cellStyle name="Normal 8 3 4 7 4" xfId="13310" xr:uid="{A8A8A3DB-2FD2-4170-A2B3-AB95E8208E47}"/>
    <cellStyle name="Normal 8 3 4 8" xfId="17533" xr:uid="{30895B58-D82C-44E4-9288-0043C4C53DF6}"/>
    <cellStyle name="Normal 8 3 4 9" xfId="25978" xr:uid="{4835AC3F-0400-4F34-9C96-8C5168E9D17C}"/>
    <cellStyle name="Normal 8 3 5" xfId="962" xr:uid="{00000000-0005-0000-0000-0000BD1D0000}"/>
    <cellStyle name="Normal 8 3 5 2" xfId="3196" xr:uid="{00000000-0005-0000-0000-0000BE1D0000}"/>
    <cellStyle name="Normal 8 3 5 2 2" xfId="7419" xr:uid="{00000000-0005-0000-0000-0000BF1D0000}"/>
    <cellStyle name="Normal 8 3 5 2 2 2" xfId="24302" xr:uid="{B4848AAF-18AE-46E0-8692-C4C22EB7FBB4}"/>
    <cellStyle name="Normal 8 3 5 2 2 3" xfId="32748" xr:uid="{D737CDA8-9AC9-4EC7-8AA3-37897833F8A8}"/>
    <cellStyle name="Normal 8 3 5 2 2 4" xfId="15861" xr:uid="{6EED363E-0CE3-4B25-929E-AB88E7071DE8}"/>
    <cellStyle name="Normal 8 3 5 2 3" xfId="20084" xr:uid="{CD06B32A-B28C-4D52-8451-1738769C6F3A}"/>
    <cellStyle name="Normal 8 3 5 2 4" xfId="28531" xr:uid="{179002D5-4157-4162-8B3F-71FB8ACB1BC8}"/>
    <cellStyle name="Normal 8 3 5 2 5" xfId="11643" xr:uid="{506C9DD7-FB91-41B3-8242-8FE359FDB319}"/>
    <cellStyle name="Normal 8 3 5 3" xfId="5274" xr:uid="{00000000-0005-0000-0000-0000C01D0000}"/>
    <cellStyle name="Normal 8 3 5 3 2" xfId="22157" xr:uid="{787CAB02-1347-48F9-8698-178CFA799F51}"/>
    <cellStyle name="Normal 8 3 5 3 3" xfId="30603" xr:uid="{F98236A3-9E16-49C5-A648-9A34C5156D0D}"/>
    <cellStyle name="Normal 8 3 5 3 4" xfId="13716" xr:uid="{AC8B459B-BA04-487B-8990-5476D3BB7CAA}"/>
    <cellStyle name="Normal 8 3 5 4" xfId="17939" xr:uid="{9F7DD252-5881-4B9F-86AC-F30CE81E389A}"/>
    <cellStyle name="Normal 8 3 5 5" xfId="26384" xr:uid="{5123D0E5-0116-46DE-8ADC-53B3D51FD021}"/>
    <cellStyle name="Normal 8 3 5 6" xfId="9498" xr:uid="{95EE407C-ABEE-49B5-89C1-24AD3387C352}"/>
    <cellStyle name="Normal 8 3 6" xfId="1379" xr:uid="{00000000-0005-0000-0000-0000C11D0000}"/>
    <cellStyle name="Normal 8 3 6 2" xfId="3609" xr:uid="{00000000-0005-0000-0000-0000C21D0000}"/>
    <cellStyle name="Normal 8 3 6 2 2" xfId="7832" xr:uid="{00000000-0005-0000-0000-0000C31D0000}"/>
    <cellStyle name="Normal 8 3 6 2 2 2" xfId="24715" xr:uid="{EA5E10B4-1835-4059-839B-8AED0211A61F}"/>
    <cellStyle name="Normal 8 3 6 2 2 3" xfId="33161" xr:uid="{B98B5222-8177-469E-B0CE-BB5A14355264}"/>
    <cellStyle name="Normal 8 3 6 2 2 4" xfId="16274" xr:uid="{958AB637-3249-4769-B4D0-46DB339CC69B}"/>
    <cellStyle name="Normal 8 3 6 2 3" xfId="20497" xr:uid="{5DBD2EB9-A7F9-4F8D-8D13-904A8C7F5E24}"/>
    <cellStyle name="Normal 8 3 6 2 4" xfId="28944" xr:uid="{BB1FF433-677D-4095-9140-29220E2FFD91}"/>
    <cellStyle name="Normal 8 3 6 2 5" xfId="12056" xr:uid="{58887D1D-E0EE-4541-96C1-0B31A4DEE3BB}"/>
    <cellStyle name="Normal 8 3 6 3" xfId="5687" xr:uid="{00000000-0005-0000-0000-0000C41D0000}"/>
    <cellStyle name="Normal 8 3 6 3 2" xfId="22570" xr:uid="{21F47B09-62B7-4843-AC82-AC1B449CC931}"/>
    <cellStyle name="Normal 8 3 6 3 3" xfId="31016" xr:uid="{7376E9CF-570D-42F5-B733-31A678384D35}"/>
    <cellStyle name="Normal 8 3 6 3 4" xfId="14129" xr:uid="{9D0B46FC-A810-4D33-B805-D910BC7839CD}"/>
    <cellStyle name="Normal 8 3 6 4" xfId="18352" xr:uid="{274686C3-F639-4E70-9221-957812D574C8}"/>
    <cellStyle name="Normal 8 3 6 5" xfId="26797" xr:uid="{7B112CD5-61EF-4678-8180-F24E22C582A8}"/>
    <cellStyle name="Normal 8 3 6 6" xfId="9911" xr:uid="{586B938C-2389-4E2B-A585-F59C971CEBED}"/>
    <cellStyle name="Normal 8 3 7" xfId="1792" xr:uid="{00000000-0005-0000-0000-0000C51D0000}"/>
    <cellStyle name="Normal 8 3 7 2" xfId="4022" xr:uid="{00000000-0005-0000-0000-0000C61D0000}"/>
    <cellStyle name="Normal 8 3 7 2 2" xfId="8245" xr:uid="{00000000-0005-0000-0000-0000C71D0000}"/>
    <cellStyle name="Normal 8 3 7 2 2 2" xfId="25128" xr:uid="{E508A5D9-590F-49B0-BBE2-075AB572969E}"/>
    <cellStyle name="Normal 8 3 7 2 2 3" xfId="33574" xr:uid="{D5B03226-34D8-41D0-9A78-1AC1B516E1EA}"/>
    <cellStyle name="Normal 8 3 7 2 2 4" xfId="16687" xr:uid="{9CA3B2C3-0882-452D-A247-A9BC3F2A9125}"/>
    <cellStyle name="Normal 8 3 7 2 3" xfId="20910" xr:uid="{8D4A0584-1717-47DC-83F1-3B27DB250C7D}"/>
    <cellStyle name="Normal 8 3 7 2 4" xfId="29357" xr:uid="{1E885816-B159-4DE5-B5DB-7E3B08EE20EE}"/>
    <cellStyle name="Normal 8 3 7 2 5" xfId="12469" xr:uid="{6887F1B5-4524-4B70-A299-6EAFA059850A}"/>
    <cellStyle name="Normal 8 3 7 3" xfId="6100" xr:uid="{00000000-0005-0000-0000-0000C81D0000}"/>
    <cellStyle name="Normal 8 3 7 3 2" xfId="22983" xr:uid="{FB0EAA50-3D93-4892-AC85-0D058392F43D}"/>
    <cellStyle name="Normal 8 3 7 3 3" xfId="31429" xr:uid="{A0909A2E-98B0-45D9-AC00-FC8ABA58E417}"/>
    <cellStyle name="Normal 8 3 7 3 4" xfId="14542" xr:uid="{3CF216A5-DB24-4F3E-BA10-EA70F6019ADB}"/>
    <cellStyle name="Normal 8 3 7 4" xfId="18765" xr:uid="{B592D9FC-28E0-4C98-9D6A-0DB5317794D2}"/>
    <cellStyle name="Normal 8 3 7 5" xfId="27210" xr:uid="{092A4DC2-6334-4801-8B34-C3E398A4ACA8}"/>
    <cellStyle name="Normal 8 3 7 6" xfId="10324" xr:uid="{29655171-47CE-403A-9C4C-D5007E363F2C}"/>
    <cellStyle name="Normal 8 3 8" xfId="2206" xr:uid="{00000000-0005-0000-0000-0000C91D0000}"/>
    <cellStyle name="Normal 8 3 8 2" xfId="4435" xr:uid="{00000000-0005-0000-0000-0000CA1D0000}"/>
    <cellStyle name="Normal 8 3 8 2 2" xfId="8658" xr:uid="{00000000-0005-0000-0000-0000CB1D0000}"/>
    <cellStyle name="Normal 8 3 8 2 2 2" xfId="25541" xr:uid="{DD48578C-9613-4969-BC94-499DF90B1476}"/>
    <cellStyle name="Normal 8 3 8 2 2 3" xfId="33987" xr:uid="{A455EFC5-E4C5-40C4-B1B4-B1AD03D0FC16}"/>
    <cellStyle name="Normal 8 3 8 2 2 4" xfId="17100" xr:uid="{61626C63-B548-4A6F-B5B4-114B52233B0F}"/>
    <cellStyle name="Normal 8 3 8 2 3" xfId="21323" xr:uid="{6E6E3634-E346-4365-B515-84317BFF9EBA}"/>
    <cellStyle name="Normal 8 3 8 2 4" xfId="29770" xr:uid="{74460767-6643-4F1E-B8CE-C34DBD2B0984}"/>
    <cellStyle name="Normal 8 3 8 2 5" xfId="12882" xr:uid="{73F82BAF-2869-4214-B5D8-ACDBED1FE96C}"/>
    <cellStyle name="Normal 8 3 8 3" xfId="6513" xr:uid="{00000000-0005-0000-0000-0000CC1D0000}"/>
    <cellStyle name="Normal 8 3 8 3 2" xfId="23396" xr:uid="{1E095C80-9849-4D60-943B-3F66C8945764}"/>
    <cellStyle name="Normal 8 3 8 3 3" xfId="31842" xr:uid="{E3423A2F-5432-4F39-ACDE-D6A1FD285724}"/>
    <cellStyle name="Normal 8 3 8 3 4" xfId="14955" xr:uid="{8E07B16A-E26F-48B9-833B-72C38FBCAD97}"/>
    <cellStyle name="Normal 8 3 8 4" xfId="19178" xr:uid="{1320B025-B6DC-4A42-AD4D-21449BDBC963}"/>
    <cellStyle name="Normal 8 3 8 5" xfId="27623" xr:uid="{0D310B44-771E-4F67-B39B-9B589F058143}"/>
    <cellStyle name="Normal 8 3 8 6" xfId="10737" xr:uid="{E984093C-254B-4265-98D8-D5E1BA1DBAF7}"/>
    <cellStyle name="Normal 8 3 9" xfId="2642" xr:uid="{00000000-0005-0000-0000-0000CD1D0000}"/>
    <cellStyle name="Normal 8 3 9 2" xfId="6926" xr:uid="{00000000-0005-0000-0000-0000CE1D0000}"/>
    <cellStyle name="Normal 8 3 9 2 2" xfId="23809" xr:uid="{CD1837EB-ADEE-479E-86D2-977E69A0B7B3}"/>
    <cellStyle name="Normal 8 3 9 2 3" xfId="32255" xr:uid="{622381FE-DC75-4066-A2B7-FA80FD93D222}"/>
    <cellStyle name="Normal 8 3 9 2 4" xfId="15368" xr:uid="{E04F0253-6E7E-4CC2-9E59-1BB0E73FF66E}"/>
    <cellStyle name="Normal 8 3 9 3" xfId="19591" xr:uid="{2BEC4E05-5F01-454B-93EE-777ABD49068F}"/>
    <cellStyle name="Normal 8 3 9 4" xfId="28036" xr:uid="{810DABE0-C276-4DEA-AE00-F229CAB591ED}"/>
    <cellStyle name="Normal 8 3 9 5" xfId="11150" xr:uid="{9E03CD5D-6DF0-494D-B5FC-7B671860EF57}"/>
    <cellStyle name="Normal 8 4" xfId="503" xr:uid="{00000000-0005-0000-0000-0000CF1D0000}"/>
    <cellStyle name="Normal 8 4 10" xfId="17534" xr:uid="{57720B05-4ABD-4E0C-9FCB-0044912B15ED}"/>
    <cellStyle name="Normal 8 4 11" xfId="25979" xr:uid="{F07622FD-B009-443A-903B-802CB33B3C64}"/>
    <cellStyle name="Normal 8 4 12" xfId="9093" xr:uid="{10217AE0-FF77-45C9-9F6F-72D8B4CADE23}"/>
    <cellStyle name="Normal 8 4 2" xfId="504" xr:uid="{00000000-0005-0000-0000-0000D01D0000}"/>
    <cellStyle name="Normal 8 4 2 10" xfId="25980" xr:uid="{E771AE13-8912-49D3-8B24-3B7A0BDEF439}"/>
    <cellStyle name="Normal 8 4 2 11" xfId="9094" xr:uid="{2ABA9450-8B83-4173-8D41-335E680C225B}"/>
    <cellStyle name="Normal 8 4 2 2" xfId="505" xr:uid="{00000000-0005-0000-0000-0000D11D0000}"/>
    <cellStyle name="Normal 8 4 2 2 10" xfId="9095" xr:uid="{9F29A212-27B1-4D5A-901B-CBB85E7293A6}"/>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24312" xr:uid="{BC85B182-DFAD-4607-A6A9-0910D944C616}"/>
    <cellStyle name="Normal 8 4 2 2 2 2 2 3" xfId="32758" xr:uid="{966153E2-CA45-4973-8CFA-FF27DACBAD16}"/>
    <cellStyle name="Normal 8 4 2 2 2 2 2 4" xfId="15871" xr:uid="{A6F5956E-3D6E-43A9-8CC3-25777310C05C}"/>
    <cellStyle name="Normal 8 4 2 2 2 2 3" xfId="20094" xr:uid="{53C32005-9BA5-4FBC-A078-C08F473171FA}"/>
    <cellStyle name="Normal 8 4 2 2 2 2 4" xfId="28541" xr:uid="{11AF9011-2234-4CF8-841E-420FB60294D3}"/>
    <cellStyle name="Normal 8 4 2 2 2 2 5" xfId="11653" xr:uid="{463AF5E5-CEEA-439D-99CE-4F94B2EC52B6}"/>
    <cellStyle name="Normal 8 4 2 2 2 3" xfId="5284" xr:uid="{00000000-0005-0000-0000-0000D51D0000}"/>
    <cellStyle name="Normal 8 4 2 2 2 3 2" xfId="22167" xr:uid="{E050789F-9A86-4CF3-9D46-C4C0B47E395E}"/>
    <cellStyle name="Normal 8 4 2 2 2 3 3" xfId="30613" xr:uid="{C26CAB14-BDDF-45C4-953D-E90D53649879}"/>
    <cellStyle name="Normal 8 4 2 2 2 3 4" xfId="13726" xr:uid="{9E381AC1-9BF1-421E-B434-C74FD7B65AF8}"/>
    <cellStyle name="Normal 8 4 2 2 2 4" xfId="17949" xr:uid="{16A80A69-0079-4A43-8721-2B3E94218B06}"/>
    <cellStyle name="Normal 8 4 2 2 2 5" xfId="26394" xr:uid="{56E3FCE3-5114-402A-8CD0-F26E41CAC2BF}"/>
    <cellStyle name="Normal 8 4 2 2 2 6" xfId="9508" xr:uid="{8A121A65-226B-444F-9686-1C552140E494}"/>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24725" xr:uid="{2495FACA-9D8F-41B5-9E90-5E3EEF1844F6}"/>
    <cellStyle name="Normal 8 4 2 2 3 2 2 3" xfId="33171" xr:uid="{1EA45B75-A129-45DE-857C-7AE2CF67949C}"/>
    <cellStyle name="Normal 8 4 2 2 3 2 2 4" xfId="16284" xr:uid="{B9787B90-970D-4B8E-A291-D5354B91C102}"/>
    <cellStyle name="Normal 8 4 2 2 3 2 3" xfId="20507" xr:uid="{19345EF9-341C-4DA0-B601-CB63CE8F750D}"/>
    <cellStyle name="Normal 8 4 2 2 3 2 4" xfId="28954" xr:uid="{EEA5DC44-797F-4982-B630-E1810F143472}"/>
    <cellStyle name="Normal 8 4 2 2 3 2 5" xfId="12066" xr:uid="{A1A8461C-7BCD-4E20-86C6-4FC68C69DD29}"/>
    <cellStyle name="Normal 8 4 2 2 3 3" xfId="5697" xr:uid="{00000000-0005-0000-0000-0000D91D0000}"/>
    <cellStyle name="Normal 8 4 2 2 3 3 2" xfId="22580" xr:uid="{09DFDE7D-FBFF-41A9-9609-ABD358FBE6AB}"/>
    <cellStyle name="Normal 8 4 2 2 3 3 3" xfId="31026" xr:uid="{9288B82A-4F2D-45E0-B0C3-438EE8D8E595}"/>
    <cellStyle name="Normal 8 4 2 2 3 3 4" xfId="14139" xr:uid="{EED3021B-1E5E-4093-83DC-CDF3BB5CCA80}"/>
    <cellStyle name="Normal 8 4 2 2 3 4" xfId="18362" xr:uid="{8A1800F8-6415-4E5C-AF7A-C45BDC0CB6B7}"/>
    <cellStyle name="Normal 8 4 2 2 3 5" xfId="26807" xr:uid="{AE16D2A7-3971-48C7-862E-79A2FDDAE27A}"/>
    <cellStyle name="Normal 8 4 2 2 3 6" xfId="9921" xr:uid="{D7BA990E-587F-4CF5-88FA-24D8E0F8F0E4}"/>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25138" xr:uid="{0BABFF77-AE77-422A-BA63-944DE8180A83}"/>
    <cellStyle name="Normal 8 4 2 2 4 2 2 3" xfId="33584" xr:uid="{D5DA3821-2DE7-4383-9327-7A093609DB32}"/>
    <cellStyle name="Normal 8 4 2 2 4 2 2 4" xfId="16697" xr:uid="{BB03B952-B91E-48C0-B948-C3916272562A}"/>
    <cellStyle name="Normal 8 4 2 2 4 2 3" xfId="20920" xr:uid="{F7F9F637-E8E4-4769-BF1C-EA8DBEE15BD8}"/>
    <cellStyle name="Normal 8 4 2 2 4 2 4" xfId="29367" xr:uid="{454BC515-7F9C-4F62-B909-6D5D8FE174B0}"/>
    <cellStyle name="Normal 8 4 2 2 4 2 5" xfId="12479" xr:uid="{1B30175F-2A37-4CEA-A0CC-E24355CBCB03}"/>
    <cellStyle name="Normal 8 4 2 2 4 3" xfId="6110" xr:uid="{00000000-0005-0000-0000-0000DD1D0000}"/>
    <cellStyle name="Normal 8 4 2 2 4 3 2" xfId="22993" xr:uid="{9988B297-272C-4455-9F30-7FB8145915C8}"/>
    <cellStyle name="Normal 8 4 2 2 4 3 3" xfId="31439" xr:uid="{B83659A4-D55E-4C9E-B46E-1A01FA62A779}"/>
    <cellStyle name="Normal 8 4 2 2 4 3 4" xfId="14552" xr:uid="{46B94F0D-D124-4024-A4D7-437DD5EE2FF5}"/>
    <cellStyle name="Normal 8 4 2 2 4 4" xfId="18775" xr:uid="{901F3F7A-0C22-49FC-908A-F612D31FEF9B}"/>
    <cellStyle name="Normal 8 4 2 2 4 5" xfId="27220" xr:uid="{28299DE6-5618-4CB1-8BA1-AC1FDD02EA4A}"/>
    <cellStyle name="Normal 8 4 2 2 4 6" xfId="10334" xr:uid="{56F0F0B3-5BF7-4D3E-BDD1-E0761797ED74}"/>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25551" xr:uid="{5172FDFD-78D0-4ED6-B81C-9EEAFFF6B777}"/>
    <cellStyle name="Normal 8 4 2 2 5 2 2 3" xfId="33997" xr:uid="{16E797D7-BD5C-4D13-ABA5-E195F07FC7BE}"/>
    <cellStyle name="Normal 8 4 2 2 5 2 2 4" xfId="17110" xr:uid="{AC465AEF-049B-4C5D-9D25-8E0B55216169}"/>
    <cellStyle name="Normal 8 4 2 2 5 2 3" xfId="21333" xr:uid="{1944F615-6141-4A20-869D-853A8CE97AB9}"/>
    <cellStyle name="Normal 8 4 2 2 5 2 4" xfId="29780" xr:uid="{1CD5F518-0140-4D2D-8676-2A68E5B2EBEF}"/>
    <cellStyle name="Normal 8 4 2 2 5 2 5" xfId="12892" xr:uid="{6DCF2DC5-BA00-4A10-8EFA-2AB0DDB8A02C}"/>
    <cellStyle name="Normal 8 4 2 2 5 3" xfId="6523" xr:uid="{00000000-0005-0000-0000-0000E11D0000}"/>
    <cellStyle name="Normal 8 4 2 2 5 3 2" xfId="23406" xr:uid="{11895792-770E-4F8D-B469-F08CD7F531F4}"/>
    <cellStyle name="Normal 8 4 2 2 5 3 3" xfId="31852" xr:uid="{FE9EFDCC-9A09-4C35-8049-B773AEAA9A5B}"/>
    <cellStyle name="Normal 8 4 2 2 5 3 4" xfId="14965" xr:uid="{53CA8D50-8506-4121-937B-2700B422A275}"/>
    <cellStyle name="Normal 8 4 2 2 5 4" xfId="19188" xr:uid="{D991D9DD-4F08-45AD-BC91-DF493F83FF20}"/>
    <cellStyle name="Normal 8 4 2 2 5 5" xfId="27633" xr:uid="{47B6B4E3-4585-450E-84B3-56571CEF0799}"/>
    <cellStyle name="Normal 8 4 2 2 5 6" xfId="10747" xr:uid="{EB2F5CED-FA69-4E3A-A069-1DFE3B15905A}"/>
    <cellStyle name="Normal 8 4 2 2 6" xfId="2652" xr:uid="{00000000-0005-0000-0000-0000E21D0000}"/>
    <cellStyle name="Normal 8 4 2 2 6 2" xfId="6936" xr:uid="{00000000-0005-0000-0000-0000E31D0000}"/>
    <cellStyle name="Normal 8 4 2 2 6 2 2" xfId="23819" xr:uid="{2D5A5559-0D92-46A2-97F4-A4AB222CBBBB}"/>
    <cellStyle name="Normal 8 4 2 2 6 2 3" xfId="32265" xr:uid="{7F0837A0-6458-4D9F-94BE-B832D4EDC39F}"/>
    <cellStyle name="Normal 8 4 2 2 6 2 4" xfId="15378" xr:uid="{6AE05865-0740-482B-A3BE-AD5D73B77DDD}"/>
    <cellStyle name="Normal 8 4 2 2 6 3" xfId="19601" xr:uid="{F15F9E69-FF93-4586-BDCF-20CFA366A3EC}"/>
    <cellStyle name="Normal 8 4 2 2 6 4" xfId="28046" xr:uid="{D622A8A9-DD46-4A41-8512-C2FC9A12EE9D}"/>
    <cellStyle name="Normal 8 4 2 2 6 5" xfId="11160" xr:uid="{7CEDA110-5BB8-44BF-BAA6-02DD5AF2DB43}"/>
    <cellStyle name="Normal 8 4 2 2 7" xfId="4871" xr:uid="{00000000-0005-0000-0000-0000E41D0000}"/>
    <cellStyle name="Normal 8 4 2 2 7 2" xfId="21754" xr:uid="{C82D2FEA-11BB-4011-A6DD-A833CA08C7EC}"/>
    <cellStyle name="Normal 8 4 2 2 7 3" xfId="30200" xr:uid="{627E8619-F9F8-4222-9576-C9E839E29CA9}"/>
    <cellStyle name="Normal 8 4 2 2 7 4" xfId="13313" xr:uid="{679EEFD7-E30E-4965-A01F-4248F57A1383}"/>
    <cellStyle name="Normal 8 4 2 2 8" xfId="17536" xr:uid="{F2335919-4784-4AE5-845C-91453B80A6A9}"/>
    <cellStyle name="Normal 8 4 2 2 9" xfId="25981" xr:uid="{59252A90-1148-4464-975B-3F4A250DC9DD}"/>
    <cellStyle name="Normal 8 4 2 3" xfId="971" xr:uid="{00000000-0005-0000-0000-0000E51D0000}"/>
    <cellStyle name="Normal 8 4 2 3 2" xfId="3205" xr:uid="{00000000-0005-0000-0000-0000E61D0000}"/>
    <cellStyle name="Normal 8 4 2 3 2 2" xfId="7428" xr:uid="{00000000-0005-0000-0000-0000E71D0000}"/>
    <cellStyle name="Normal 8 4 2 3 2 2 2" xfId="24311" xr:uid="{5A398B7D-28E8-45FF-B3DF-B35DE7EC3F16}"/>
    <cellStyle name="Normal 8 4 2 3 2 2 3" xfId="32757" xr:uid="{B124C587-75FA-4371-B732-B40504943A76}"/>
    <cellStyle name="Normal 8 4 2 3 2 2 4" xfId="15870" xr:uid="{A120267E-884B-4318-A67E-4E0A0F71E970}"/>
    <cellStyle name="Normal 8 4 2 3 2 3" xfId="20093" xr:uid="{240FF62D-873C-40B3-816C-DBC9DD172125}"/>
    <cellStyle name="Normal 8 4 2 3 2 4" xfId="28540" xr:uid="{710C7A6A-F778-4CFF-96FB-E82789B87876}"/>
    <cellStyle name="Normal 8 4 2 3 2 5" xfId="11652" xr:uid="{9940BE58-BF03-4E30-8836-9C1F80A7A6D0}"/>
    <cellStyle name="Normal 8 4 2 3 3" xfId="5283" xr:uid="{00000000-0005-0000-0000-0000E81D0000}"/>
    <cellStyle name="Normal 8 4 2 3 3 2" xfId="22166" xr:uid="{4EC82DB0-FED1-4D44-8EF3-C7623023B5A1}"/>
    <cellStyle name="Normal 8 4 2 3 3 3" xfId="30612" xr:uid="{9C3C8E9B-84EC-41CC-B2F8-84EFA3D7EAAA}"/>
    <cellStyle name="Normal 8 4 2 3 3 4" xfId="13725" xr:uid="{220A7A20-A205-4BCA-9401-BED9D8190EB7}"/>
    <cellStyle name="Normal 8 4 2 3 4" xfId="17948" xr:uid="{B3CA7D65-2F84-4824-8D18-6A57229A5591}"/>
    <cellStyle name="Normal 8 4 2 3 5" xfId="26393" xr:uid="{978DBA9B-2956-437D-BD43-8F9DC5711DCC}"/>
    <cellStyle name="Normal 8 4 2 3 6" xfId="9507" xr:uid="{05DFFA32-2803-4D4D-8CDD-23E8F35DF7B8}"/>
    <cellStyle name="Normal 8 4 2 4" xfId="1388" xr:uid="{00000000-0005-0000-0000-0000E91D0000}"/>
    <cellStyle name="Normal 8 4 2 4 2" xfId="3618" xr:uid="{00000000-0005-0000-0000-0000EA1D0000}"/>
    <cellStyle name="Normal 8 4 2 4 2 2" xfId="7841" xr:uid="{00000000-0005-0000-0000-0000EB1D0000}"/>
    <cellStyle name="Normal 8 4 2 4 2 2 2" xfId="24724" xr:uid="{A7A288B2-CAD1-45B5-B0FD-5F9971349053}"/>
    <cellStyle name="Normal 8 4 2 4 2 2 3" xfId="33170" xr:uid="{D0644672-CAA8-4B87-AC87-EE27E1401905}"/>
    <cellStyle name="Normal 8 4 2 4 2 2 4" xfId="16283" xr:uid="{06AC9361-8436-47F1-B8CC-C12525175F79}"/>
    <cellStyle name="Normal 8 4 2 4 2 3" xfId="20506" xr:uid="{8E502965-3469-4789-B9FD-E818D4256EAB}"/>
    <cellStyle name="Normal 8 4 2 4 2 4" xfId="28953" xr:uid="{18AEF8FC-8AE9-4EB0-8F8B-CB18084467F6}"/>
    <cellStyle name="Normal 8 4 2 4 2 5" xfId="12065" xr:uid="{FA5583DD-2D70-425B-AC8B-C85088E3FE8A}"/>
    <cellStyle name="Normal 8 4 2 4 3" xfId="5696" xr:uid="{00000000-0005-0000-0000-0000EC1D0000}"/>
    <cellStyle name="Normal 8 4 2 4 3 2" xfId="22579" xr:uid="{26516733-FC95-42BA-B42A-D0BE434C3310}"/>
    <cellStyle name="Normal 8 4 2 4 3 3" xfId="31025" xr:uid="{0221D857-77C1-4C60-95B8-85FE5E8AC15F}"/>
    <cellStyle name="Normal 8 4 2 4 3 4" xfId="14138" xr:uid="{85D794D3-B643-4C58-BA41-CE7A61FEE68C}"/>
    <cellStyle name="Normal 8 4 2 4 4" xfId="18361" xr:uid="{01D718A5-7067-4430-83E1-83BCCEA4718F}"/>
    <cellStyle name="Normal 8 4 2 4 5" xfId="26806" xr:uid="{4C4298E7-0AEE-40BA-8B5C-CF38D5F8DCA5}"/>
    <cellStyle name="Normal 8 4 2 4 6" xfId="9920" xr:uid="{F814ED7F-0DAD-4D96-AE22-BF833B1D37D7}"/>
    <cellStyle name="Normal 8 4 2 5" xfId="1801" xr:uid="{00000000-0005-0000-0000-0000ED1D0000}"/>
    <cellStyle name="Normal 8 4 2 5 2" xfId="4031" xr:uid="{00000000-0005-0000-0000-0000EE1D0000}"/>
    <cellStyle name="Normal 8 4 2 5 2 2" xfId="8254" xr:uid="{00000000-0005-0000-0000-0000EF1D0000}"/>
    <cellStyle name="Normal 8 4 2 5 2 2 2" xfId="25137" xr:uid="{1D33FD67-6A2B-41C1-802C-075CE911894B}"/>
    <cellStyle name="Normal 8 4 2 5 2 2 3" xfId="33583" xr:uid="{1C9F0425-2E09-425C-A72A-20C6EB5A339C}"/>
    <cellStyle name="Normal 8 4 2 5 2 2 4" xfId="16696" xr:uid="{35ED645F-6420-4704-ADCB-48DFAEEBA334}"/>
    <cellStyle name="Normal 8 4 2 5 2 3" xfId="20919" xr:uid="{034712C3-4BFB-49F0-AAE3-FCFF5711F014}"/>
    <cellStyle name="Normal 8 4 2 5 2 4" xfId="29366" xr:uid="{1AE69EAC-848A-4C8B-B5AA-C46367EB7EF2}"/>
    <cellStyle name="Normal 8 4 2 5 2 5" xfId="12478" xr:uid="{0F7B078C-BAB5-4D72-993F-C6C7443C472C}"/>
    <cellStyle name="Normal 8 4 2 5 3" xfId="6109" xr:uid="{00000000-0005-0000-0000-0000F01D0000}"/>
    <cellStyle name="Normal 8 4 2 5 3 2" xfId="22992" xr:uid="{9DACD65A-DF84-4049-8C50-56AFF18FDB14}"/>
    <cellStyle name="Normal 8 4 2 5 3 3" xfId="31438" xr:uid="{FCF92142-8977-4B25-87FF-A112DC6B0B1B}"/>
    <cellStyle name="Normal 8 4 2 5 3 4" xfId="14551" xr:uid="{253EB9B4-76AC-4865-A3F8-669AB989DD47}"/>
    <cellStyle name="Normal 8 4 2 5 4" xfId="18774" xr:uid="{BE8ECD2C-3035-4D3F-B24E-7A7675959489}"/>
    <cellStyle name="Normal 8 4 2 5 5" xfId="27219" xr:uid="{13B62B61-E40F-4B5C-AC22-4802D02929BB}"/>
    <cellStyle name="Normal 8 4 2 5 6" xfId="10333" xr:uid="{E3F577F9-33BD-440E-8B6A-068C34DA5B20}"/>
    <cellStyle name="Normal 8 4 2 6" xfId="2215" xr:uid="{00000000-0005-0000-0000-0000F11D0000}"/>
    <cellStyle name="Normal 8 4 2 6 2" xfId="4444" xr:uid="{00000000-0005-0000-0000-0000F21D0000}"/>
    <cellStyle name="Normal 8 4 2 6 2 2" xfId="8667" xr:uid="{00000000-0005-0000-0000-0000F31D0000}"/>
    <cellStyle name="Normal 8 4 2 6 2 2 2" xfId="25550" xr:uid="{2B6A92C9-31E0-441D-8179-AC05651727E4}"/>
    <cellStyle name="Normal 8 4 2 6 2 2 3" xfId="33996" xr:uid="{3D82B2ED-5DBD-4185-A2D1-D00E328B1E9C}"/>
    <cellStyle name="Normal 8 4 2 6 2 2 4" xfId="17109" xr:uid="{69A58CBC-349B-48B3-AB40-1596EA56591A}"/>
    <cellStyle name="Normal 8 4 2 6 2 3" xfId="21332" xr:uid="{82AEB9BB-EB38-44C4-AF1F-B96BB173AA9E}"/>
    <cellStyle name="Normal 8 4 2 6 2 4" xfId="29779" xr:uid="{BE2701E6-9683-475F-98C0-AB4DB4473AE1}"/>
    <cellStyle name="Normal 8 4 2 6 2 5" xfId="12891" xr:uid="{79B669C6-ADD9-4A6E-A30D-FA6C7644006F}"/>
    <cellStyle name="Normal 8 4 2 6 3" xfId="6522" xr:uid="{00000000-0005-0000-0000-0000F41D0000}"/>
    <cellStyle name="Normal 8 4 2 6 3 2" xfId="23405" xr:uid="{D4FA95D0-F4DA-41E7-A081-21CA31E3CDF3}"/>
    <cellStyle name="Normal 8 4 2 6 3 3" xfId="31851" xr:uid="{97CA263D-DA50-4318-AF8A-18CDF0174E7B}"/>
    <cellStyle name="Normal 8 4 2 6 3 4" xfId="14964" xr:uid="{F7E1747B-1297-45A8-B018-2CACD79EDAB7}"/>
    <cellStyle name="Normal 8 4 2 6 4" xfId="19187" xr:uid="{24A7D602-3F3C-4231-891E-E2C2E6B71A88}"/>
    <cellStyle name="Normal 8 4 2 6 5" xfId="27632" xr:uid="{7E8F43F7-5832-46B0-A6E1-6F2235BC054A}"/>
    <cellStyle name="Normal 8 4 2 6 6" xfId="10746" xr:uid="{DA47FC05-7907-4F6C-8665-B62D6358E365}"/>
    <cellStyle name="Normal 8 4 2 7" xfId="2651" xr:uid="{00000000-0005-0000-0000-0000F51D0000}"/>
    <cellStyle name="Normal 8 4 2 7 2" xfId="6935" xr:uid="{00000000-0005-0000-0000-0000F61D0000}"/>
    <cellStyle name="Normal 8 4 2 7 2 2" xfId="23818" xr:uid="{64A200E5-546B-4EFA-A0F1-84724CE81132}"/>
    <cellStyle name="Normal 8 4 2 7 2 3" xfId="32264" xr:uid="{E9162FB4-D2A4-419F-8AD0-B8FB8F0918E3}"/>
    <cellStyle name="Normal 8 4 2 7 2 4" xfId="15377" xr:uid="{AED5B81D-737D-4CA0-82F6-DC5BAD7194E2}"/>
    <cellStyle name="Normal 8 4 2 7 3" xfId="19600" xr:uid="{11236D0D-453D-4D25-890D-86242A61BF6F}"/>
    <cellStyle name="Normal 8 4 2 7 4" xfId="28045" xr:uid="{CB727F1C-49DF-42B1-9AAB-732E03784141}"/>
    <cellStyle name="Normal 8 4 2 7 5" xfId="11159" xr:uid="{9A14608F-28FD-4096-B849-E27174528C32}"/>
    <cellStyle name="Normal 8 4 2 8" xfId="4870" xr:uid="{00000000-0005-0000-0000-0000F71D0000}"/>
    <cellStyle name="Normal 8 4 2 8 2" xfId="21753" xr:uid="{4256D695-0691-4428-96C4-202382E06635}"/>
    <cellStyle name="Normal 8 4 2 8 3" xfId="30199" xr:uid="{741D90EB-9E75-4FA2-B7A8-0D9EA9852422}"/>
    <cellStyle name="Normal 8 4 2 8 4" xfId="13312" xr:uid="{C31A5720-B8EC-47AF-AD70-39FDF5DE1ED3}"/>
    <cellStyle name="Normal 8 4 2 9" xfId="17535" xr:uid="{35DE2A0A-5503-4303-BFD8-D56940A53265}"/>
    <cellStyle name="Normal 8 4 3" xfId="506" xr:uid="{00000000-0005-0000-0000-0000F81D0000}"/>
    <cellStyle name="Normal 8 4 3 10" xfId="9096" xr:uid="{6E2FFB6F-5F1E-4033-8129-3EA87F33C10F}"/>
    <cellStyle name="Normal 8 4 3 2" xfId="973" xr:uid="{00000000-0005-0000-0000-0000F91D0000}"/>
    <cellStyle name="Normal 8 4 3 2 2" xfId="3207" xr:uid="{00000000-0005-0000-0000-0000FA1D0000}"/>
    <cellStyle name="Normal 8 4 3 2 2 2" xfId="7430" xr:uid="{00000000-0005-0000-0000-0000FB1D0000}"/>
    <cellStyle name="Normal 8 4 3 2 2 2 2" xfId="24313" xr:uid="{0CE3499D-B473-4DAD-8835-FCD2416B797B}"/>
    <cellStyle name="Normal 8 4 3 2 2 2 3" xfId="32759" xr:uid="{57400E3A-7B92-4FC9-8127-CCAA13C8FDC0}"/>
    <cellStyle name="Normal 8 4 3 2 2 2 4" xfId="15872" xr:uid="{AF4FD5CD-842E-466B-AA49-ECA597E22E97}"/>
    <cellStyle name="Normal 8 4 3 2 2 3" xfId="20095" xr:uid="{EC1BCB06-005F-47E3-90AF-148B6EB083B7}"/>
    <cellStyle name="Normal 8 4 3 2 2 4" xfId="28542" xr:uid="{0590730A-30DE-4AB4-8775-137B4E724D5C}"/>
    <cellStyle name="Normal 8 4 3 2 2 5" xfId="11654" xr:uid="{739F9BA0-4311-4AD2-8D14-F59861B408C7}"/>
    <cellStyle name="Normal 8 4 3 2 3" xfId="5285" xr:uid="{00000000-0005-0000-0000-0000FC1D0000}"/>
    <cellStyle name="Normal 8 4 3 2 3 2" xfId="22168" xr:uid="{B909769F-35E0-47EA-9745-E46ED16F8D52}"/>
    <cellStyle name="Normal 8 4 3 2 3 3" xfId="30614" xr:uid="{25EA2FB6-B974-4FD5-9B0A-04C9A553F2A7}"/>
    <cellStyle name="Normal 8 4 3 2 3 4" xfId="13727" xr:uid="{3572B6A7-BA4D-40C4-95D5-3F9C3573CB25}"/>
    <cellStyle name="Normal 8 4 3 2 4" xfId="17950" xr:uid="{AC5C8DA2-3341-4234-AC72-04D898CC6AD4}"/>
    <cellStyle name="Normal 8 4 3 2 5" xfId="26395" xr:uid="{4D4914E8-6AB7-49B3-AFA9-4B881E0A877C}"/>
    <cellStyle name="Normal 8 4 3 2 6" xfId="9509" xr:uid="{7B328508-DABA-49AC-8C54-AEADFF017AF4}"/>
    <cellStyle name="Normal 8 4 3 3" xfId="1390" xr:uid="{00000000-0005-0000-0000-0000FD1D0000}"/>
    <cellStyle name="Normal 8 4 3 3 2" xfId="3620" xr:uid="{00000000-0005-0000-0000-0000FE1D0000}"/>
    <cellStyle name="Normal 8 4 3 3 2 2" xfId="7843" xr:uid="{00000000-0005-0000-0000-0000FF1D0000}"/>
    <cellStyle name="Normal 8 4 3 3 2 2 2" xfId="24726" xr:uid="{B0F3DF99-222B-46C1-8910-30327129D4C5}"/>
    <cellStyle name="Normal 8 4 3 3 2 2 3" xfId="33172" xr:uid="{D5B86EB0-BC8A-4E2B-880C-66B4B9F74FC5}"/>
    <cellStyle name="Normal 8 4 3 3 2 2 4" xfId="16285" xr:uid="{8E4ACE6C-1A7E-4CBF-884D-9699EE089561}"/>
    <cellStyle name="Normal 8 4 3 3 2 3" xfId="20508" xr:uid="{52263F01-0B83-4881-BE50-876BBA8CDDC0}"/>
    <cellStyle name="Normal 8 4 3 3 2 4" xfId="28955" xr:uid="{CDDD1217-EE62-452B-867D-2637945AE522}"/>
    <cellStyle name="Normal 8 4 3 3 2 5" xfId="12067" xr:uid="{3A5EC0F2-CBE1-49F6-B4A8-FB5881ACB6EC}"/>
    <cellStyle name="Normal 8 4 3 3 3" xfId="5698" xr:uid="{00000000-0005-0000-0000-0000001E0000}"/>
    <cellStyle name="Normal 8 4 3 3 3 2" xfId="22581" xr:uid="{4E37B97F-DF95-4340-B274-CCE584BA1DB6}"/>
    <cellStyle name="Normal 8 4 3 3 3 3" xfId="31027" xr:uid="{75054894-4286-49E5-A554-C02700574819}"/>
    <cellStyle name="Normal 8 4 3 3 3 4" xfId="14140" xr:uid="{E75C5980-9E97-449F-94AA-17E9CFA34420}"/>
    <cellStyle name="Normal 8 4 3 3 4" xfId="18363" xr:uid="{F620FB01-0E81-4F6D-B3C2-3410B22BE4B8}"/>
    <cellStyle name="Normal 8 4 3 3 5" xfId="26808" xr:uid="{009C8757-24E5-40E7-ADC4-8DBCEB350B7F}"/>
    <cellStyle name="Normal 8 4 3 3 6" xfId="9922" xr:uid="{928BE77B-7EBE-4BED-8284-244172CDE12A}"/>
    <cellStyle name="Normal 8 4 3 4" xfId="1803" xr:uid="{00000000-0005-0000-0000-0000011E0000}"/>
    <cellStyle name="Normal 8 4 3 4 2" xfId="4033" xr:uid="{00000000-0005-0000-0000-0000021E0000}"/>
    <cellStyle name="Normal 8 4 3 4 2 2" xfId="8256" xr:uid="{00000000-0005-0000-0000-0000031E0000}"/>
    <cellStyle name="Normal 8 4 3 4 2 2 2" xfId="25139" xr:uid="{C226F4BD-AF36-4C3A-8268-BCE672687790}"/>
    <cellStyle name="Normal 8 4 3 4 2 2 3" xfId="33585" xr:uid="{480F26E2-ED27-43F5-9E8A-3E2ED4A676FE}"/>
    <cellStyle name="Normal 8 4 3 4 2 2 4" xfId="16698" xr:uid="{C8DCF8A0-C5F4-496B-85C5-20618747B8B4}"/>
    <cellStyle name="Normal 8 4 3 4 2 3" xfId="20921" xr:uid="{0ECE2061-B926-47D7-A0D0-6278A32FB9FB}"/>
    <cellStyle name="Normal 8 4 3 4 2 4" xfId="29368" xr:uid="{38AD5D71-CED9-495E-AB4A-0DCB0CD2D588}"/>
    <cellStyle name="Normal 8 4 3 4 2 5" xfId="12480" xr:uid="{84FF1B94-5F40-4F56-8072-49062A3FC006}"/>
    <cellStyle name="Normal 8 4 3 4 3" xfId="6111" xr:uid="{00000000-0005-0000-0000-0000041E0000}"/>
    <cellStyle name="Normal 8 4 3 4 3 2" xfId="22994" xr:uid="{08505791-ADE3-45C0-9933-D7FC8AF095ED}"/>
    <cellStyle name="Normal 8 4 3 4 3 3" xfId="31440" xr:uid="{F68C0C31-1D78-43BC-86C9-A60CE1B28F35}"/>
    <cellStyle name="Normal 8 4 3 4 3 4" xfId="14553" xr:uid="{AF5E76AF-0330-4346-8059-BAF621D1B8C3}"/>
    <cellStyle name="Normal 8 4 3 4 4" xfId="18776" xr:uid="{5FEA3F06-672A-4040-8594-7C7D011F6F55}"/>
    <cellStyle name="Normal 8 4 3 4 5" xfId="27221" xr:uid="{F0B25E84-E2D5-4B2A-B5A6-D3E3799B6573}"/>
    <cellStyle name="Normal 8 4 3 4 6" xfId="10335" xr:uid="{1AD219B1-4624-4824-A626-5B9AE2FEEEFA}"/>
    <cellStyle name="Normal 8 4 3 5" xfId="2217" xr:uid="{00000000-0005-0000-0000-0000051E0000}"/>
    <cellStyle name="Normal 8 4 3 5 2" xfId="4446" xr:uid="{00000000-0005-0000-0000-0000061E0000}"/>
    <cellStyle name="Normal 8 4 3 5 2 2" xfId="8669" xr:uid="{00000000-0005-0000-0000-0000071E0000}"/>
    <cellStyle name="Normal 8 4 3 5 2 2 2" xfId="25552" xr:uid="{1404A986-69D8-45B7-8732-7E44CA4E0EFE}"/>
    <cellStyle name="Normal 8 4 3 5 2 2 3" xfId="33998" xr:uid="{13ADA171-EE31-4B86-845E-7E1C86D3B5A1}"/>
    <cellStyle name="Normal 8 4 3 5 2 2 4" xfId="17111" xr:uid="{7F7951D2-B8EB-4333-B4C0-4E2C24CB640C}"/>
    <cellStyle name="Normal 8 4 3 5 2 3" xfId="21334" xr:uid="{C46EFADB-03C6-4D82-90DA-BDD29B581512}"/>
    <cellStyle name="Normal 8 4 3 5 2 4" xfId="29781" xr:uid="{4236E06D-D3B3-4E9A-98AE-73CA8B015DF1}"/>
    <cellStyle name="Normal 8 4 3 5 2 5" xfId="12893" xr:uid="{F173508D-75C1-44A0-8301-FDD710494C30}"/>
    <cellStyle name="Normal 8 4 3 5 3" xfId="6524" xr:uid="{00000000-0005-0000-0000-0000081E0000}"/>
    <cellStyle name="Normal 8 4 3 5 3 2" xfId="23407" xr:uid="{33D65F6B-7D02-437E-8C4F-333EE5BBF67D}"/>
    <cellStyle name="Normal 8 4 3 5 3 3" xfId="31853" xr:uid="{A7C695F0-73DE-4D0B-BAD4-ED2054C89827}"/>
    <cellStyle name="Normal 8 4 3 5 3 4" xfId="14966" xr:uid="{CFEFB8E6-D3CE-4A20-B8A9-B3B48D1FA80D}"/>
    <cellStyle name="Normal 8 4 3 5 4" xfId="19189" xr:uid="{112FA53E-BC23-4B20-887F-A5F8316DCB3E}"/>
    <cellStyle name="Normal 8 4 3 5 5" xfId="27634" xr:uid="{13BA572A-6C0D-4823-B2B2-8B0335D4A329}"/>
    <cellStyle name="Normal 8 4 3 5 6" xfId="10748" xr:uid="{0D076227-148B-40D0-B491-A1142CE99E6D}"/>
    <cellStyle name="Normal 8 4 3 6" xfId="2653" xr:uid="{00000000-0005-0000-0000-0000091E0000}"/>
    <cellStyle name="Normal 8 4 3 6 2" xfId="6937" xr:uid="{00000000-0005-0000-0000-00000A1E0000}"/>
    <cellStyle name="Normal 8 4 3 6 2 2" xfId="23820" xr:uid="{9DAB228A-A0B7-45EB-B9C8-F6BC1D18F39A}"/>
    <cellStyle name="Normal 8 4 3 6 2 3" xfId="32266" xr:uid="{E3144609-624F-43E7-8D13-A197EB276E1A}"/>
    <cellStyle name="Normal 8 4 3 6 2 4" xfId="15379" xr:uid="{D2E8BE46-B384-48A7-9314-748B175636CC}"/>
    <cellStyle name="Normal 8 4 3 6 3" xfId="19602" xr:uid="{D7FCB5EC-BF8C-4315-976D-5C3C8E52CD17}"/>
    <cellStyle name="Normal 8 4 3 6 4" xfId="28047" xr:uid="{1C90BDFB-6273-474A-8499-A1C218683FCE}"/>
    <cellStyle name="Normal 8 4 3 6 5" xfId="11161" xr:uid="{DAFD7D0B-42B3-4586-9887-D241B1604CD7}"/>
    <cellStyle name="Normal 8 4 3 7" xfId="4872" xr:uid="{00000000-0005-0000-0000-00000B1E0000}"/>
    <cellStyle name="Normal 8 4 3 7 2" xfId="21755" xr:uid="{A73056D1-0D0D-4108-8DB6-8426F26C8267}"/>
    <cellStyle name="Normal 8 4 3 7 3" xfId="30201" xr:uid="{E73ABD24-B1BA-4ADA-B2C1-F1501A5F2E7F}"/>
    <cellStyle name="Normal 8 4 3 7 4" xfId="13314" xr:uid="{59E5DA75-BD2C-4833-856A-035E106EEAA7}"/>
    <cellStyle name="Normal 8 4 3 8" xfId="17537" xr:uid="{4D047671-10D1-4DA5-9E7F-802B96362D43}"/>
    <cellStyle name="Normal 8 4 3 9" xfId="25982" xr:uid="{67053F60-A208-4588-9A52-BF7F53FC6203}"/>
    <cellStyle name="Normal 8 4 4" xfId="970" xr:uid="{00000000-0005-0000-0000-00000C1E0000}"/>
    <cellStyle name="Normal 8 4 4 2" xfId="3204" xr:uid="{00000000-0005-0000-0000-00000D1E0000}"/>
    <cellStyle name="Normal 8 4 4 2 2" xfId="7427" xr:uid="{00000000-0005-0000-0000-00000E1E0000}"/>
    <cellStyle name="Normal 8 4 4 2 2 2" xfId="24310" xr:uid="{C7A49299-8EB9-4A21-B38A-3ADA1826D0F0}"/>
    <cellStyle name="Normal 8 4 4 2 2 3" xfId="32756" xr:uid="{D903A6D8-CD3A-4D24-9C05-423B22F41595}"/>
    <cellStyle name="Normal 8 4 4 2 2 4" xfId="15869" xr:uid="{86A740A1-6913-4180-922F-325FAD1254AE}"/>
    <cellStyle name="Normal 8 4 4 2 3" xfId="20092" xr:uid="{5E0DB437-7929-4B44-8CF9-B275A10C39DB}"/>
    <cellStyle name="Normal 8 4 4 2 4" xfId="28539" xr:uid="{910AF255-E334-4ACC-A414-DAD7C3AE6A21}"/>
    <cellStyle name="Normal 8 4 4 2 5" xfId="11651" xr:uid="{17CF3E59-13BB-4E61-9235-1B2CE0A45463}"/>
    <cellStyle name="Normal 8 4 4 3" xfId="5282" xr:uid="{00000000-0005-0000-0000-00000F1E0000}"/>
    <cellStyle name="Normal 8 4 4 3 2" xfId="22165" xr:uid="{7FD0481F-02CB-4319-AA4A-EFB77EFB31D0}"/>
    <cellStyle name="Normal 8 4 4 3 3" xfId="30611" xr:uid="{A86F2A0B-B058-4C38-916F-287C0C51E9F5}"/>
    <cellStyle name="Normal 8 4 4 3 4" xfId="13724" xr:uid="{37388DFC-8187-4594-B1FC-C825124BC861}"/>
    <cellStyle name="Normal 8 4 4 4" xfId="17947" xr:uid="{4DF1EB66-0488-4B9A-83ED-824DCED2925D}"/>
    <cellStyle name="Normal 8 4 4 5" xfId="26392" xr:uid="{7F25C9D1-8F01-4759-BCA8-338B9E41BF34}"/>
    <cellStyle name="Normal 8 4 4 6" xfId="9506" xr:uid="{8A7BBCFD-D9E2-4EB6-8677-82B7AF17963D}"/>
    <cellStyle name="Normal 8 4 5" xfId="1387" xr:uid="{00000000-0005-0000-0000-0000101E0000}"/>
    <cellStyle name="Normal 8 4 5 2" xfId="3617" xr:uid="{00000000-0005-0000-0000-0000111E0000}"/>
    <cellStyle name="Normal 8 4 5 2 2" xfId="7840" xr:uid="{00000000-0005-0000-0000-0000121E0000}"/>
    <cellStyle name="Normal 8 4 5 2 2 2" xfId="24723" xr:uid="{DB09A14C-EC25-43B3-9787-C00110C52B4C}"/>
    <cellStyle name="Normal 8 4 5 2 2 3" xfId="33169" xr:uid="{0486DD8A-45E5-4249-B38D-761620074F80}"/>
    <cellStyle name="Normal 8 4 5 2 2 4" xfId="16282" xr:uid="{F37267CB-206C-44F1-9E93-F33E8889DC17}"/>
    <cellStyle name="Normal 8 4 5 2 3" xfId="20505" xr:uid="{0A4EEF60-733B-420D-81EE-083A44CCB5EB}"/>
    <cellStyle name="Normal 8 4 5 2 4" xfId="28952" xr:uid="{CF66C5B2-799C-434C-9BCF-C559065C3A7E}"/>
    <cellStyle name="Normal 8 4 5 2 5" xfId="12064" xr:uid="{4806E905-D4DA-4959-9798-D5581F5C2187}"/>
    <cellStyle name="Normal 8 4 5 3" xfId="5695" xr:uid="{00000000-0005-0000-0000-0000131E0000}"/>
    <cellStyle name="Normal 8 4 5 3 2" xfId="22578" xr:uid="{48B0379F-A2DA-41A9-8251-4434AE8C73C0}"/>
    <cellStyle name="Normal 8 4 5 3 3" xfId="31024" xr:uid="{1FD3E0AF-45A2-47EB-86FD-47B591096D46}"/>
    <cellStyle name="Normal 8 4 5 3 4" xfId="14137" xr:uid="{F147AF04-FE2F-40C2-82A9-DB51B8530C07}"/>
    <cellStyle name="Normal 8 4 5 4" xfId="18360" xr:uid="{172B2ED9-E320-43F6-9729-CCF358A4CA94}"/>
    <cellStyle name="Normal 8 4 5 5" xfId="26805" xr:uid="{5A3A39FC-4DD1-427C-9CE4-448E7FDE9D3E}"/>
    <cellStyle name="Normal 8 4 5 6" xfId="9919" xr:uid="{870B2D1D-DC4E-4108-93F2-C58288B76008}"/>
    <cellStyle name="Normal 8 4 6" xfId="1800" xr:uid="{00000000-0005-0000-0000-0000141E0000}"/>
    <cellStyle name="Normal 8 4 6 2" xfId="4030" xr:uid="{00000000-0005-0000-0000-0000151E0000}"/>
    <cellStyle name="Normal 8 4 6 2 2" xfId="8253" xr:uid="{00000000-0005-0000-0000-0000161E0000}"/>
    <cellStyle name="Normal 8 4 6 2 2 2" xfId="25136" xr:uid="{80E63D90-E325-4535-85B7-618A2ED611B3}"/>
    <cellStyle name="Normal 8 4 6 2 2 3" xfId="33582" xr:uid="{847DEEBF-6E0B-49EF-A680-DAD9D6BF73A6}"/>
    <cellStyle name="Normal 8 4 6 2 2 4" xfId="16695" xr:uid="{64C6E9DF-0BFC-4FC7-A3C3-0AE56891A1C4}"/>
    <cellStyle name="Normal 8 4 6 2 3" xfId="20918" xr:uid="{0C13949D-26EC-4874-8EF9-8657AA0A8804}"/>
    <cellStyle name="Normal 8 4 6 2 4" xfId="29365" xr:uid="{F2BA206B-20F7-4DD0-A08B-C71750F810F8}"/>
    <cellStyle name="Normal 8 4 6 2 5" xfId="12477" xr:uid="{00E03882-13C7-4437-AF82-FA990760CDF3}"/>
    <cellStyle name="Normal 8 4 6 3" xfId="6108" xr:uid="{00000000-0005-0000-0000-0000171E0000}"/>
    <cellStyle name="Normal 8 4 6 3 2" xfId="22991" xr:uid="{4CCE5365-36DF-4E05-A192-2D5BC15CE7E4}"/>
    <cellStyle name="Normal 8 4 6 3 3" xfId="31437" xr:uid="{1BB95B89-D517-4780-BF9F-3ED1D4583F9B}"/>
    <cellStyle name="Normal 8 4 6 3 4" xfId="14550" xr:uid="{D09F456B-DB2A-4CF4-99EA-D15FBDAA961C}"/>
    <cellStyle name="Normal 8 4 6 4" xfId="18773" xr:uid="{4730FEDD-EB38-40C7-AB29-FB45E1162355}"/>
    <cellStyle name="Normal 8 4 6 5" xfId="27218" xr:uid="{64D02D5F-213D-4122-9C68-4E1EFC71F179}"/>
    <cellStyle name="Normal 8 4 6 6" xfId="10332" xr:uid="{B38A8178-F94A-497A-8A44-38D9CCD083D5}"/>
    <cellStyle name="Normal 8 4 7" xfId="2214" xr:uid="{00000000-0005-0000-0000-0000181E0000}"/>
    <cellStyle name="Normal 8 4 7 2" xfId="4443" xr:uid="{00000000-0005-0000-0000-0000191E0000}"/>
    <cellStyle name="Normal 8 4 7 2 2" xfId="8666" xr:uid="{00000000-0005-0000-0000-00001A1E0000}"/>
    <cellStyle name="Normal 8 4 7 2 2 2" xfId="25549" xr:uid="{678271F7-839B-46D9-BF66-7663FD2D9A1A}"/>
    <cellStyle name="Normal 8 4 7 2 2 3" xfId="33995" xr:uid="{DFA1D878-B100-467F-910B-76354961253E}"/>
    <cellStyle name="Normal 8 4 7 2 2 4" xfId="17108" xr:uid="{C7A85914-4A5C-42E2-AFC0-364FB7AF4D15}"/>
    <cellStyle name="Normal 8 4 7 2 3" xfId="21331" xr:uid="{208362C0-0123-428F-AE6A-6159E0652477}"/>
    <cellStyle name="Normal 8 4 7 2 4" xfId="29778" xr:uid="{EABF7245-40E8-43C5-A26A-CE771CF41F21}"/>
    <cellStyle name="Normal 8 4 7 2 5" xfId="12890" xr:uid="{21C6B9C4-9541-4CB5-97DD-25507792543B}"/>
    <cellStyle name="Normal 8 4 7 3" xfId="6521" xr:uid="{00000000-0005-0000-0000-00001B1E0000}"/>
    <cellStyle name="Normal 8 4 7 3 2" xfId="23404" xr:uid="{8833C498-1E8A-4A81-AEF3-47156B07C56B}"/>
    <cellStyle name="Normal 8 4 7 3 3" xfId="31850" xr:uid="{49099FC0-EC8B-4855-9BD5-43D1BF127DFD}"/>
    <cellStyle name="Normal 8 4 7 3 4" xfId="14963" xr:uid="{110CEFF7-FA4F-4B77-8E16-4A6103BF4F77}"/>
    <cellStyle name="Normal 8 4 7 4" xfId="19186" xr:uid="{FEFFB8A9-507E-4BE4-A6F9-2F0ACB900169}"/>
    <cellStyle name="Normal 8 4 7 5" xfId="27631" xr:uid="{A8D9291B-7E9F-459D-901F-DD63C5AB1BC1}"/>
    <cellStyle name="Normal 8 4 7 6" xfId="10745" xr:uid="{9119DF63-FB9B-4BE5-B3E1-750CCC5F5833}"/>
    <cellStyle name="Normal 8 4 8" xfId="2650" xr:uid="{00000000-0005-0000-0000-00001C1E0000}"/>
    <cellStyle name="Normal 8 4 8 2" xfId="6934" xr:uid="{00000000-0005-0000-0000-00001D1E0000}"/>
    <cellStyle name="Normal 8 4 8 2 2" xfId="23817" xr:uid="{05B56A9F-6139-4574-8919-61ADF7C8E1F6}"/>
    <cellStyle name="Normal 8 4 8 2 3" xfId="32263" xr:uid="{0F5FDBE4-6A92-4125-92FA-4EB9E8B2375D}"/>
    <cellStyle name="Normal 8 4 8 2 4" xfId="15376" xr:uid="{01491428-BE6D-42D2-8A9F-2C20B2DC317C}"/>
    <cellStyle name="Normal 8 4 8 3" xfId="19599" xr:uid="{BD35BAD9-A3DE-40F1-B30D-2A627160876A}"/>
    <cellStyle name="Normal 8 4 8 4" xfId="28044" xr:uid="{AE4ADC0E-88A6-4D6C-A8B1-3D535A3A750D}"/>
    <cellStyle name="Normal 8 4 8 5" xfId="11158" xr:uid="{1CF27AA8-127A-446E-920D-57CEB6BFB17E}"/>
    <cellStyle name="Normal 8 4 9" xfId="4869" xr:uid="{00000000-0005-0000-0000-00001E1E0000}"/>
    <cellStyle name="Normal 8 4 9 2" xfId="21752" xr:uid="{159EA954-C51B-4690-BB13-0B0E747F6994}"/>
    <cellStyle name="Normal 8 4 9 3" xfId="30198" xr:uid="{4A0E0CFB-5934-4D1A-A55D-BC141F082641}"/>
    <cellStyle name="Normal 8 4 9 4" xfId="13311" xr:uid="{D7DF7336-6C0A-455D-9AE8-58B5471895B2}"/>
    <cellStyle name="Normal 8 5" xfId="507" xr:uid="{00000000-0005-0000-0000-00001F1E0000}"/>
    <cellStyle name="Normal 8 5 10" xfId="25983" xr:uid="{11F05EC7-AE24-4FBF-A162-BDDDB867C5EC}"/>
    <cellStyle name="Normal 8 5 11" xfId="9097" xr:uid="{4E606671-E494-40AF-B96A-A3BA9D6F6F0B}"/>
    <cellStyle name="Normal 8 5 2" xfId="508" xr:uid="{00000000-0005-0000-0000-0000201E0000}"/>
    <cellStyle name="Normal 8 5 2 10" xfId="9098" xr:uid="{338626F8-524B-444A-A1E4-1DB5E201189B}"/>
    <cellStyle name="Normal 8 5 2 2" xfId="975" xr:uid="{00000000-0005-0000-0000-0000211E0000}"/>
    <cellStyle name="Normal 8 5 2 2 2" xfId="3209" xr:uid="{00000000-0005-0000-0000-0000221E0000}"/>
    <cellStyle name="Normal 8 5 2 2 2 2" xfId="7432" xr:uid="{00000000-0005-0000-0000-0000231E0000}"/>
    <cellStyle name="Normal 8 5 2 2 2 2 2" xfId="24315" xr:uid="{94EDDE48-8452-460F-A05F-283B64B5EBF9}"/>
    <cellStyle name="Normal 8 5 2 2 2 2 3" xfId="32761" xr:uid="{CE32C343-9DB2-4E7F-A1E1-BFF3F8CE951E}"/>
    <cellStyle name="Normal 8 5 2 2 2 2 4" xfId="15874" xr:uid="{092FDE2F-390B-4B0D-9D78-52BD32FF6833}"/>
    <cellStyle name="Normal 8 5 2 2 2 3" xfId="20097" xr:uid="{D2805941-0425-43CA-9F2A-C4F6FE1DBA44}"/>
    <cellStyle name="Normal 8 5 2 2 2 4" xfId="28544" xr:uid="{997039F0-AEE9-40EC-8C24-782BC58D3587}"/>
    <cellStyle name="Normal 8 5 2 2 2 5" xfId="11656" xr:uid="{E6FAD49D-D2EF-41E8-AB77-703FED533E9F}"/>
    <cellStyle name="Normal 8 5 2 2 3" xfId="5287" xr:uid="{00000000-0005-0000-0000-0000241E0000}"/>
    <cellStyle name="Normal 8 5 2 2 3 2" xfId="22170" xr:uid="{70D0D55B-0304-495E-B18E-A4B3C10806BB}"/>
    <cellStyle name="Normal 8 5 2 2 3 3" xfId="30616" xr:uid="{AD59C3D0-9189-4D39-AFF1-8BF62DEFD657}"/>
    <cellStyle name="Normal 8 5 2 2 3 4" xfId="13729" xr:uid="{7D959AEF-7364-4C49-A20D-9D4C14291923}"/>
    <cellStyle name="Normal 8 5 2 2 4" xfId="17952" xr:uid="{574CC1D5-88EF-47AA-8F26-5CD4F63D132B}"/>
    <cellStyle name="Normal 8 5 2 2 5" xfId="26397" xr:uid="{6CFFCE4F-2227-4844-91B1-05B18854C34C}"/>
    <cellStyle name="Normal 8 5 2 2 6" xfId="9511" xr:uid="{405F82F9-4A59-440B-9031-D82532622FEB}"/>
    <cellStyle name="Normal 8 5 2 3" xfId="1392" xr:uid="{00000000-0005-0000-0000-0000251E0000}"/>
    <cellStyle name="Normal 8 5 2 3 2" xfId="3622" xr:uid="{00000000-0005-0000-0000-0000261E0000}"/>
    <cellStyle name="Normal 8 5 2 3 2 2" xfId="7845" xr:uid="{00000000-0005-0000-0000-0000271E0000}"/>
    <cellStyle name="Normal 8 5 2 3 2 2 2" xfId="24728" xr:uid="{4786F10B-AB54-40F4-9CB2-B6F4E50620BB}"/>
    <cellStyle name="Normal 8 5 2 3 2 2 3" xfId="33174" xr:uid="{C9C01283-F6B2-4367-B01D-31607B62C293}"/>
    <cellStyle name="Normal 8 5 2 3 2 2 4" xfId="16287" xr:uid="{86EFBF41-DE13-47DF-ADD9-C61344D631DE}"/>
    <cellStyle name="Normal 8 5 2 3 2 3" xfId="20510" xr:uid="{4D90F0F3-395B-4522-B2FF-8656A5ADD829}"/>
    <cellStyle name="Normal 8 5 2 3 2 4" xfId="28957" xr:uid="{5ADC480F-7D85-43DA-81A3-17AFA5CA28DF}"/>
    <cellStyle name="Normal 8 5 2 3 2 5" xfId="12069" xr:uid="{F1324F41-78C6-4D19-87BD-6BC062C7F4FE}"/>
    <cellStyle name="Normal 8 5 2 3 3" xfId="5700" xr:uid="{00000000-0005-0000-0000-0000281E0000}"/>
    <cellStyle name="Normal 8 5 2 3 3 2" xfId="22583" xr:uid="{14883504-948F-4ACD-BAB2-B9500481A130}"/>
    <cellStyle name="Normal 8 5 2 3 3 3" xfId="31029" xr:uid="{6BD84386-5BD1-4E28-BBFB-C490994ABA91}"/>
    <cellStyle name="Normal 8 5 2 3 3 4" xfId="14142" xr:uid="{C79D5928-0D88-4007-84A7-974B452543D4}"/>
    <cellStyle name="Normal 8 5 2 3 4" xfId="18365" xr:uid="{2B721D4D-1E08-4A40-B856-197BF2B0B5BA}"/>
    <cellStyle name="Normal 8 5 2 3 5" xfId="26810" xr:uid="{3B804887-86CF-451D-914A-44C1D6CD40B8}"/>
    <cellStyle name="Normal 8 5 2 3 6" xfId="9924" xr:uid="{49639AC4-A16D-46C7-A588-90FE4246D455}"/>
    <cellStyle name="Normal 8 5 2 4" xfId="1805" xr:uid="{00000000-0005-0000-0000-0000291E0000}"/>
    <cellStyle name="Normal 8 5 2 4 2" xfId="4035" xr:uid="{00000000-0005-0000-0000-00002A1E0000}"/>
    <cellStyle name="Normal 8 5 2 4 2 2" xfId="8258" xr:uid="{00000000-0005-0000-0000-00002B1E0000}"/>
    <cellStyle name="Normal 8 5 2 4 2 2 2" xfId="25141" xr:uid="{FA9CD978-55B6-4BBC-ABF4-497EC388C3A9}"/>
    <cellStyle name="Normal 8 5 2 4 2 2 3" xfId="33587" xr:uid="{F4F7D1FF-3652-4ECC-82AA-1A1EE7E23C5B}"/>
    <cellStyle name="Normal 8 5 2 4 2 2 4" xfId="16700" xr:uid="{DBEE544F-275A-4B0F-8462-2B58A4C231A1}"/>
    <cellStyle name="Normal 8 5 2 4 2 3" xfId="20923" xr:uid="{0EFED67E-E3C6-4C6C-BE58-1F7E0B85B5F5}"/>
    <cellStyle name="Normal 8 5 2 4 2 4" xfId="29370" xr:uid="{B19E48CE-136F-4EE3-9704-CB8F65329E5A}"/>
    <cellStyle name="Normal 8 5 2 4 2 5" xfId="12482" xr:uid="{4F5DA826-DD15-49D5-A1F7-8CCF273DC3BB}"/>
    <cellStyle name="Normal 8 5 2 4 3" xfId="6113" xr:uid="{00000000-0005-0000-0000-00002C1E0000}"/>
    <cellStyle name="Normal 8 5 2 4 3 2" xfId="22996" xr:uid="{B796706F-A845-4743-AD55-427EABFD5875}"/>
    <cellStyle name="Normal 8 5 2 4 3 3" xfId="31442" xr:uid="{98AE68D3-1A7E-4D4A-BA2E-32DF4E6355C0}"/>
    <cellStyle name="Normal 8 5 2 4 3 4" xfId="14555" xr:uid="{FACA0962-8665-48D8-8756-EA480C058D63}"/>
    <cellStyle name="Normal 8 5 2 4 4" xfId="18778" xr:uid="{B248D33F-832B-4C12-BAAD-6F60C1D3F5D8}"/>
    <cellStyle name="Normal 8 5 2 4 5" xfId="27223" xr:uid="{D3631733-45F7-47C9-B643-4ACFB7EE6251}"/>
    <cellStyle name="Normal 8 5 2 4 6" xfId="10337" xr:uid="{0840C1C2-3682-4643-8C62-D509E51E1453}"/>
    <cellStyle name="Normal 8 5 2 5" xfId="2219" xr:uid="{00000000-0005-0000-0000-00002D1E0000}"/>
    <cellStyle name="Normal 8 5 2 5 2" xfId="4448" xr:uid="{00000000-0005-0000-0000-00002E1E0000}"/>
    <cellStyle name="Normal 8 5 2 5 2 2" xfId="8671" xr:uid="{00000000-0005-0000-0000-00002F1E0000}"/>
    <cellStyle name="Normal 8 5 2 5 2 2 2" xfId="25554" xr:uid="{C01F538E-D188-45C6-8B38-3B636D9FA97D}"/>
    <cellStyle name="Normal 8 5 2 5 2 2 3" xfId="34000" xr:uid="{2BA96BBA-7C96-454B-9D59-7D2770FB3647}"/>
    <cellStyle name="Normal 8 5 2 5 2 2 4" xfId="17113" xr:uid="{0B96BA89-1D69-4B2C-B4E8-570068974B1C}"/>
    <cellStyle name="Normal 8 5 2 5 2 3" xfId="21336" xr:uid="{9C660D84-D3E9-4EEB-A15D-955D725481D4}"/>
    <cellStyle name="Normal 8 5 2 5 2 4" xfId="29783" xr:uid="{A1F1BC23-2439-4567-86AB-753517DAB67A}"/>
    <cellStyle name="Normal 8 5 2 5 2 5" xfId="12895" xr:uid="{05980594-08C5-43E7-A225-0AD9A81A351C}"/>
    <cellStyle name="Normal 8 5 2 5 3" xfId="6526" xr:uid="{00000000-0005-0000-0000-0000301E0000}"/>
    <cellStyle name="Normal 8 5 2 5 3 2" xfId="23409" xr:uid="{500867DA-739C-4070-830C-6F9D3E4F11F1}"/>
    <cellStyle name="Normal 8 5 2 5 3 3" xfId="31855" xr:uid="{91237927-8729-43E0-B394-FE57CD387EC9}"/>
    <cellStyle name="Normal 8 5 2 5 3 4" xfId="14968" xr:uid="{CD8A09F9-E4B4-499F-817E-E89B21AF0496}"/>
    <cellStyle name="Normal 8 5 2 5 4" xfId="19191" xr:uid="{7A11B040-6762-4B72-8040-0700EA90183C}"/>
    <cellStyle name="Normal 8 5 2 5 5" xfId="27636" xr:uid="{70C39670-7684-4F44-AF7A-B795E1997053}"/>
    <cellStyle name="Normal 8 5 2 5 6" xfId="10750" xr:uid="{F36CDB46-2F03-4A48-A918-D379F3810899}"/>
    <cellStyle name="Normal 8 5 2 6" xfId="2655" xr:uid="{00000000-0005-0000-0000-0000311E0000}"/>
    <cellStyle name="Normal 8 5 2 6 2" xfId="6939" xr:uid="{00000000-0005-0000-0000-0000321E0000}"/>
    <cellStyle name="Normal 8 5 2 6 2 2" xfId="23822" xr:uid="{0E84CC2F-C722-4294-8EA2-FE3567B2142C}"/>
    <cellStyle name="Normal 8 5 2 6 2 3" xfId="32268" xr:uid="{5525EA30-9AE3-4974-9475-4F65C2DD7580}"/>
    <cellStyle name="Normal 8 5 2 6 2 4" xfId="15381" xr:uid="{2AC639A1-962A-4406-AF60-D85DEE061CD4}"/>
    <cellStyle name="Normal 8 5 2 6 3" xfId="19604" xr:uid="{2AE4DDF7-700F-4743-B2F8-BFC80FC145A7}"/>
    <cellStyle name="Normal 8 5 2 6 4" xfId="28049" xr:uid="{D56F6E6E-22DF-4AD3-BD3C-9B1D21B12601}"/>
    <cellStyle name="Normal 8 5 2 6 5" xfId="11163" xr:uid="{D87C4489-B408-4407-96D0-EF5A609A5552}"/>
    <cellStyle name="Normal 8 5 2 7" xfId="4874" xr:uid="{00000000-0005-0000-0000-0000331E0000}"/>
    <cellStyle name="Normal 8 5 2 7 2" xfId="21757" xr:uid="{948DD21C-25B0-4D64-ABEE-09A3CD3807C1}"/>
    <cellStyle name="Normal 8 5 2 7 3" xfId="30203" xr:uid="{05FDFE90-F01A-4724-8F3B-1CFAD6154226}"/>
    <cellStyle name="Normal 8 5 2 7 4" xfId="13316" xr:uid="{E1CDB965-E781-4414-9BC4-317D9848802F}"/>
    <cellStyle name="Normal 8 5 2 8" xfId="17539" xr:uid="{5DDDE43D-5DBC-401F-9B0D-C26BB1B2AC1B}"/>
    <cellStyle name="Normal 8 5 2 9" xfId="25984" xr:uid="{82BB4830-F380-4D2C-AA3E-1B332E69050A}"/>
    <cellStyle name="Normal 8 5 3" xfId="974" xr:uid="{00000000-0005-0000-0000-0000341E0000}"/>
    <cellStyle name="Normal 8 5 3 2" xfId="3208" xr:uid="{00000000-0005-0000-0000-0000351E0000}"/>
    <cellStyle name="Normal 8 5 3 2 2" xfId="7431" xr:uid="{00000000-0005-0000-0000-0000361E0000}"/>
    <cellStyle name="Normal 8 5 3 2 2 2" xfId="24314" xr:uid="{944A96B0-F9EF-4B08-A9B2-CA4BC41D5576}"/>
    <cellStyle name="Normal 8 5 3 2 2 3" xfId="32760" xr:uid="{DF7188A2-163F-4A32-99FA-8DF453613073}"/>
    <cellStyle name="Normal 8 5 3 2 2 4" xfId="15873" xr:uid="{16E416E7-689A-46AC-8E37-8D55A8870519}"/>
    <cellStyle name="Normal 8 5 3 2 3" xfId="20096" xr:uid="{F5B9088C-28B6-4B2C-85AD-3012AEE6A8EA}"/>
    <cellStyle name="Normal 8 5 3 2 4" xfId="28543" xr:uid="{A3DA858D-4C76-4905-8A0D-FC0FB2A96EBB}"/>
    <cellStyle name="Normal 8 5 3 2 5" xfId="11655" xr:uid="{6B39733F-091D-49D6-BCD1-41A7634B26D8}"/>
    <cellStyle name="Normal 8 5 3 3" xfId="5286" xr:uid="{00000000-0005-0000-0000-0000371E0000}"/>
    <cellStyle name="Normal 8 5 3 3 2" xfId="22169" xr:uid="{27E16DCA-F143-44A8-9205-F953B6A84F80}"/>
    <cellStyle name="Normal 8 5 3 3 3" xfId="30615" xr:uid="{1F3BB4CC-35E5-4656-9A99-55A718FD2CAF}"/>
    <cellStyle name="Normal 8 5 3 3 4" xfId="13728" xr:uid="{FCC0C862-ECEF-4CB6-998B-0EDBA5843297}"/>
    <cellStyle name="Normal 8 5 3 4" xfId="17951" xr:uid="{DF442C1D-F54E-4418-8A06-E879EEFEBC1A}"/>
    <cellStyle name="Normal 8 5 3 5" xfId="26396" xr:uid="{A30730F9-E59D-4F73-A927-DADB6765F167}"/>
    <cellStyle name="Normal 8 5 3 6" xfId="9510" xr:uid="{59074583-BB05-4FD3-AB19-1754B8A12B2E}"/>
    <cellStyle name="Normal 8 5 4" xfId="1391" xr:uid="{00000000-0005-0000-0000-0000381E0000}"/>
    <cellStyle name="Normal 8 5 4 2" xfId="3621" xr:uid="{00000000-0005-0000-0000-0000391E0000}"/>
    <cellStyle name="Normal 8 5 4 2 2" xfId="7844" xr:uid="{00000000-0005-0000-0000-00003A1E0000}"/>
    <cellStyle name="Normal 8 5 4 2 2 2" xfId="24727" xr:uid="{B5D6970D-2F85-49CC-8AD7-DD6DA696F53F}"/>
    <cellStyle name="Normal 8 5 4 2 2 3" xfId="33173" xr:uid="{66CB2E2C-43F4-4CED-BA47-6F979485863E}"/>
    <cellStyle name="Normal 8 5 4 2 2 4" xfId="16286" xr:uid="{303FD629-151B-42BB-9753-300AB5DE40BD}"/>
    <cellStyle name="Normal 8 5 4 2 3" xfId="20509" xr:uid="{E03D86E2-87CF-40E8-BA18-0BA7D95D4373}"/>
    <cellStyle name="Normal 8 5 4 2 4" xfId="28956" xr:uid="{99DF5C01-C1B5-48C8-A653-72FE45495EB9}"/>
    <cellStyle name="Normal 8 5 4 2 5" xfId="12068" xr:uid="{CE46CE1A-496D-442A-8112-FFE4358A321D}"/>
    <cellStyle name="Normal 8 5 4 3" xfId="5699" xr:uid="{00000000-0005-0000-0000-00003B1E0000}"/>
    <cellStyle name="Normal 8 5 4 3 2" xfId="22582" xr:uid="{AA4FA78B-1B83-4F6A-8CA8-61E52E0AB997}"/>
    <cellStyle name="Normal 8 5 4 3 3" xfId="31028" xr:uid="{008A7978-2A44-4E9B-BEAC-CF26BBEB482B}"/>
    <cellStyle name="Normal 8 5 4 3 4" xfId="14141" xr:uid="{8CB9BF6C-BEF0-4508-8F65-F8E3E42BAC1D}"/>
    <cellStyle name="Normal 8 5 4 4" xfId="18364" xr:uid="{F9B14924-B47A-4874-BCB6-F876B47D73FA}"/>
    <cellStyle name="Normal 8 5 4 5" xfId="26809" xr:uid="{3277D81E-9B6B-40C3-B8F2-3CA46DC13386}"/>
    <cellStyle name="Normal 8 5 4 6" xfId="9923" xr:uid="{7DCCD789-320E-4525-AA9E-B10BC9529F0E}"/>
    <cellStyle name="Normal 8 5 5" xfId="1804" xr:uid="{00000000-0005-0000-0000-00003C1E0000}"/>
    <cellStyle name="Normal 8 5 5 2" xfId="4034" xr:uid="{00000000-0005-0000-0000-00003D1E0000}"/>
    <cellStyle name="Normal 8 5 5 2 2" xfId="8257" xr:uid="{00000000-0005-0000-0000-00003E1E0000}"/>
    <cellStyle name="Normal 8 5 5 2 2 2" xfId="25140" xr:uid="{8E055742-F693-4A2C-A814-6DADA7C02E73}"/>
    <cellStyle name="Normal 8 5 5 2 2 3" xfId="33586" xr:uid="{CC2450A3-9408-44F1-8DB1-300FAE871691}"/>
    <cellStyle name="Normal 8 5 5 2 2 4" xfId="16699" xr:uid="{FA8AB56B-E5D7-49E7-8361-392D0CB05AAC}"/>
    <cellStyle name="Normal 8 5 5 2 3" xfId="20922" xr:uid="{4282CDFB-E0C8-4887-9BEB-2752A32C49FB}"/>
    <cellStyle name="Normal 8 5 5 2 4" xfId="29369" xr:uid="{2AC2B232-11E7-4536-9680-AE691B1E1FC0}"/>
    <cellStyle name="Normal 8 5 5 2 5" xfId="12481" xr:uid="{E9E9FC4C-B9ED-4FC0-A4E6-BC580C22B32D}"/>
    <cellStyle name="Normal 8 5 5 3" xfId="6112" xr:uid="{00000000-0005-0000-0000-00003F1E0000}"/>
    <cellStyle name="Normal 8 5 5 3 2" xfId="22995" xr:uid="{6162A30D-3BC7-44CA-A770-25F23F3E563E}"/>
    <cellStyle name="Normal 8 5 5 3 3" xfId="31441" xr:uid="{8ED95840-4622-4316-A3A5-36146B70FEF3}"/>
    <cellStyle name="Normal 8 5 5 3 4" xfId="14554" xr:uid="{3AF7FDCD-95A9-47DE-ACEE-670AF3F01775}"/>
    <cellStyle name="Normal 8 5 5 4" xfId="18777" xr:uid="{6018A377-6605-4B77-AAF8-0160059E0152}"/>
    <cellStyle name="Normal 8 5 5 5" xfId="27222" xr:uid="{9137BC25-6EBA-4D05-871F-3D159994545C}"/>
    <cellStyle name="Normal 8 5 5 6" xfId="10336" xr:uid="{1B302D9B-CDD9-4FBF-BB37-4000097D3307}"/>
    <cellStyle name="Normal 8 5 6" xfId="2218" xr:uid="{00000000-0005-0000-0000-0000401E0000}"/>
    <cellStyle name="Normal 8 5 6 2" xfId="4447" xr:uid="{00000000-0005-0000-0000-0000411E0000}"/>
    <cellStyle name="Normal 8 5 6 2 2" xfId="8670" xr:uid="{00000000-0005-0000-0000-0000421E0000}"/>
    <cellStyle name="Normal 8 5 6 2 2 2" xfId="25553" xr:uid="{8E90C889-C8AB-49CD-88F5-D08C309CE2B0}"/>
    <cellStyle name="Normal 8 5 6 2 2 3" xfId="33999" xr:uid="{353DC4BD-1D42-4865-B27E-F1DBEF8AE1B0}"/>
    <cellStyle name="Normal 8 5 6 2 2 4" xfId="17112" xr:uid="{EC59BBEB-494B-4492-82B1-FD008599022C}"/>
    <cellStyle name="Normal 8 5 6 2 3" xfId="21335" xr:uid="{D8CE4B39-B822-4904-AEBE-8F89B343032C}"/>
    <cellStyle name="Normal 8 5 6 2 4" xfId="29782" xr:uid="{CA71B16B-3A11-4E25-978B-F4C2ECCA9D2E}"/>
    <cellStyle name="Normal 8 5 6 2 5" xfId="12894" xr:uid="{9903F96A-F75B-460C-8DBA-43D2759E404B}"/>
    <cellStyle name="Normal 8 5 6 3" xfId="6525" xr:uid="{00000000-0005-0000-0000-0000431E0000}"/>
    <cellStyle name="Normal 8 5 6 3 2" xfId="23408" xr:uid="{B1439037-9072-4C8F-A307-765B8B35CC96}"/>
    <cellStyle name="Normal 8 5 6 3 3" xfId="31854" xr:uid="{1BD2D8BA-A917-4A8F-B9D4-7227090D6C1A}"/>
    <cellStyle name="Normal 8 5 6 3 4" xfId="14967" xr:uid="{1BACBAD7-6162-4225-8117-48ED356B3B00}"/>
    <cellStyle name="Normal 8 5 6 4" xfId="19190" xr:uid="{3336897C-D155-4B70-970F-211A0530331F}"/>
    <cellStyle name="Normal 8 5 6 5" xfId="27635" xr:uid="{BFB2F355-D240-48C1-A6FC-9D421FD38709}"/>
    <cellStyle name="Normal 8 5 6 6" xfId="10749" xr:uid="{29335ADD-23BB-4ACB-AEE5-B6E170493C3E}"/>
    <cellStyle name="Normal 8 5 7" xfId="2654" xr:uid="{00000000-0005-0000-0000-0000441E0000}"/>
    <cellStyle name="Normal 8 5 7 2" xfId="6938" xr:uid="{00000000-0005-0000-0000-0000451E0000}"/>
    <cellStyle name="Normal 8 5 7 2 2" xfId="23821" xr:uid="{51CD4074-221A-4879-A111-56F81FDC0963}"/>
    <cellStyle name="Normal 8 5 7 2 3" xfId="32267" xr:uid="{2FAC98E2-CA20-47CA-9216-60C5E87B1503}"/>
    <cellStyle name="Normal 8 5 7 2 4" xfId="15380" xr:uid="{EA8148E0-6677-46CC-881F-63BCF74F05BC}"/>
    <cellStyle name="Normal 8 5 7 3" xfId="19603" xr:uid="{69023C24-2427-4F4C-8E11-07DA3385E8D0}"/>
    <cellStyle name="Normal 8 5 7 4" xfId="28048" xr:uid="{259D8AE4-0E57-427F-85AE-5C579625BFCA}"/>
    <cellStyle name="Normal 8 5 7 5" xfId="11162" xr:uid="{F92C429A-FB1B-4001-86DD-EB0D1405FDFC}"/>
    <cellStyle name="Normal 8 5 8" xfId="4873" xr:uid="{00000000-0005-0000-0000-0000461E0000}"/>
    <cellStyle name="Normal 8 5 8 2" xfId="21756" xr:uid="{41F3810C-6C77-4636-A381-27B733FC1121}"/>
    <cellStyle name="Normal 8 5 8 3" xfId="30202" xr:uid="{5BBB034D-61AD-4967-95F1-BE16F3D04DEB}"/>
    <cellStyle name="Normal 8 5 8 4" xfId="13315" xr:uid="{D381E0FF-5343-4CB0-BEE4-00481DA72AF5}"/>
    <cellStyle name="Normal 8 5 9" xfId="17538" xr:uid="{62C02612-6552-4539-82E2-1AC6208F8279}"/>
    <cellStyle name="Normal 8 6" xfId="509" xr:uid="{00000000-0005-0000-0000-0000471E0000}"/>
    <cellStyle name="Normal 8 6 10" xfId="9099" xr:uid="{84623A09-4818-4C85-B242-5C7C268EEE74}"/>
    <cellStyle name="Normal 8 6 2" xfId="976" xr:uid="{00000000-0005-0000-0000-0000481E0000}"/>
    <cellStyle name="Normal 8 6 2 2" xfId="3210" xr:uid="{00000000-0005-0000-0000-0000491E0000}"/>
    <cellStyle name="Normal 8 6 2 2 2" xfId="7433" xr:uid="{00000000-0005-0000-0000-00004A1E0000}"/>
    <cellStyle name="Normal 8 6 2 2 2 2" xfId="24316" xr:uid="{6B0A912E-269B-44D1-B7D8-71D84CC9E553}"/>
    <cellStyle name="Normal 8 6 2 2 2 3" xfId="32762" xr:uid="{05A50E3C-5B7F-4A1F-B646-B4F4642056E0}"/>
    <cellStyle name="Normal 8 6 2 2 2 4" xfId="15875" xr:uid="{275E3010-7FBE-4419-BADD-7CA274413623}"/>
    <cellStyle name="Normal 8 6 2 2 3" xfId="20098" xr:uid="{51FF3BBE-A7D4-4E73-989D-C7B15501FF51}"/>
    <cellStyle name="Normal 8 6 2 2 4" xfId="28545" xr:uid="{35F36749-8107-4485-B4D0-364F26B1A778}"/>
    <cellStyle name="Normal 8 6 2 2 5" xfId="11657" xr:uid="{F26E63D4-916B-4DB3-974D-DE5440D03697}"/>
    <cellStyle name="Normal 8 6 2 3" xfId="5288" xr:uid="{00000000-0005-0000-0000-00004B1E0000}"/>
    <cellStyle name="Normal 8 6 2 3 2" xfId="22171" xr:uid="{EB0E6E0B-8C4C-4170-8053-8E7DE00D46FA}"/>
    <cellStyle name="Normal 8 6 2 3 3" xfId="30617" xr:uid="{D43AD500-B7AB-4E5E-B9BD-9A131B63D50B}"/>
    <cellStyle name="Normal 8 6 2 3 4" xfId="13730" xr:uid="{FB3EDA64-A660-4857-8406-AC090AB004EF}"/>
    <cellStyle name="Normal 8 6 2 4" xfId="17953" xr:uid="{1C5A088A-0CA5-4EA5-9CE3-FF5667CC79D4}"/>
    <cellStyle name="Normal 8 6 2 5" xfId="26398" xr:uid="{59BD2E7D-FCCA-4056-B9F8-0015EE835884}"/>
    <cellStyle name="Normal 8 6 2 6" xfId="9512" xr:uid="{C7664DA3-A07F-49B0-9478-8067E04A8903}"/>
    <cellStyle name="Normal 8 6 3" xfId="1393" xr:uid="{00000000-0005-0000-0000-00004C1E0000}"/>
    <cellStyle name="Normal 8 6 3 2" xfId="3623" xr:uid="{00000000-0005-0000-0000-00004D1E0000}"/>
    <cellStyle name="Normal 8 6 3 2 2" xfId="7846" xr:uid="{00000000-0005-0000-0000-00004E1E0000}"/>
    <cellStyle name="Normal 8 6 3 2 2 2" xfId="24729" xr:uid="{871BAFB0-C530-4020-AA18-C3DBC91EBA3D}"/>
    <cellStyle name="Normal 8 6 3 2 2 3" xfId="33175" xr:uid="{303AD0AD-4566-4AD5-834E-E848846D6A79}"/>
    <cellStyle name="Normal 8 6 3 2 2 4" xfId="16288" xr:uid="{A610D2AF-3AA1-45F1-B86A-4B9D81D9AE28}"/>
    <cellStyle name="Normal 8 6 3 2 3" xfId="20511" xr:uid="{E4D4337F-6A30-4F8B-B404-BC9C20190CBA}"/>
    <cellStyle name="Normal 8 6 3 2 4" xfId="28958" xr:uid="{86F95097-56F1-4A49-B9F6-A5FFFCBEB920}"/>
    <cellStyle name="Normal 8 6 3 2 5" xfId="12070" xr:uid="{3CCD45B9-EB35-47DE-AB88-88FB5A50D436}"/>
    <cellStyle name="Normal 8 6 3 3" xfId="5701" xr:uid="{00000000-0005-0000-0000-00004F1E0000}"/>
    <cellStyle name="Normal 8 6 3 3 2" xfId="22584" xr:uid="{2CEB47F0-3676-4894-8CB4-A5C3A8C30ECC}"/>
    <cellStyle name="Normal 8 6 3 3 3" xfId="31030" xr:uid="{5CB13909-5445-4141-8CC5-125C79AD1500}"/>
    <cellStyle name="Normal 8 6 3 3 4" xfId="14143" xr:uid="{245FBFAC-8C77-43CD-8B79-AB7930E6C6AA}"/>
    <cellStyle name="Normal 8 6 3 4" xfId="18366" xr:uid="{E9568499-4825-4A5D-9274-5F813F9491BC}"/>
    <cellStyle name="Normal 8 6 3 5" xfId="26811" xr:uid="{678AB0E7-6691-458F-B68D-64FCDA860B61}"/>
    <cellStyle name="Normal 8 6 3 6" xfId="9925" xr:uid="{4CEA4C76-5D51-428D-8C70-63BF96D1CF2A}"/>
    <cellStyle name="Normal 8 6 4" xfId="1806" xr:uid="{00000000-0005-0000-0000-0000501E0000}"/>
    <cellStyle name="Normal 8 6 4 2" xfId="4036" xr:uid="{00000000-0005-0000-0000-0000511E0000}"/>
    <cellStyle name="Normal 8 6 4 2 2" xfId="8259" xr:uid="{00000000-0005-0000-0000-0000521E0000}"/>
    <cellStyle name="Normal 8 6 4 2 2 2" xfId="25142" xr:uid="{33891028-F477-4527-8AF7-F0052084441F}"/>
    <cellStyle name="Normal 8 6 4 2 2 3" xfId="33588" xr:uid="{3450F731-8EDD-46F7-833A-BD28A2401AB9}"/>
    <cellStyle name="Normal 8 6 4 2 2 4" xfId="16701" xr:uid="{6257019C-7A07-4424-8645-EBAAE5A9E677}"/>
    <cellStyle name="Normal 8 6 4 2 3" xfId="20924" xr:uid="{AD3F08B5-30C9-414D-8900-371A5D76A964}"/>
    <cellStyle name="Normal 8 6 4 2 4" xfId="29371" xr:uid="{7B839BCF-F3AA-47F4-8010-EEA6F809B19A}"/>
    <cellStyle name="Normal 8 6 4 2 5" xfId="12483" xr:uid="{0E031A7D-E4F6-405E-8B74-6740E402AB16}"/>
    <cellStyle name="Normal 8 6 4 3" xfId="6114" xr:uid="{00000000-0005-0000-0000-0000531E0000}"/>
    <cellStyle name="Normal 8 6 4 3 2" xfId="22997" xr:uid="{69D26536-9336-4A3D-8786-085691CDB311}"/>
    <cellStyle name="Normal 8 6 4 3 3" xfId="31443" xr:uid="{07A72ABF-4535-48DC-9B4D-B890582C4620}"/>
    <cellStyle name="Normal 8 6 4 3 4" xfId="14556" xr:uid="{F1ECC3FC-0CA8-4533-A2F6-A459D7373825}"/>
    <cellStyle name="Normal 8 6 4 4" xfId="18779" xr:uid="{9D745042-3B90-464B-8EE8-B3D66B6981BC}"/>
    <cellStyle name="Normal 8 6 4 5" xfId="27224" xr:uid="{58CBEA63-046F-441F-AE3D-4AE335CEBFD2}"/>
    <cellStyle name="Normal 8 6 4 6" xfId="10338" xr:uid="{673C88A7-3156-4025-A62B-113D3A7B115A}"/>
    <cellStyle name="Normal 8 6 5" xfId="2220" xr:uid="{00000000-0005-0000-0000-0000541E0000}"/>
    <cellStyle name="Normal 8 6 5 2" xfId="4449" xr:uid="{00000000-0005-0000-0000-0000551E0000}"/>
    <cellStyle name="Normal 8 6 5 2 2" xfId="8672" xr:uid="{00000000-0005-0000-0000-0000561E0000}"/>
    <cellStyle name="Normal 8 6 5 2 2 2" xfId="25555" xr:uid="{35044821-397D-4150-AC31-320973E62C2F}"/>
    <cellStyle name="Normal 8 6 5 2 2 3" xfId="34001" xr:uid="{FBA18D78-9937-45D1-A99B-F46AFB4729CA}"/>
    <cellStyle name="Normal 8 6 5 2 2 4" xfId="17114" xr:uid="{8DFEF446-18E0-48E9-A786-5D75122315BC}"/>
    <cellStyle name="Normal 8 6 5 2 3" xfId="21337" xr:uid="{BA3E3662-54D6-431C-9F83-B2A76784CD20}"/>
    <cellStyle name="Normal 8 6 5 2 4" xfId="29784" xr:uid="{44493EC3-ED29-4BA7-B98C-931073BBA917}"/>
    <cellStyle name="Normal 8 6 5 2 5" xfId="12896" xr:uid="{83B11F82-3813-43AA-A86F-0480F2FC8760}"/>
    <cellStyle name="Normal 8 6 5 3" xfId="6527" xr:uid="{00000000-0005-0000-0000-0000571E0000}"/>
    <cellStyle name="Normal 8 6 5 3 2" xfId="23410" xr:uid="{B4062118-0F81-40BE-8EF8-76733D009FDC}"/>
    <cellStyle name="Normal 8 6 5 3 3" xfId="31856" xr:uid="{1023C5F9-EF8B-446C-A832-B8F4FB2E550A}"/>
    <cellStyle name="Normal 8 6 5 3 4" xfId="14969" xr:uid="{710A1531-E282-48D8-A986-94E0FD55D8CF}"/>
    <cellStyle name="Normal 8 6 5 4" xfId="19192" xr:uid="{CD6F0014-C6B4-44F7-9C37-DC78611F2467}"/>
    <cellStyle name="Normal 8 6 5 5" xfId="27637" xr:uid="{3585365B-3DE8-4ABF-87A3-A27B7C2B2F16}"/>
    <cellStyle name="Normal 8 6 5 6" xfId="10751" xr:uid="{8755DBD1-E35F-4D77-B50B-F46BB470337D}"/>
    <cellStyle name="Normal 8 6 6" xfId="2656" xr:uid="{00000000-0005-0000-0000-0000581E0000}"/>
    <cellStyle name="Normal 8 6 6 2" xfId="6940" xr:uid="{00000000-0005-0000-0000-0000591E0000}"/>
    <cellStyle name="Normal 8 6 6 2 2" xfId="23823" xr:uid="{8F090611-DF68-4AA8-9258-7994A58EFD7C}"/>
    <cellStyle name="Normal 8 6 6 2 3" xfId="32269" xr:uid="{3E7AE8EC-76EB-4322-A705-D09D7A194731}"/>
    <cellStyle name="Normal 8 6 6 2 4" xfId="15382" xr:uid="{5CD4012B-94C8-446A-9952-1720B31476F4}"/>
    <cellStyle name="Normal 8 6 6 3" xfId="19605" xr:uid="{3FC47A5D-C83C-463C-AB8C-D44E63EA54EB}"/>
    <cellStyle name="Normal 8 6 6 4" xfId="28050" xr:uid="{16DB9AF8-FC6A-4635-A751-9BFCA8FB080A}"/>
    <cellStyle name="Normal 8 6 6 5" xfId="11164" xr:uid="{001939A2-3676-4AE1-9A70-61D2A0B4E289}"/>
    <cellStyle name="Normal 8 6 7" xfId="4875" xr:uid="{00000000-0005-0000-0000-00005A1E0000}"/>
    <cellStyle name="Normal 8 6 7 2" xfId="21758" xr:uid="{CA806EE4-846A-40DD-AC22-7D70149EA0B7}"/>
    <cellStyle name="Normal 8 6 7 3" xfId="30204" xr:uid="{04CF36D8-E482-45D4-84A1-65D1D7CB63FB}"/>
    <cellStyle name="Normal 8 6 7 4" xfId="13317" xr:uid="{D7BD9169-A3C5-4114-98A4-93FEDDC0AC66}"/>
    <cellStyle name="Normal 8 6 8" xfId="17540" xr:uid="{EBF566A8-54DA-4F09-BD24-06B7EAFDC0CF}"/>
    <cellStyle name="Normal 8 6 9" xfId="25985" xr:uid="{F1D492D3-D13C-4AB6-A562-4B6B0763E0C2}"/>
    <cellStyle name="Normal 8 7" xfId="945" xr:uid="{00000000-0005-0000-0000-00005B1E0000}"/>
    <cellStyle name="Normal 8 7 2" xfId="3179" xr:uid="{00000000-0005-0000-0000-00005C1E0000}"/>
    <cellStyle name="Normal 8 7 2 2" xfId="7402" xr:uid="{00000000-0005-0000-0000-00005D1E0000}"/>
    <cellStyle name="Normal 8 7 2 2 2" xfId="24285" xr:uid="{1FE74CDC-CE9F-4783-945D-FC2A88B680D7}"/>
    <cellStyle name="Normal 8 7 2 2 3" xfId="32731" xr:uid="{FE233F1F-13F5-4525-82C9-5A340DE186AD}"/>
    <cellStyle name="Normal 8 7 2 2 4" xfId="15844" xr:uid="{31725B62-FDF1-41D6-BABA-26E52878707D}"/>
    <cellStyle name="Normal 8 7 2 3" xfId="20067" xr:uid="{B4BFA9A3-77D0-44EC-9F30-8F10A4BA2FC5}"/>
    <cellStyle name="Normal 8 7 2 4" xfId="28514" xr:uid="{38815490-B376-4248-AA7A-FC1A726194CD}"/>
    <cellStyle name="Normal 8 7 2 5" xfId="11626" xr:uid="{2313C96A-9F4F-468F-8A5E-FDB08137060C}"/>
    <cellStyle name="Normal 8 7 3" xfId="5257" xr:uid="{00000000-0005-0000-0000-00005E1E0000}"/>
    <cellStyle name="Normal 8 7 3 2" xfId="22140" xr:uid="{9A231EC6-B761-46E0-AA02-5890ACC0847C}"/>
    <cellStyle name="Normal 8 7 3 3" xfId="30586" xr:uid="{04B0DB4A-D5F4-4FD2-BF29-140B2401F17B}"/>
    <cellStyle name="Normal 8 7 3 4" xfId="13699" xr:uid="{50026C0A-2E5F-4FFD-B66E-F906A6EFE4DE}"/>
    <cellStyle name="Normal 8 7 4" xfId="17922" xr:uid="{C08C83AB-75BF-4A93-8F0F-C08481DDC5B8}"/>
    <cellStyle name="Normal 8 7 5" xfId="26367" xr:uid="{65354201-B118-434F-808E-8F303D50C3D2}"/>
    <cellStyle name="Normal 8 7 6" xfId="9481" xr:uid="{99F619E9-E0D9-4506-8BE2-4E4BEE828102}"/>
    <cellStyle name="Normal 8 8" xfId="1362" xr:uid="{00000000-0005-0000-0000-00005F1E0000}"/>
    <cellStyle name="Normal 8 8 2" xfId="3592" xr:uid="{00000000-0005-0000-0000-0000601E0000}"/>
    <cellStyle name="Normal 8 8 2 2" xfId="7815" xr:uid="{00000000-0005-0000-0000-0000611E0000}"/>
    <cellStyle name="Normal 8 8 2 2 2" xfId="24698" xr:uid="{56471BD9-812F-4B3F-9589-9E6EC639EAA1}"/>
    <cellStyle name="Normal 8 8 2 2 3" xfId="33144" xr:uid="{F1BA83CE-1AA6-4D8E-97C9-E82E095CF847}"/>
    <cellStyle name="Normal 8 8 2 2 4" xfId="16257" xr:uid="{07287AFA-155D-4E43-A390-FDF750404B93}"/>
    <cellStyle name="Normal 8 8 2 3" xfId="20480" xr:uid="{DD9F5019-D211-4E6E-BAB5-9FC69454ABBE}"/>
    <cellStyle name="Normal 8 8 2 4" xfId="28927" xr:uid="{42D58DBC-488D-4274-8A7B-0E9115294FDA}"/>
    <cellStyle name="Normal 8 8 2 5" xfId="12039" xr:uid="{455DCA04-0466-485E-9790-DC92D9C0BCD3}"/>
    <cellStyle name="Normal 8 8 3" xfId="5670" xr:uid="{00000000-0005-0000-0000-0000621E0000}"/>
    <cellStyle name="Normal 8 8 3 2" xfId="22553" xr:uid="{BEE23AB1-FE5E-4C85-AB4F-ACD0F335BBA7}"/>
    <cellStyle name="Normal 8 8 3 3" xfId="30999" xr:uid="{A433A8FF-C18B-468F-AE21-A96224B01072}"/>
    <cellStyle name="Normal 8 8 3 4" xfId="14112" xr:uid="{0EDC5062-74CD-4498-B2F4-78CBF2A94660}"/>
    <cellStyle name="Normal 8 8 4" xfId="18335" xr:uid="{52EE9764-4AAF-4D4F-9D11-984202ABC138}"/>
    <cellStyle name="Normal 8 8 5" xfId="26780" xr:uid="{14D7A397-FBBA-4290-92FD-81EC563819A5}"/>
    <cellStyle name="Normal 8 8 6" xfId="9894" xr:uid="{647837BB-33EA-4303-B698-342C3539B357}"/>
    <cellStyle name="Normal 8 9" xfId="1775" xr:uid="{00000000-0005-0000-0000-0000631E0000}"/>
    <cellStyle name="Normal 8 9 2" xfId="4005" xr:uid="{00000000-0005-0000-0000-0000641E0000}"/>
    <cellStyle name="Normal 8 9 2 2" xfId="8228" xr:uid="{00000000-0005-0000-0000-0000651E0000}"/>
    <cellStyle name="Normal 8 9 2 2 2" xfId="25111" xr:uid="{16CFDB5B-A8C7-44B0-A5DB-093F58BA369E}"/>
    <cellStyle name="Normal 8 9 2 2 3" xfId="33557" xr:uid="{D02669E6-6BB6-4D87-AD22-E569114D5D71}"/>
    <cellStyle name="Normal 8 9 2 2 4" xfId="16670" xr:uid="{76B94878-B7FC-4082-8865-BE2C87C342FE}"/>
    <cellStyle name="Normal 8 9 2 3" xfId="20893" xr:uid="{D0478741-7E08-402B-B4AD-4DCD20321FE1}"/>
    <cellStyle name="Normal 8 9 2 4" xfId="29340" xr:uid="{E6D4CFCE-AA27-4FD9-9272-3615A763033D}"/>
    <cellStyle name="Normal 8 9 2 5" xfId="12452" xr:uid="{6C2BCA54-0DB1-4FF0-B19D-88F50E7C73F3}"/>
    <cellStyle name="Normal 8 9 3" xfId="6083" xr:uid="{00000000-0005-0000-0000-0000661E0000}"/>
    <cellStyle name="Normal 8 9 3 2" xfId="22966" xr:uid="{F35ED495-4196-4F13-8D71-5DB6D970A889}"/>
    <cellStyle name="Normal 8 9 3 3" xfId="31412" xr:uid="{320A0828-627B-4D6E-8281-A85448EECAB8}"/>
    <cellStyle name="Normal 8 9 3 4" xfId="14525" xr:uid="{8BBAAB48-1712-48E2-8D4D-6934FBF9B48C}"/>
    <cellStyle name="Normal 8 9 4" xfId="18748" xr:uid="{08895745-0B7B-41D9-B893-F173666ACD2E}"/>
    <cellStyle name="Normal 8 9 5" xfId="27193" xr:uid="{74FAA71C-5A1E-4085-913C-EA5BD55941A6}"/>
    <cellStyle name="Normal 8 9 6" xfId="10307" xr:uid="{DDCA8F22-0F8E-47AE-97D0-6BBD7ECE0993}"/>
    <cellStyle name="Normal 8_Dropdowns" xfId="34061" xr:uid="{54A657C4-1F68-4946-B322-595463BFC6FE}"/>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23824" xr:uid="{ED5B399F-0B20-45D0-846B-9A288DD00EDB}"/>
    <cellStyle name="Normal 9 2 10 2 3" xfId="32270" xr:uid="{DC7B3910-788A-4199-B378-793977BFB883}"/>
    <cellStyle name="Normal 9 2 10 2 4" xfId="15383" xr:uid="{B2E970D9-C93C-4514-8D6B-678D5D4EE822}"/>
    <cellStyle name="Normal 9 2 10 3" xfId="19606" xr:uid="{E8E6CAE1-1C03-49D8-962D-250E5FF592CD}"/>
    <cellStyle name="Normal 9 2 10 4" xfId="28051" xr:uid="{0C86A44B-1C9F-492D-80E2-60370815973A}"/>
    <cellStyle name="Normal 9 2 10 5" xfId="11165" xr:uid="{B6855E1B-6318-42C5-B200-2BF326759678}"/>
    <cellStyle name="Normal 9 2 11" xfId="4876" xr:uid="{00000000-0005-0000-0000-00006B1E0000}"/>
    <cellStyle name="Normal 9 2 11 2" xfId="21759" xr:uid="{8590FB9E-095A-40A7-945B-C669D912823C}"/>
    <cellStyle name="Normal 9 2 11 3" xfId="30205" xr:uid="{98FD55F0-C76D-468F-A3AC-6A8983AACC0A}"/>
    <cellStyle name="Normal 9 2 11 4" xfId="13318" xr:uid="{93084BC3-623D-4EAC-93E4-D27D8681C5A7}"/>
    <cellStyle name="Normal 9 2 12" xfId="17541" xr:uid="{B86E1377-C074-47E3-BDCB-1155F3DDAE12}"/>
    <cellStyle name="Normal 9 2 13" xfId="25986" xr:uid="{252B037A-3445-46E2-8C6F-082EC69008CE}"/>
    <cellStyle name="Normal 9 2 14" xfId="9100" xr:uid="{2419868C-DE86-46EE-AF72-E91B267B8705}"/>
    <cellStyle name="Normal 9 2 2" xfId="512" xr:uid="{00000000-0005-0000-0000-00006C1E0000}"/>
    <cellStyle name="Normal 9 2 2 10" xfId="4877" xr:uid="{00000000-0005-0000-0000-00006D1E0000}"/>
    <cellStyle name="Normal 9 2 2 10 2" xfId="21760" xr:uid="{4F6C1C3C-0987-40D9-9F4E-5F6DDAC1DBA4}"/>
    <cellStyle name="Normal 9 2 2 10 3" xfId="30206" xr:uid="{62593475-3E6F-452E-B46E-B4907C07DFA4}"/>
    <cellStyle name="Normal 9 2 2 10 4" xfId="13319" xr:uid="{9B58C2C9-5258-47E8-A98C-5ACDB9BD60C1}"/>
    <cellStyle name="Normal 9 2 2 11" xfId="17542" xr:uid="{2512EEE9-CD8A-4366-AEDD-325C6D0D3FB7}"/>
    <cellStyle name="Normal 9 2 2 12" xfId="25987" xr:uid="{2DF18E6E-7A08-4B29-A5A6-66FDCB4F58BC}"/>
    <cellStyle name="Normal 9 2 2 13" xfId="9101" xr:uid="{77800480-1290-46C1-8BF1-9B9E89AC46A6}"/>
    <cellStyle name="Normal 9 2 2 2" xfId="513" xr:uid="{00000000-0005-0000-0000-00006E1E0000}"/>
    <cellStyle name="Normal 9 2 2 2 10" xfId="17543" xr:uid="{6FAE6EA4-7EC6-432C-952A-060F027AF83D}"/>
    <cellStyle name="Normal 9 2 2 2 11" xfId="25988" xr:uid="{F709CF6A-A238-41B0-8406-DC207C19C1E7}"/>
    <cellStyle name="Normal 9 2 2 2 12" xfId="9102" xr:uid="{81B43D0B-401B-4004-BD8B-4A71A00B51B3}"/>
    <cellStyle name="Normal 9 2 2 2 2" xfId="514" xr:uid="{00000000-0005-0000-0000-00006F1E0000}"/>
    <cellStyle name="Normal 9 2 2 2 2 10" xfId="25989" xr:uid="{F28D0509-0B50-4450-8D90-E29E7CE1AB42}"/>
    <cellStyle name="Normal 9 2 2 2 2 11" xfId="9103" xr:uid="{C62DCE80-43DB-4022-A872-4D8185500942}"/>
    <cellStyle name="Normal 9 2 2 2 2 2" xfId="515" xr:uid="{00000000-0005-0000-0000-0000701E0000}"/>
    <cellStyle name="Normal 9 2 2 2 2 2 10" xfId="9104" xr:uid="{62E6BEF7-F9B8-4555-9AF5-E4360F5A062B}"/>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24321" xr:uid="{3BC19ECD-6DDB-49B3-B659-8BEEC726C41B}"/>
    <cellStyle name="Normal 9 2 2 2 2 2 2 2 2 3" xfId="32767" xr:uid="{C309DC9F-41BB-4813-9B9C-57AEFD9CBB84}"/>
    <cellStyle name="Normal 9 2 2 2 2 2 2 2 2 4" xfId="15880" xr:uid="{3200BDA0-F047-409E-81F7-BC9A44902114}"/>
    <cellStyle name="Normal 9 2 2 2 2 2 2 2 3" xfId="20103" xr:uid="{170E5E42-CB5E-4B10-878B-ECED6BA90EF9}"/>
    <cellStyle name="Normal 9 2 2 2 2 2 2 2 4" xfId="28550" xr:uid="{1DA3970D-D235-4F69-9C19-AFE8B1CC79B7}"/>
    <cellStyle name="Normal 9 2 2 2 2 2 2 2 5" xfId="11662" xr:uid="{B561B1C2-4019-4DBB-886B-E2545125BE1B}"/>
    <cellStyle name="Normal 9 2 2 2 2 2 2 3" xfId="5293" xr:uid="{00000000-0005-0000-0000-0000741E0000}"/>
    <cellStyle name="Normal 9 2 2 2 2 2 2 3 2" xfId="22176" xr:uid="{478A1DDA-EDB2-4034-851B-91B5A2190BEF}"/>
    <cellStyle name="Normal 9 2 2 2 2 2 2 3 3" xfId="30622" xr:uid="{85003A25-81AE-4313-839D-1DC335F1DB65}"/>
    <cellStyle name="Normal 9 2 2 2 2 2 2 3 4" xfId="13735" xr:uid="{364CAB0D-2D24-4307-B495-2D6553336015}"/>
    <cellStyle name="Normal 9 2 2 2 2 2 2 4" xfId="17958" xr:uid="{1208558B-25E7-4FFF-BB6A-6147758F3542}"/>
    <cellStyle name="Normal 9 2 2 2 2 2 2 5" xfId="26403" xr:uid="{2FD2A386-EABF-4BE8-BD10-BDC3DA2F86CE}"/>
    <cellStyle name="Normal 9 2 2 2 2 2 2 6" xfId="9517" xr:uid="{5880A649-FE6A-4511-9280-6FC5BCEAE6B7}"/>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24734" xr:uid="{36159617-298A-403C-809F-AFDDED8B5C46}"/>
    <cellStyle name="Normal 9 2 2 2 2 2 3 2 2 3" xfId="33180" xr:uid="{BEBC5AD7-7414-4B84-8D5A-EA9E715DBC8D}"/>
    <cellStyle name="Normal 9 2 2 2 2 2 3 2 2 4" xfId="16293" xr:uid="{D857E74B-C6AA-41E9-B404-ECD978FFAF23}"/>
    <cellStyle name="Normal 9 2 2 2 2 2 3 2 3" xfId="20516" xr:uid="{91116B25-9A6D-4AE3-9145-CE4AF60A4164}"/>
    <cellStyle name="Normal 9 2 2 2 2 2 3 2 4" xfId="28963" xr:uid="{BCC2AA6C-AC52-4F90-817A-92EE671773CC}"/>
    <cellStyle name="Normal 9 2 2 2 2 2 3 2 5" xfId="12075" xr:uid="{9EA6296A-CB69-4DF8-8B65-481A70A3329C}"/>
    <cellStyle name="Normal 9 2 2 2 2 2 3 3" xfId="5706" xr:uid="{00000000-0005-0000-0000-0000781E0000}"/>
    <cellStyle name="Normal 9 2 2 2 2 2 3 3 2" xfId="22589" xr:uid="{D4A013F3-7C19-440D-B3ED-5037A1EBB717}"/>
    <cellStyle name="Normal 9 2 2 2 2 2 3 3 3" xfId="31035" xr:uid="{4CD29625-3A1A-4F9C-AEB2-9D1B9FE4F4CB}"/>
    <cellStyle name="Normal 9 2 2 2 2 2 3 3 4" xfId="14148" xr:uid="{450590BE-E36A-4DD6-B48A-29F1BF408481}"/>
    <cellStyle name="Normal 9 2 2 2 2 2 3 4" xfId="18371" xr:uid="{ED1F39B4-2B45-46D0-9870-A10D102F6012}"/>
    <cellStyle name="Normal 9 2 2 2 2 2 3 5" xfId="26816" xr:uid="{C71FEB0D-F34C-4767-98CB-939BE003C106}"/>
    <cellStyle name="Normal 9 2 2 2 2 2 3 6" xfId="9930" xr:uid="{5999B2F9-1205-45B8-A505-E1B7206207F9}"/>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25147" xr:uid="{F2C58D19-7E79-4CBD-BEB8-346037F3A731}"/>
    <cellStyle name="Normal 9 2 2 2 2 2 4 2 2 3" xfId="33593" xr:uid="{32D99870-E256-41B7-8692-C7FF95C6BBFC}"/>
    <cellStyle name="Normal 9 2 2 2 2 2 4 2 2 4" xfId="16706" xr:uid="{D3C20686-D99D-42E0-B839-9EA95DC5B81D}"/>
    <cellStyle name="Normal 9 2 2 2 2 2 4 2 3" xfId="20929" xr:uid="{004F373F-BABF-4AFC-B3F9-A6993F8D6D3D}"/>
    <cellStyle name="Normal 9 2 2 2 2 2 4 2 4" xfId="29376" xr:uid="{920F6AB0-6F20-4844-9701-7D3AD93DB132}"/>
    <cellStyle name="Normal 9 2 2 2 2 2 4 2 5" xfId="12488" xr:uid="{60758E2E-ABBE-4089-9417-D84C0D7CB5A8}"/>
    <cellStyle name="Normal 9 2 2 2 2 2 4 3" xfId="6119" xr:uid="{00000000-0005-0000-0000-00007C1E0000}"/>
    <cellStyle name="Normal 9 2 2 2 2 2 4 3 2" xfId="23002" xr:uid="{2E5C81EC-5A9D-412B-B6B2-3328DE2DBC10}"/>
    <cellStyle name="Normal 9 2 2 2 2 2 4 3 3" xfId="31448" xr:uid="{0428978E-7CE4-48A8-94C0-05635E724A59}"/>
    <cellStyle name="Normal 9 2 2 2 2 2 4 3 4" xfId="14561" xr:uid="{7503EC29-F2F0-4736-9AA9-9FE2C1E31F1F}"/>
    <cellStyle name="Normal 9 2 2 2 2 2 4 4" xfId="18784" xr:uid="{5DEC70A7-DCBD-4798-A988-7B7AEF2FFA6F}"/>
    <cellStyle name="Normal 9 2 2 2 2 2 4 5" xfId="27229" xr:uid="{17D247A1-6297-40CB-89CA-B0AF0D4D483D}"/>
    <cellStyle name="Normal 9 2 2 2 2 2 4 6" xfId="10343" xr:uid="{59BCB411-3FEF-4365-AFFA-97BEFC56A8EE}"/>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25560" xr:uid="{054576D4-535D-4981-A8C1-3432D2EF2B40}"/>
    <cellStyle name="Normal 9 2 2 2 2 2 5 2 2 3" xfId="34006" xr:uid="{DD249B0D-CA2C-4DC1-9B71-1F3F20D47199}"/>
    <cellStyle name="Normal 9 2 2 2 2 2 5 2 2 4" xfId="17119" xr:uid="{C91D4D6F-F168-4710-B8C4-56A6216364D9}"/>
    <cellStyle name="Normal 9 2 2 2 2 2 5 2 3" xfId="21342" xr:uid="{CAD34767-F13C-47E6-AAB4-AA06AFC27B9D}"/>
    <cellStyle name="Normal 9 2 2 2 2 2 5 2 4" xfId="29789" xr:uid="{7FCB930C-9986-40FD-8367-D38EE91233E1}"/>
    <cellStyle name="Normal 9 2 2 2 2 2 5 2 5" xfId="12901" xr:uid="{637A02D5-4FAE-43BC-B663-7D811B2BC7E5}"/>
    <cellStyle name="Normal 9 2 2 2 2 2 5 3" xfId="6532" xr:uid="{00000000-0005-0000-0000-0000801E0000}"/>
    <cellStyle name="Normal 9 2 2 2 2 2 5 3 2" xfId="23415" xr:uid="{6D186BFD-2AEC-43A7-B803-A1B2A60F905C}"/>
    <cellStyle name="Normal 9 2 2 2 2 2 5 3 3" xfId="31861" xr:uid="{C2AA1F71-7B64-4B89-872F-3F91C7688293}"/>
    <cellStyle name="Normal 9 2 2 2 2 2 5 3 4" xfId="14974" xr:uid="{C36DE782-B1ED-45B1-9CBD-9E66DA859F5E}"/>
    <cellStyle name="Normal 9 2 2 2 2 2 5 4" xfId="19197" xr:uid="{A4D11D03-5066-41B0-AB2A-F79DB0F09814}"/>
    <cellStyle name="Normal 9 2 2 2 2 2 5 5" xfId="27642" xr:uid="{E45A744D-32BF-41E3-BA03-427B402CACF4}"/>
    <cellStyle name="Normal 9 2 2 2 2 2 5 6" xfId="10756" xr:uid="{B9BADF59-0F94-4703-8AC3-667960043EC0}"/>
    <cellStyle name="Normal 9 2 2 2 2 2 6" xfId="2661" xr:uid="{00000000-0005-0000-0000-0000811E0000}"/>
    <cellStyle name="Normal 9 2 2 2 2 2 6 2" xfId="6945" xr:uid="{00000000-0005-0000-0000-0000821E0000}"/>
    <cellStyle name="Normal 9 2 2 2 2 2 6 2 2" xfId="23828" xr:uid="{F2D44A33-9CBF-4C7A-9A26-422B353C0AF1}"/>
    <cellStyle name="Normal 9 2 2 2 2 2 6 2 3" xfId="32274" xr:uid="{15ADD690-19D6-4B99-990D-8F648CC981D7}"/>
    <cellStyle name="Normal 9 2 2 2 2 2 6 2 4" xfId="15387" xr:uid="{739C277D-4876-4B93-8CDD-AB62532E71DC}"/>
    <cellStyle name="Normal 9 2 2 2 2 2 6 3" xfId="19610" xr:uid="{A2A407D9-02FB-4DEC-B7CF-9CC1E66F589B}"/>
    <cellStyle name="Normal 9 2 2 2 2 2 6 4" xfId="28055" xr:uid="{6323B330-30DC-4420-9F15-EE4D6F86367F}"/>
    <cellStyle name="Normal 9 2 2 2 2 2 6 5" xfId="11169" xr:uid="{0478FCA7-2579-4DB6-B93E-636793A89CE3}"/>
    <cellStyle name="Normal 9 2 2 2 2 2 7" xfId="4880" xr:uid="{00000000-0005-0000-0000-0000831E0000}"/>
    <cellStyle name="Normal 9 2 2 2 2 2 7 2" xfId="21763" xr:uid="{4EF88D54-59FE-45A2-B296-736BEBE78F17}"/>
    <cellStyle name="Normal 9 2 2 2 2 2 7 3" xfId="30209" xr:uid="{F38AF8F5-B126-40EB-973C-9C6060ED4EA8}"/>
    <cellStyle name="Normal 9 2 2 2 2 2 7 4" xfId="13322" xr:uid="{36F410F4-FE2E-4311-914C-15E7C080C2D4}"/>
    <cellStyle name="Normal 9 2 2 2 2 2 8" xfId="17545" xr:uid="{0AAD0E43-70F1-42D6-9ED0-BE7F51B68E38}"/>
    <cellStyle name="Normal 9 2 2 2 2 2 9" xfId="25990" xr:uid="{BDE1AA61-DF82-41AB-A892-6CF77AC28BAB}"/>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24320" xr:uid="{B0656AAB-4904-4BF7-911E-D665ED1F57FB}"/>
    <cellStyle name="Normal 9 2 2 2 2 3 2 2 3" xfId="32766" xr:uid="{7449A96F-380F-4920-ADB6-334CD1C48892}"/>
    <cellStyle name="Normal 9 2 2 2 2 3 2 2 4" xfId="15879" xr:uid="{BD909D9C-057F-45A8-A3D7-01C11CDC8D38}"/>
    <cellStyle name="Normal 9 2 2 2 2 3 2 3" xfId="20102" xr:uid="{F9E5A179-0FAA-4B20-872F-CE8333668A38}"/>
    <cellStyle name="Normal 9 2 2 2 2 3 2 4" xfId="28549" xr:uid="{EE2BD422-D753-45B8-8E4B-550C5AA257E4}"/>
    <cellStyle name="Normal 9 2 2 2 2 3 2 5" xfId="11661" xr:uid="{2A9D318D-9A2F-4CE3-8947-92E14C014470}"/>
    <cellStyle name="Normal 9 2 2 2 2 3 3" xfId="5292" xr:uid="{00000000-0005-0000-0000-0000871E0000}"/>
    <cellStyle name="Normal 9 2 2 2 2 3 3 2" xfId="22175" xr:uid="{C3813746-6315-4469-9068-20B703E14154}"/>
    <cellStyle name="Normal 9 2 2 2 2 3 3 3" xfId="30621" xr:uid="{D223D5C9-257F-4B09-9CEF-2264DEE8E189}"/>
    <cellStyle name="Normal 9 2 2 2 2 3 3 4" xfId="13734" xr:uid="{6BA4F2A3-AB9D-4370-BB63-D7807947E3F9}"/>
    <cellStyle name="Normal 9 2 2 2 2 3 4" xfId="17957" xr:uid="{64162E1C-E62F-4298-8296-20F492ABAAC2}"/>
    <cellStyle name="Normal 9 2 2 2 2 3 5" xfId="26402" xr:uid="{42BE1C82-F0E1-4D2A-944C-E1B653FF7772}"/>
    <cellStyle name="Normal 9 2 2 2 2 3 6" xfId="9516" xr:uid="{EFC3340F-067D-4209-8359-8D18B0D8A9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24733" xr:uid="{955F703A-AE33-4AF9-8DE8-5F08161E9E56}"/>
    <cellStyle name="Normal 9 2 2 2 2 4 2 2 3" xfId="33179" xr:uid="{43595F46-D1DA-4AE1-BDFF-93D805EE4DB8}"/>
    <cellStyle name="Normal 9 2 2 2 2 4 2 2 4" xfId="16292" xr:uid="{29733E87-D3AF-425C-B57E-5564519D6757}"/>
    <cellStyle name="Normal 9 2 2 2 2 4 2 3" xfId="20515" xr:uid="{0D85D370-53D6-488C-9C46-A5A8686F429C}"/>
    <cellStyle name="Normal 9 2 2 2 2 4 2 4" xfId="28962" xr:uid="{396407D6-4402-487B-B2FD-C7FB2B922197}"/>
    <cellStyle name="Normal 9 2 2 2 2 4 2 5" xfId="12074" xr:uid="{9A3E9777-58A2-4766-AF7C-A1A0AC8EBCEB}"/>
    <cellStyle name="Normal 9 2 2 2 2 4 3" xfId="5705" xr:uid="{00000000-0005-0000-0000-00008B1E0000}"/>
    <cellStyle name="Normal 9 2 2 2 2 4 3 2" xfId="22588" xr:uid="{00FCCFE9-9F8C-44F0-B6EF-E5188594F8DB}"/>
    <cellStyle name="Normal 9 2 2 2 2 4 3 3" xfId="31034" xr:uid="{3E1A4F91-6F35-47BC-9187-24C8D2644F03}"/>
    <cellStyle name="Normal 9 2 2 2 2 4 3 4" xfId="14147" xr:uid="{5E1120FB-E934-49B8-8D12-7B474EE937D5}"/>
    <cellStyle name="Normal 9 2 2 2 2 4 4" xfId="18370" xr:uid="{ACEFF97D-2819-49F7-8BB4-32FDDFFBBB16}"/>
    <cellStyle name="Normal 9 2 2 2 2 4 5" xfId="26815" xr:uid="{C5AEFA75-16DD-437B-8803-8FF55B62E21B}"/>
    <cellStyle name="Normal 9 2 2 2 2 4 6" xfId="9929" xr:uid="{5EBA0537-31FD-4856-A57A-4AD8B4F764E3}"/>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25146" xr:uid="{E654F1FE-2E12-4789-A452-AC21D8AE9B0A}"/>
    <cellStyle name="Normal 9 2 2 2 2 5 2 2 3" xfId="33592" xr:uid="{C44D0AA3-BFA5-4EDC-B6F6-715D917DCA23}"/>
    <cellStyle name="Normal 9 2 2 2 2 5 2 2 4" xfId="16705" xr:uid="{FAEA895A-6001-4E36-AFE0-A1FD4FF57A1E}"/>
    <cellStyle name="Normal 9 2 2 2 2 5 2 3" xfId="20928" xr:uid="{D6809FB4-FAE6-45EE-BBF6-3B522D03A6DA}"/>
    <cellStyle name="Normal 9 2 2 2 2 5 2 4" xfId="29375" xr:uid="{A18067D5-C0DC-46B6-8CF6-E1BEF8C7C987}"/>
    <cellStyle name="Normal 9 2 2 2 2 5 2 5" xfId="12487" xr:uid="{AC1CD72D-0972-41A4-8ED6-9B1D61C2D33C}"/>
    <cellStyle name="Normal 9 2 2 2 2 5 3" xfId="6118" xr:uid="{00000000-0005-0000-0000-00008F1E0000}"/>
    <cellStyle name="Normal 9 2 2 2 2 5 3 2" xfId="23001" xr:uid="{7E1F98BD-2084-4EEE-9815-6A4240A54E31}"/>
    <cellStyle name="Normal 9 2 2 2 2 5 3 3" xfId="31447" xr:uid="{0E34D92E-F3B6-44A9-A1C3-3DF6BB183749}"/>
    <cellStyle name="Normal 9 2 2 2 2 5 3 4" xfId="14560" xr:uid="{87D2C464-71A8-49F9-9030-352290CE49DA}"/>
    <cellStyle name="Normal 9 2 2 2 2 5 4" xfId="18783" xr:uid="{01683EE5-D7E9-4537-BC62-8EC2A4002A6B}"/>
    <cellStyle name="Normal 9 2 2 2 2 5 5" xfId="27228" xr:uid="{DBB8EACD-6AD8-4D66-B3F3-0AD7713B159E}"/>
    <cellStyle name="Normal 9 2 2 2 2 5 6" xfId="10342" xr:uid="{3B9B7A49-71F5-4DA6-8B80-4DABF8307F42}"/>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25559" xr:uid="{06C1FB64-3E7F-4C25-9311-ADA86510B92A}"/>
    <cellStyle name="Normal 9 2 2 2 2 6 2 2 3" xfId="34005" xr:uid="{8B92417D-5873-4B23-8E79-77CD5775B78C}"/>
    <cellStyle name="Normal 9 2 2 2 2 6 2 2 4" xfId="17118" xr:uid="{409061EE-F6E5-4BE3-BBED-6E065DF92266}"/>
    <cellStyle name="Normal 9 2 2 2 2 6 2 3" xfId="21341" xr:uid="{DAC3F4CD-837D-43E0-8D20-109A49920B4F}"/>
    <cellStyle name="Normal 9 2 2 2 2 6 2 4" xfId="29788" xr:uid="{5C69D211-73B3-4F2A-9A76-17BFFAFC14D7}"/>
    <cellStyle name="Normal 9 2 2 2 2 6 2 5" xfId="12900" xr:uid="{D6290D40-1FD0-481A-B359-ED6BBF555612}"/>
    <cellStyle name="Normal 9 2 2 2 2 6 3" xfId="6531" xr:uid="{00000000-0005-0000-0000-0000931E0000}"/>
    <cellStyle name="Normal 9 2 2 2 2 6 3 2" xfId="23414" xr:uid="{9BA2F372-EC57-48D0-AC84-C6CA3040E55E}"/>
    <cellStyle name="Normal 9 2 2 2 2 6 3 3" xfId="31860" xr:uid="{A38A3B48-2F93-42CB-A9D7-22A8C04C0DDE}"/>
    <cellStyle name="Normal 9 2 2 2 2 6 3 4" xfId="14973" xr:uid="{8B766145-F78F-4ADE-9BD1-8C85CC59B781}"/>
    <cellStyle name="Normal 9 2 2 2 2 6 4" xfId="19196" xr:uid="{DEDF42F0-A5C0-40A2-925B-A6549C6DAD0B}"/>
    <cellStyle name="Normal 9 2 2 2 2 6 5" xfId="27641" xr:uid="{95479256-3066-4998-8570-433F8F44076A}"/>
    <cellStyle name="Normal 9 2 2 2 2 6 6" xfId="10755" xr:uid="{6F907F3F-DB97-49F2-BC4A-8588A70CCF44}"/>
    <cellStyle name="Normal 9 2 2 2 2 7" xfId="2660" xr:uid="{00000000-0005-0000-0000-0000941E0000}"/>
    <cellStyle name="Normal 9 2 2 2 2 7 2" xfId="6944" xr:uid="{00000000-0005-0000-0000-0000951E0000}"/>
    <cellStyle name="Normal 9 2 2 2 2 7 2 2" xfId="23827" xr:uid="{763CE85A-C731-4A9E-8CAE-8B27D72FFF2F}"/>
    <cellStyle name="Normal 9 2 2 2 2 7 2 3" xfId="32273" xr:uid="{0F9D1FB5-736E-414F-B736-9879F8BF0C44}"/>
    <cellStyle name="Normal 9 2 2 2 2 7 2 4" xfId="15386" xr:uid="{9DB6E5C3-0174-494E-BC28-23868328731A}"/>
    <cellStyle name="Normal 9 2 2 2 2 7 3" xfId="19609" xr:uid="{299A2A04-5E45-40A6-AD84-6DDC4B5EBE97}"/>
    <cellStyle name="Normal 9 2 2 2 2 7 4" xfId="28054" xr:uid="{432679E7-D80F-4325-AD5C-C6F5795A59B7}"/>
    <cellStyle name="Normal 9 2 2 2 2 7 5" xfId="11168" xr:uid="{241A9425-B08E-4A8F-AA9D-FEC1ED3DE7A5}"/>
    <cellStyle name="Normal 9 2 2 2 2 8" xfId="4879" xr:uid="{00000000-0005-0000-0000-0000961E0000}"/>
    <cellStyle name="Normal 9 2 2 2 2 8 2" xfId="21762" xr:uid="{19D49ADE-B3F7-4E0E-B404-21B2B44B80C6}"/>
    <cellStyle name="Normal 9 2 2 2 2 8 3" xfId="30208" xr:uid="{294C110D-6AF7-44F2-81AA-6139C13EAAF3}"/>
    <cellStyle name="Normal 9 2 2 2 2 8 4" xfId="13321" xr:uid="{4083097F-476F-468A-90F1-10A4D57BF18B}"/>
    <cellStyle name="Normal 9 2 2 2 2 9" xfId="17544" xr:uid="{7FFF2976-8D64-40DB-8586-6CC14DCA7FB2}"/>
    <cellStyle name="Normal 9 2 2 2 3" xfId="516" xr:uid="{00000000-0005-0000-0000-0000971E0000}"/>
    <cellStyle name="Normal 9 2 2 2 3 10" xfId="9105" xr:uid="{FF8D4B3D-7B75-4AB6-A664-6C38B49C6571}"/>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24322" xr:uid="{E7AFB328-B5CE-492E-8D40-EC8537DCCC41}"/>
    <cellStyle name="Normal 9 2 2 2 3 2 2 2 3" xfId="32768" xr:uid="{B6CD2A5A-FDC3-483B-8DCB-78245525068C}"/>
    <cellStyle name="Normal 9 2 2 2 3 2 2 2 4" xfId="15881" xr:uid="{E0CA622A-B486-4617-8F04-A5C920EC9992}"/>
    <cellStyle name="Normal 9 2 2 2 3 2 2 3" xfId="20104" xr:uid="{FC06B441-4DB9-4B30-B0E4-31F50D21C4E2}"/>
    <cellStyle name="Normal 9 2 2 2 3 2 2 4" xfId="28551" xr:uid="{A947FC98-BEDF-4261-A362-F8CEA2325D8F}"/>
    <cellStyle name="Normal 9 2 2 2 3 2 2 5" xfId="11663" xr:uid="{589CE7FB-B354-49F5-9F8C-04905CDD953F}"/>
    <cellStyle name="Normal 9 2 2 2 3 2 3" xfId="5294" xr:uid="{00000000-0005-0000-0000-00009B1E0000}"/>
    <cellStyle name="Normal 9 2 2 2 3 2 3 2" xfId="22177" xr:uid="{B9686FF8-7956-41E2-A7D0-DD384708C95F}"/>
    <cellStyle name="Normal 9 2 2 2 3 2 3 3" xfId="30623" xr:uid="{EBC24EE6-B107-4868-AF19-230F80A57BAF}"/>
    <cellStyle name="Normal 9 2 2 2 3 2 3 4" xfId="13736" xr:uid="{5043A9F0-3E58-4E28-8925-ACB1A3E88AC2}"/>
    <cellStyle name="Normal 9 2 2 2 3 2 4" xfId="17959" xr:uid="{B53F395A-5197-4B38-AA68-5B36DDCE6BE6}"/>
    <cellStyle name="Normal 9 2 2 2 3 2 5" xfId="26404" xr:uid="{8D6216A2-9CDB-4ED3-AEE3-8F0199526A9F}"/>
    <cellStyle name="Normal 9 2 2 2 3 2 6" xfId="9518" xr:uid="{D49FD646-0BF8-4118-A737-CD9B2B6D05B1}"/>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24735" xr:uid="{76C4FBBC-570D-4A7A-B8C9-9399F18FFA99}"/>
    <cellStyle name="Normal 9 2 2 2 3 3 2 2 3" xfId="33181" xr:uid="{84CF1553-5081-4B7B-8F83-85939B633374}"/>
    <cellStyle name="Normal 9 2 2 2 3 3 2 2 4" xfId="16294" xr:uid="{C3E5023A-0BB8-4961-93E3-6FA5FD40CEF3}"/>
    <cellStyle name="Normal 9 2 2 2 3 3 2 3" xfId="20517" xr:uid="{3008E52F-05CC-4FCD-A815-9577A25DAB11}"/>
    <cellStyle name="Normal 9 2 2 2 3 3 2 4" xfId="28964" xr:uid="{1251AF95-980C-41E2-8D46-244E2A3F57A6}"/>
    <cellStyle name="Normal 9 2 2 2 3 3 2 5" xfId="12076" xr:uid="{1B0F3848-7E13-4EB3-9A2E-BF222F217BEE}"/>
    <cellStyle name="Normal 9 2 2 2 3 3 3" xfId="5707" xr:uid="{00000000-0005-0000-0000-00009F1E0000}"/>
    <cellStyle name="Normal 9 2 2 2 3 3 3 2" xfId="22590" xr:uid="{E6D79A96-B3AA-447A-A9FE-585E26B1A0D9}"/>
    <cellStyle name="Normal 9 2 2 2 3 3 3 3" xfId="31036" xr:uid="{F6AE3465-A216-4018-A180-1DB42804AD1B}"/>
    <cellStyle name="Normal 9 2 2 2 3 3 3 4" xfId="14149" xr:uid="{65B48384-8887-4BBC-9118-A32483AD0701}"/>
    <cellStyle name="Normal 9 2 2 2 3 3 4" xfId="18372" xr:uid="{B04C2094-E414-432F-9939-5F6AE5D34D55}"/>
    <cellStyle name="Normal 9 2 2 2 3 3 5" xfId="26817" xr:uid="{9F3F42FA-61AE-4AC6-BA72-C694ED7EFAE5}"/>
    <cellStyle name="Normal 9 2 2 2 3 3 6" xfId="9931" xr:uid="{06181F9E-BAA6-4BFC-B592-B8CE22E689B9}"/>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25148" xr:uid="{80584039-43A9-4A99-9F64-91424E7A0C9B}"/>
    <cellStyle name="Normal 9 2 2 2 3 4 2 2 3" xfId="33594" xr:uid="{E75E617F-09FB-4A7F-96C3-16AB511E673D}"/>
    <cellStyle name="Normal 9 2 2 2 3 4 2 2 4" xfId="16707" xr:uid="{8E38CD03-53F0-48E0-89A0-BB3458F7D371}"/>
    <cellStyle name="Normal 9 2 2 2 3 4 2 3" xfId="20930" xr:uid="{23ABFDC1-C84C-4F7B-8CBF-0B4AF2BABC57}"/>
    <cellStyle name="Normal 9 2 2 2 3 4 2 4" xfId="29377" xr:uid="{BDF14CAC-F396-4071-9026-2F02A2AAD72B}"/>
    <cellStyle name="Normal 9 2 2 2 3 4 2 5" xfId="12489" xr:uid="{97356A17-3FDC-4A47-BD61-5F4CE201A043}"/>
    <cellStyle name="Normal 9 2 2 2 3 4 3" xfId="6120" xr:uid="{00000000-0005-0000-0000-0000A31E0000}"/>
    <cellStyle name="Normal 9 2 2 2 3 4 3 2" xfId="23003" xr:uid="{27E80F82-B235-4F09-BD1F-0EE652FC1FE8}"/>
    <cellStyle name="Normal 9 2 2 2 3 4 3 3" xfId="31449" xr:uid="{84218F05-4B55-4F8B-9E35-86EE79A856D8}"/>
    <cellStyle name="Normal 9 2 2 2 3 4 3 4" xfId="14562" xr:uid="{FBA9688F-678D-48A1-AB10-904A7755098C}"/>
    <cellStyle name="Normal 9 2 2 2 3 4 4" xfId="18785" xr:uid="{7E932B5E-B603-45A8-AB9B-FAD11B537A4D}"/>
    <cellStyle name="Normal 9 2 2 2 3 4 5" xfId="27230" xr:uid="{62700748-B057-4DD9-A458-12DB0C3ECC41}"/>
    <cellStyle name="Normal 9 2 2 2 3 4 6" xfId="10344" xr:uid="{5FABA607-3FAF-4036-AB3F-0FBB19F3252E}"/>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25561" xr:uid="{F8A39146-A636-414E-81DF-3484E5BCC0CB}"/>
    <cellStyle name="Normal 9 2 2 2 3 5 2 2 3" xfId="34007" xr:uid="{BDBD69AF-A532-4649-89A0-4614017FD89B}"/>
    <cellStyle name="Normal 9 2 2 2 3 5 2 2 4" xfId="17120" xr:uid="{074AADB6-CCE2-4F92-BDE5-375B92C4FC1B}"/>
    <cellStyle name="Normal 9 2 2 2 3 5 2 3" xfId="21343" xr:uid="{81C466DD-A5B8-41A0-8A7E-4979B780677B}"/>
    <cellStyle name="Normal 9 2 2 2 3 5 2 4" xfId="29790" xr:uid="{38CD7993-8C84-4310-B65D-23F9FF194ADB}"/>
    <cellStyle name="Normal 9 2 2 2 3 5 2 5" xfId="12902" xr:uid="{C4AA7A0E-2CDA-49B1-9488-7C2CAD563700}"/>
    <cellStyle name="Normal 9 2 2 2 3 5 3" xfId="6533" xr:uid="{00000000-0005-0000-0000-0000A71E0000}"/>
    <cellStyle name="Normal 9 2 2 2 3 5 3 2" xfId="23416" xr:uid="{31E909E1-8D5B-43B1-8829-27CB4E360C73}"/>
    <cellStyle name="Normal 9 2 2 2 3 5 3 3" xfId="31862" xr:uid="{375C8E12-1E64-4696-83AA-AF46BA7D1430}"/>
    <cellStyle name="Normal 9 2 2 2 3 5 3 4" xfId="14975" xr:uid="{00316362-CA4E-4D84-81B3-B31F214E0BFC}"/>
    <cellStyle name="Normal 9 2 2 2 3 5 4" xfId="19198" xr:uid="{0DAC4BC8-CD58-4A25-BAAD-E006C86BFD0F}"/>
    <cellStyle name="Normal 9 2 2 2 3 5 5" xfId="27643" xr:uid="{1B75DF61-04F6-4FCB-9CA3-F4A6AAEDB207}"/>
    <cellStyle name="Normal 9 2 2 2 3 5 6" xfId="10757" xr:uid="{352189A4-1474-41FC-83AB-244A1D873993}"/>
    <cellStyle name="Normal 9 2 2 2 3 6" xfId="2662" xr:uid="{00000000-0005-0000-0000-0000A81E0000}"/>
    <cellStyle name="Normal 9 2 2 2 3 6 2" xfId="6946" xr:uid="{00000000-0005-0000-0000-0000A91E0000}"/>
    <cellStyle name="Normal 9 2 2 2 3 6 2 2" xfId="23829" xr:uid="{E2176980-1FFE-4898-AB83-A9DAF8F26B0F}"/>
    <cellStyle name="Normal 9 2 2 2 3 6 2 3" xfId="32275" xr:uid="{AA0F15D8-099B-4D1E-A837-D6EEFB2174CC}"/>
    <cellStyle name="Normal 9 2 2 2 3 6 2 4" xfId="15388" xr:uid="{D6C82F5D-D281-47F4-A7C2-0E6F86452B23}"/>
    <cellStyle name="Normal 9 2 2 2 3 6 3" xfId="19611" xr:uid="{DAC93347-153F-485F-BD76-3DC240F61C37}"/>
    <cellStyle name="Normal 9 2 2 2 3 6 4" xfId="28056" xr:uid="{76373434-A710-4400-BE87-FA38403E3E22}"/>
    <cellStyle name="Normal 9 2 2 2 3 6 5" xfId="11170" xr:uid="{26AB95AB-053A-407E-9520-A88403C917F9}"/>
    <cellStyle name="Normal 9 2 2 2 3 7" xfId="4881" xr:uid="{00000000-0005-0000-0000-0000AA1E0000}"/>
    <cellStyle name="Normal 9 2 2 2 3 7 2" xfId="21764" xr:uid="{C0692C1A-C646-4624-8464-926D69DF4393}"/>
    <cellStyle name="Normal 9 2 2 2 3 7 3" xfId="30210" xr:uid="{CD5FF717-EE9B-4920-B470-630EB70F8E17}"/>
    <cellStyle name="Normal 9 2 2 2 3 7 4" xfId="13323" xr:uid="{190715B2-9A9B-47F7-9B06-04FB6D4CD696}"/>
    <cellStyle name="Normal 9 2 2 2 3 8" xfId="17546" xr:uid="{3D3F268A-74FD-4C3E-8840-5C3D481F8ECE}"/>
    <cellStyle name="Normal 9 2 2 2 3 9" xfId="25991" xr:uid="{B25B776A-C739-4FC1-A824-9C4ABC0B9543}"/>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24319" xr:uid="{4239FA16-B8F1-428E-8194-643885003412}"/>
    <cellStyle name="Normal 9 2 2 2 4 2 2 3" xfId="32765" xr:uid="{3AD1F059-194B-4F8C-A98A-44B9B46D5322}"/>
    <cellStyle name="Normal 9 2 2 2 4 2 2 4" xfId="15878" xr:uid="{9EC40F0E-513D-4E8C-A50F-8F87856FB377}"/>
    <cellStyle name="Normal 9 2 2 2 4 2 3" xfId="20101" xr:uid="{3AFAB151-6600-4FE7-817E-B109C6D4B060}"/>
    <cellStyle name="Normal 9 2 2 2 4 2 4" xfId="28548" xr:uid="{792D8FC1-91D9-43A7-BBE2-88BB028890D9}"/>
    <cellStyle name="Normal 9 2 2 2 4 2 5" xfId="11660" xr:uid="{130E592F-47DF-40F0-BB5E-2592404B164D}"/>
    <cellStyle name="Normal 9 2 2 2 4 3" xfId="5291" xr:uid="{00000000-0005-0000-0000-0000AE1E0000}"/>
    <cellStyle name="Normal 9 2 2 2 4 3 2" xfId="22174" xr:uid="{F7C7F513-7538-4464-BD11-AF4AFF6F9182}"/>
    <cellStyle name="Normal 9 2 2 2 4 3 3" xfId="30620" xr:uid="{11552587-1F0A-4441-A10E-7538F73E0B6D}"/>
    <cellStyle name="Normal 9 2 2 2 4 3 4" xfId="13733" xr:uid="{DD77DFC0-34B2-460F-A53C-477D09740F8E}"/>
    <cellStyle name="Normal 9 2 2 2 4 4" xfId="17956" xr:uid="{8A08B15A-83C4-49C2-A8FB-12A1891204B7}"/>
    <cellStyle name="Normal 9 2 2 2 4 5" xfId="26401" xr:uid="{6FB0BA99-963E-4A58-A0E3-CB7F7C9D3447}"/>
    <cellStyle name="Normal 9 2 2 2 4 6" xfId="9515" xr:uid="{EB6A0940-C273-4E78-A9B3-18E3017D9C90}"/>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24732" xr:uid="{E4F970C8-7C7E-43AA-8B94-6A9B49ACA2F7}"/>
    <cellStyle name="Normal 9 2 2 2 5 2 2 3" xfId="33178" xr:uid="{54384695-6C1D-4134-8E79-ABC78BBAA523}"/>
    <cellStyle name="Normal 9 2 2 2 5 2 2 4" xfId="16291" xr:uid="{82F0C6C7-7520-4724-BC4C-018DCF6D9714}"/>
    <cellStyle name="Normal 9 2 2 2 5 2 3" xfId="20514" xr:uid="{CA5125DD-C477-4F35-979C-B483F6B8469F}"/>
    <cellStyle name="Normal 9 2 2 2 5 2 4" xfId="28961" xr:uid="{243251DF-1A52-437A-8FD0-284AD3176BFD}"/>
    <cellStyle name="Normal 9 2 2 2 5 2 5" xfId="12073" xr:uid="{87275113-8F4A-4B27-B83A-EF6C66A837CB}"/>
    <cellStyle name="Normal 9 2 2 2 5 3" xfId="5704" xr:uid="{00000000-0005-0000-0000-0000B21E0000}"/>
    <cellStyle name="Normal 9 2 2 2 5 3 2" xfId="22587" xr:uid="{D7DAEC79-03A6-4336-BC43-0C50E99E0F92}"/>
    <cellStyle name="Normal 9 2 2 2 5 3 3" xfId="31033" xr:uid="{3EC9E557-39E5-4A38-9944-37587660C18B}"/>
    <cellStyle name="Normal 9 2 2 2 5 3 4" xfId="14146" xr:uid="{91EB6736-EFD5-4F00-9A0B-3BE706B42ABE}"/>
    <cellStyle name="Normal 9 2 2 2 5 4" xfId="18369" xr:uid="{DC479141-DA05-41AB-8DA3-0795132B1F5E}"/>
    <cellStyle name="Normal 9 2 2 2 5 5" xfId="26814" xr:uid="{FB1C1EC3-60F6-48EA-9C77-BAE9DCA60BBB}"/>
    <cellStyle name="Normal 9 2 2 2 5 6" xfId="9928" xr:uid="{C0CA4B62-70C6-410C-BF77-466301300045}"/>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25145" xr:uid="{FC2EAE29-7F9E-447F-849C-88EB35893AB8}"/>
    <cellStyle name="Normal 9 2 2 2 6 2 2 3" xfId="33591" xr:uid="{0DC41F26-88B6-4AE1-9AF4-8841A55E0B37}"/>
    <cellStyle name="Normal 9 2 2 2 6 2 2 4" xfId="16704" xr:uid="{650C28FD-D36B-40D4-88A5-14A051A2CA4A}"/>
    <cellStyle name="Normal 9 2 2 2 6 2 3" xfId="20927" xr:uid="{FD606E49-0931-477C-8162-5AFAB86975E2}"/>
    <cellStyle name="Normal 9 2 2 2 6 2 4" xfId="29374" xr:uid="{735A11CF-9C10-480E-A434-B7BB84528D9E}"/>
    <cellStyle name="Normal 9 2 2 2 6 2 5" xfId="12486" xr:uid="{69C9A3C1-BEC8-4661-B685-9D73E3421632}"/>
    <cellStyle name="Normal 9 2 2 2 6 3" xfId="6117" xr:uid="{00000000-0005-0000-0000-0000B61E0000}"/>
    <cellStyle name="Normal 9 2 2 2 6 3 2" xfId="23000" xr:uid="{FF381E1F-7ED7-4F20-83CE-7DA9AB6A0163}"/>
    <cellStyle name="Normal 9 2 2 2 6 3 3" xfId="31446" xr:uid="{AF4E72A2-0A6A-4D8F-A896-F52868090175}"/>
    <cellStyle name="Normal 9 2 2 2 6 3 4" xfId="14559" xr:uid="{14E00B81-E77E-49D7-B519-CFC840DDCD9F}"/>
    <cellStyle name="Normal 9 2 2 2 6 4" xfId="18782" xr:uid="{7B7E45F7-265F-4790-9988-80B0BBA31732}"/>
    <cellStyle name="Normal 9 2 2 2 6 5" xfId="27227" xr:uid="{22308132-5D60-4896-B6BC-F96FC1E2741A}"/>
    <cellStyle name="Normal 9 2 2 2 6 6" xfId="10341" xr:uid="{FD4C35BC-F2AE-4751-902D-DDC9803F6277}"/>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25558" xr:uid="{9DDCF5E4-82B2-4015-A92C-D12F09031E47}"/>
    <cellStyle name="Normal 9 2 2 2 7 2 2 3" xfId="34004" xr:uid="{B4B79231-B8DC-499E-8FF7-76AB4ADCDF95}"/>
    <cellStyle name="Normal 9 2 2 2 7 2 2 4" xfId="17117" xr:uid="{91B8A9E8-BE7A-43D4-BADC-40F33625BE9D}"/>
    <cellStyle name="Normal 9 2 2 2 7 2 3" xfId="21340" xr:uid="{99B173F8-ABCF-4BDB-95B4-1399D27806F8}"/>
    <cellStyle name="Normal 9 2 2 2 7 2 4" xfId="29787" xr:uid="{F4D7E2D1-942F-47F0-B9D0-5CF90CA21D6F}"/>
    <cellStyle name="Normal 9 2 2 2 7 2 5" xfId="12899" xr:uid="{D5AC6E0E-2AC0-4F7B-B447-FECF83DC458F}"/>
    <cellStyle name="Normal 9 2 2 2 7 3" xfId="6530" xr:uid="{00000000-0005-0000-0000-0000BA1E0000}"/>
    <cellStyle name="Normal 9 2 2 2 7 3 2" xfId="23413" xr:uid="{6981BE42-9E64-463C-958E-12D69159AA1A}"/>
    <cellStyle name="Normal 9 2 2 2 7 3 3" xfId="31859" xr:uid="{C5E2A249-FC64-4018-87BF-E1B15BE29CBD}"/>
    <cellStyle name="Normal 9 2 2 2 7 3 4" xfId="14972" xr:uid="{3FAD73AE-83FA-4F9F-93F1-FE3E083717DB}"/>
    <cellStyle name="Normal 9 2 2 2 7 4" xfId="19195" xr:uid="{FC0A18C2-84BE-42A8-8234-A902E53926ED}"/>
    <cellStyle name="Normal 9 2 2 2 7 5" xfId="27640" xr:uid="{07E979FC-3672-4B3B-BC2A-94302388AA00}"/>
    <cellStyle name="Normal 9 2 2 2 7 6" xfId="10754" xr:uid="{4E73BDEB-3014-4CC6-AA6B-ECDA2405A713}"/>
    <cellStyle name="Normal 9 2 2 2 8" xfId="2659" xr:uid="{00000000-0005-0000-0000-0000BB1E0000}"/>
    <cellStyle name="Normal 9 2 2 2 8 2" xfId="6943" xr:uid="{00000000-0005-0000-0000-0000BC1E0000}"/>
    <cellStyle name="Normal 9 2 2 2 8 2 2" xfId="23826" xr:uid="{C6D0B3B2-5A78-4A9F-B560-105475D97826}"/>
    <cellStyle name="Normal 9 2 2 2 8 2 3" xfId="32272" xr:uid="{9317F991-BA13-44F9-A21A-7AFA504F9410}"/>
    <cellStyle name="Normal 9 2 2 2 8 2 4" xfId="15385" xr:uid="{E9F3CF68-D778-4F86-A7D3-1C259E7BE511}"/>
    <cellStyle name="Normal 9 2 2 2 8 3" xfId="19608" xr:uid="{96FB6275-961F-4B30-8E6E-56E8F1A345B8}"/>
    <cellStyle name="Normal 9 2 2 2 8 4" xfId="28053" xr:uid="{D1AD8E93-9990-4685-930A-19900F53D477}"/>
    <cellStyle name="Normal 9 2 2 2 8 5" xfId="11167" xr:uid="{1FBEA4AB-8AAA-45AC-8C25-8923F7BB0C9E}"/>
    <cellStyle name="Normal 9 2 2 2 9" xfId="4878" xr:uid="{00000000-0005-0000-0000-0000BD1E0000}"/>
    <cellStyle name="Normal 9 2 2 2 9 2" xfId="21761" xr:uid="{C8581F81-6C50-489A-A1AA-514F1B32CA77}"/>
    <cellStyle name="Normal 9 2 2 2 9 3" xfId="30207" xr:uid="{1FE757EB-D0C0-4827-97C1-0030F485DC4F}"/>
    <cellStyle name="Normal 9 2 2 2 9 4" xfId="13320" xr:uid="{C42ECCCD-623B-4156-8C32-76C0560B54F6}"/>
    <cellStyle name="Normal 9 2 2 3" xfId="517" xr:uid="{00000000-0005-0000-0000-0000BE1E0000}"/>
    <cellStyle name="Normal 9 2 2 3 10" xfId="25992" xr:uid="{AE966FC7-BF0E-455D-AD1F-4254831DD1D4}"/>
    <cellStyle name="Normal 9 2 2 3 11" xfId="9106" xr:uid="{CBB7FBA6-6190-4730-B4DE-0E21F8A03161}"/>
    <cellStyle name="Normal 9 2 2 3 2" xfId="518" xr:uid="{00000000-0005-0000-0000-0000BF1E0000}"/>
    <cellStyle name="Normal 9 2 2 3 2 10" xfId="9107" xr:uid="{7C2D437A-EAD9-4A75-B847-FAE2BD62A561}"/>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24324" xr:uid="{7ACF30A3-08EC-4218-9944-DBABD322D8D3}"/>
    <cellStyle name="Normal 9 2 2 3 2 2 2 2 3" xfId="32770" xr:uid="{4C878FAD-F0C4-40F5-B56F-7F70626D04C7}"/>
    <cellStyle name="Normal 9 2 2 3 2 2 2 2 4" xfId="15883" xr:uid="{0A970644-22DB-4486-813E-5B7154B2AD02}"/>
    <cellStyle name="Normal 9 2 2 3 2 2 2 3" xfId="20106" xr:uid="{62B2C374-7DCE-4B02-9A7F-2210BEB721DB}"/>
    <cellStyle name="Normal 9 2 2 3 2 2 2 4" xfId="28553" xr:uid="{C01C8D87-7D3B-4B71-8DF0-634BA2926152}"/>
    <cellStyle name="Normal 9 2 2 3 2 2 2 5" xfId="11665" xr:uid="{C4A350B2-A9F7-427D-BFDE-DB1A09E66855}"/>
    <cellStyle name="Normal 9 2 2 3 2 2 3" xfId="5296" xr:uid="{00000000-0005-0000-0000-0000C31E0000}"/>
    <cellStyle name="Normal 9 2 2 3 2 2 3 2" xfId="22179" xr:uid="{6D895339-67C5-4F97-869F-C089E4CFE61C}"/>
    <cellStyle name="Normal 9 2 2 3 2 2 3 3" xfId="30625" xr:uid="{9FD5B7BA-7BA5-45B0-94AF-C7AB898383D6}"/>
    <cellStyle name="Normal 9 2 2 3 2 2 3 4" xfId="13738" xr:uid="{FD0E411C-9CCE-4EC7-B406-7DA250BA3971}"/>
    <cellStyle name="Normal 9 2 2 3 2 2 4" xfId="17961" xr:uid="{D68C47BF-5754-4A38-B475-2D66252E8D77}"/>
    <cellStyle name="Normal 9 2 2 3 2 2 5" xfId="26406" xr:uid="{506EB5BD-5BF6-4554-B57A-0EBB2BD815CF}"/>
    <cellStyle name="Normal 9 2 2 3 2 2 6" xfId="9520" xr:uid="{E5B8698C-FAC9-4E72-B246-5F9055659CE9}"/>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24737" xr:uid="{47ABE70B-AD88-418B-A4C8-A1BC3CD512A7}"/>
    <cellStyle name="Normal 9 2 2 3 2 3 2 2 3" xfId="33183" xr:uid="{48D1ABDD-9C2A-4162-AE4B-A05CBAF954CA}"/>
    <cellStyle name="Normal 9 2 2 3 2 3 2 2 4" xfId="16296" xr:uid="{70C4D063-DFDA-47CC-8D1D-DFAC8C961D77}"/>
    <cellStyle name="Normal 9 2 2 3 2 3 2 3" xfId="20519" xr:uid="{174BCCEA-446D-412D-A126-6829E52B847E}"/>
    <cellStyle name="Normal 9 2 2 3 2 3 2 4" xfId="28966" xr:uid="{6FE4C938-2C3B-4F3C-8DB3-5258E2999DA9}"/>
    <cellStyle name="Normal 9 2 2 3 2 3 2 5" xfId="12078" xr:uid="{84DEF805-E763-4CC5-8C35-143317BE6F35}"/>
    <cellStyle name="Normal 9 2 2 3 2 3 3" xfId="5709" xr:uid="{00000000-0005-0000-0000-0000C71E0000}"/>
    <cellStyle name="Normal 9 2 2 3 2 3 3 2" xfId="22592" xr:uid="{2410846F-5050-486D-8A60-D3A5D5F794B0}"/>
    <cellStyle name="Normal 9 2 2 3 2 3 3 3" xfId="31038" xr:uid="{32AD91FE-277B-4B48-945E-46B3133E9C24}"/>
    <cellStyle name="Normal 9 2 2 3 2 3 3 4" xfId="14151" xr:uid="{32A03E90-9F78-4613-91CC-5B0AE8355D3D}"/>
    <cellStyle name="Normal 9 2 2 3 2 3 4" xfId="18374" xr:uid="{E0ABBDA9-7074-4E66-B783-F0884213581F}"/>
    <cellStyle name="Normal 9 2 2 3 2 3 5" xfId="26819" xr:uid="{B67A34DD-2D0B-4916-8DFD-4E7D4DC338A0}"/>
    <cellStyle name="Normal 9 2 2 3 2 3 6" xfId="9933" xr:uid="{8C717620-FA8D-4BF0-9371-655F8362DA16}"/>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25150" xr:uid="{49EC4E16-161F-4BB3-B2BF-6B65571E6F76}"/>
    <cellStyle name="Normal 9 2 2 3 2 4 2 2 3" xfId="33596" xr:uid="{BAACE04F-55CC-40AA-A803-B5AB389C9097}"/>
    <cellStyle name="Normal 9 2 2 3 2 4 2 2 4" xfId="16709" xr:uid="{285827EC-342E-4088-9B37-66B2509431D2}"/>
    <cellStyle name="Normal 9 2 2 3 2 4 2 3" xfId="20932" xr:uid="{92BA93A8-55E5-4857-A29E-971AFA85610F}"/>
    <cellStyle name="Normal 9 2 2 3 2 4 2 4" xfId="29379" xr:uid="{2ADA612E-6335-4662-9904-5646B1D46433}"/>
    <cellStyle name="Normal 9 2 2 3 2 4 2 5" xfId="12491" xr:uid="{C14E979E-1B61-4BA3-8B98-DC05F5930C57}"/>
    <cellStyle name="Normal 9 2 2 3 2 4 3" xfId="6122" xr:uid="{00000000-0005-0000-0000-0000CB1E0000}"/>
    <cellStyle name="Normal 9 2 2 3 2 4 3 2" xfId="23005" xr:uid="{47ECFFC9-E280-4F40-BB0D-C11BC6694C93}"/>
    <cellStyle name="Normal 9 2 2 3 2 4 3 3" xfId="31451" xr:uid="{E0C8BB91-239F-4F98-BBDC-125AC6C1D94B}"/>
    <cellStyle name="Normal 9 2 2 3 2 4 3 4" xfId="14564" xr:uid="{1955408A-0BD7-4533-8CA5-4D0E53C5C196}"/>
    <cellStyle name="Normal 9 2 2 3 2 4 4" xfId="18787" xr:uid="{BE8D77D8-BBAD-43E0-BEB1-B82B4A9A85A3}"/>
    <cellStyle name="Normal 9 2 2 3 2 4 5" xfId="27232" xr:uid="{401E191F-9488-40D7-8BDE-F585EE7BF644}"/>
    <cellStyle name="Normal 9 2 2 3 2 4 6" xfId="10346" xr:uid="{9F44AE44-9ACE-48BD-8782-B8CDF90BDE71}"/>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25563" xr:uid="{57BBF8D8-210C-4135-8C65-9549B269397C}"/>
    <cellStyle name="Normal 9 2 2 3 2 5 2 2 3" xfId="34009" xr:uid="{98A5A83A-1576-411B-B3D5-7D780C355179}"/>
    <cellStyle name="Normal 9 2 2 3 2 5 2 2 4" xfId="17122" xr:uid="{00D232E6-D3B9-4964-B118-CFE4CD1EB066}"/>
    <cellStyle name="Normal 9 2 2 3 2 5 2 3" xfId="21345" xr:uid="{BF9D9082-52F5-4482-A61E-B1045D43F0CB}"/>
    <cellStyle name="Normal 9 2 2 3 2 5 2 4" xfId="29792" xr:uid="{9A3AB5FC-507D-4D43-864F-7B6920FC6331}"/>
    <cellStyle name="Normal 9 2 2 3 2 5 2 5" xfId="12904" xr:uid="{CB371BA3-EDDD-49B3-906C-0BF99D8F0F3E}"/>
    <cellStyle name="Normal 9 2 2 3 2 5 3" xfId="6535" xr:uid="{00000000-0005-0000-0000-0000CF1E0000}"/>
    <cellStyle name="Normal 9 2 2 3 2 5 3 2" xfId="23418" xr:uid="{F3A27C4A-D255-4030-8784-BEFDF9AA41E3}"/>
    <cellStyle name="Normal 9 2 2 3 2 5 3 3" xfId="31864" xr:uid="{4A63745D-8755-4250-A064-78E616ECF218}"/>
    <cellStyle name="Normal 9 2 2 3 2 5 3 4" xfId="14977" xr:uid="{732591AC-35D3-4725-B0A3-242CCC8CBC51}"/>
    <cellStyle name="Normal 9 2 2 3 2 5 4" xfId="19200" xr:uid="{CF050B98-6FD1-4DF5-8814-D7C223275809}"/>
    <cellStyle name="Normal 9 2 2 3 2 5 5" xfId="27645" xr:uid="{05D73571-B1A5-4D78-A80A-73303B8A0F07}"/>
    <cellStyle name="Normal 9 2 2 3 2 5 6" xfId="10759" xr:uid="{8350EBE7-AC60-4EB6-B378-D2E5EE41B584}"/>
    <cellStyle name="Normal 9 2 2 3 2 6" xfId="2664" xr:uid="{00000000-0005-0000-0000-0000D01E0000}"/>
    <cellStyle name="Normal 9 2 2 3 2 6 2" xfId="6948" xr:uid="{00000000-0005-0000-0000-0000D11E0000}"/>
    <cellStyle name="Normal 9 2 2 3 2 6 2 2" xfId="23831" xr:uid="{1CFCE72E-57D6-4937-8FF6-D5B59261939A}"/>
    <cellStyle name="Normal 9 2 2 3 2 6 2 3" xfId="32277" xr:uid="{EC48940D-74A6-4E35-8C6E-78F20FCCD21A}"/>
    <cellStyle name="Normal 9 2 2 3 2 6 2 4" xfId="15390" xr:uid="{C2AD6063-B5AC-4983-8631-538CFDB57FE3}"/>
    <cellStyle name="Normal 9 2 2 3 2 6 3" xfId="19613" xr:uid="{B6E7ADB4-F268-42CC-AE3E-2CDEDD6B011F}"/>
    <cellStyle name="Normal 9 2 2 3 2 6 4" xfId="28058" xr:uid="{E5468EB2-E889-4E12-940D-C2F719A4FE16}"/>
    <cellStyle name="Normal 9 2 2 3 2 6 5" xfId="11172" xr:uid="{DDD1C982-85A3-4691-8656-44DCE97D8300}"/>
    <cellStyle name="Normal 9 2 2 3 2 7" xfId="4883" xr:uid="{00000000-0005-0000-0000-0000D21E0000}"/>
    <cellStyle name="Normal 9 2 2 3 2 7 2" xfId="21766" xr:uid="{E13E09CE-1B71-42D9-A6E7-05261D71AA54}"/>
    <cellStyle name="Normal 9 2 2 3 2 7 3" xfId="30212" xr:uid="{30F4B740-7B22-43F8-ADF6-2B3803E5C25D}"/>
    <cellStyle name="Normal 9 2 2 3 2 7 4" xfId="13325" xr:uid="{49CBE6D2-12BD-49FF-BCFA-B5409FFE7E63}"/>
    <cellStyle name="Normal 9 2 2 3 2 8" xfId="17548" xr:uid="{D7C64542-25BE-4CB0-8B99-13F9BF75FB1A}"/>
    <cellStyle name="Normal 9 2 2 3 2 9" xfId="25993" xr:uid="{3F172A2A-9EB7-4CD7-92EE-A7DB9B3AD696}"/>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24323" xr:uid="{730AB0EE-92B6-4DEC-8B75-26E47088F7B4}"/>
    <cellStyle name="Normal 9 2 2 3 3 2 2 3" xfId="32769" xr:uid="{444B6B44-614E-410A-AD35-9629AA253887}"/>
    <cellStyle name="Normal 9 2 2 3 3 2 2 4" xfId="15882" xr:uid="{74C15CC4-E738-4575-AAF4-4841BCB4BF01}"/>
    <cellStyle name="Normal 9 2 2 3 3 2 3" xfId="20105" xr:uid="{18F72563-7E44-46D5-AE18-CA4F37BA3F19}"/>
    <cellStyle name="Normal 9 2 2 3 3 2 4" xfId="28552" xr:uid="{723DF595-255A-429B-A68C-AD58EBD1A819}"/>
    <cellStyle name="Normal 9 2 2 3 3 2 5" xfId="11664" xr:uid="{499A714E-07E1-4DAD-836A-D1D763954072}"/>
    <cellStyle name="Normal 9 2 2 3 3 3" xfId="5295" xr:uid="{00000000-0005-0000-0000-0000D61E0000}"/>
    <cellStyle name="Normal 9 2 2 3 3 3 2" xfId="22178" xr:uid="{C5278C39-E149-4ACF-AF4B-24027AC09409}"/>
    <cellStyle name="Normal 9 2 2 3 3 3 3" xfId="30624" xr:uid="{3350E5D2-70FB-4B3F-B009-72CF63EC820D}"/>
    <cellStyle name="Normal 9 2 2 3 3 3 4" xfId="13737" xr:uid="{C2DE44EE-8096-45B3-A0CB-C5302AA84F1D}"/>
    <cellStyle name="Normal 9 2 2 3 3 4" xfId="17960" xr:uid="{DB40E974-BEF7-4CA6-8462-5288CAB97A69}"/>
    <cellStyle name="Normal 9 2 2 3 3 5" xfId="26405" xr:uid="{174163B0-E9D7-4CF5-81D0-EFC26E8D1896}"/>
    <cellStyle name="Normal 9 2 2 3 3 6" xfId="9519" xr:uid="{85A2AC55-730B-4B85-A276-6E15F2FFCE6E}"/>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24736" xr:uid="{D70958CD-CDCA-4586-9B5F-CA9FE100BA83}"/>
    <cellStyle name="Normal 9 2 2 3 4 2 2 3" xfId="33182" xr:uid="{A8E3B381-F042-40BE-8D62-D72BE3AA3CBC}"/>
    <cellStyle name="Normal 9 2 2 3 4 2 2 4" xfId="16295" xr:uid="{8C578F0F-D4EA-4C6F-B378-72CE39A5A174}"/>
    <cellStyle name="Normal 9 2 2 3 4 2 3" xfId="20518" xr:uid="{138C86AD-636C-4C42-8871-454D57DBB4A9}"/>
    <cellStyle name="Normal 9 2 2 3 4 2 4" xfId="28965" xr:uid="{27609DF0-03C4-47C8-BB3B-9C6448A78D52}"/>
    <cellStyle name="Normal 9 2 2 3 4 2 5" xfId="12077" xr:uid="{55F3C407-274C-4E19-B0B1-E577880393A4}"/>
    <cellStyle name="Normal 9 2 2 3 4 3" xfId="5708" xr:uid="{00000000-0005-0000-0000-0000DA1E0000}"/>
    <cellStyle name="Normal 9 2 2 3 4 3 2" xfId="22591" xr:uid="{D07531A5-0C0B-4487-A122-916FD072BE74}"/>
    <cellStyle name="Normal 9 2 2 3 4 3 3" xfId="31037" xr:uid="{2503AAB6-049D-48F9-957E-187BC5641C4A}"/>
    <cellStyle name="Normal 9 2 2 3 4 3 4" xfId="14150" xr:uid="{CADB474B-12BE-4085-AE1C-ACE9813CDB10}"/>
    <cellStyle name="Normal 9 2 2 3 4 4" xfId="18373" xr:uid="{F593BD7C-DC04-494F-B526-7C647520F70D}"/>
    <cellStyle name="Normal 9 2 2 3 4 5" xfId="26818" xr:uid="{D87E220C-FA62-499F-B338-BCF4DBE31143}"/>
    <cellStyle name="Normal 9 2 2 3 4 6" xfId="9932" xr:uid="{D1E68DE8-D9D8-4DD6-A92E-0555E9953120}"/>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25149" xr:uid="{025D6F36-75E5-4FB5-A915-FD824D5ADB1E}"/>
    <cellStyle name="Normal 9 2 2 3 5 2 2 3" xfId="33595" xr:uid="{ACB4EBEE-F80E-4425-9167-0CE01991A2F5}"/>
    <cellStyle name="Normal 9 2 2 3 5 2 2 4" xfId="16708" xr:uid="{5D8D2C87-A2FF-4439-91A4-7A6394DFC2F9}"/>
    <cellStyle name="Normal 9 2 2 3 5 2 3" xfId="20931" xr:uid="{555B2455-FD5E-4802-AA74-B0CFB42A3DC7}"/>
    <cellStyle name="Normal 9 2 2 3 5 2 4" xfId="29378" xr:uid="{14DE9F1B-A9EE-47FB-A3A9-4B397A4FDAD2}"/>
    <cellStyle name="Normal 9 2 2 3 5 2 5" xfId="12490" xr:uid="{F5DA729E-2BE5-4F32-A98A-DC6280486005}"/>
    <cellStyle name="Normal 9 2 2 3 5 3" xfId="6121" xr:uid="{00000000-0005-0000-0000-0000DE1E0000}"/>
    <cellStyle name="Normal 9 2 2 3 5 3 2" xfId="23004" xr:uid="{90815D09-C8CC-4A1E-B986-CD6DE3433080}"/>
    <cellStyle name="Normal 9 2 2 3 5 3 3" xfId="31450" xr:uid="{62891127-6220-4CE4-92F5-3AB96D548827}"/>
    <cellStyle name="Normal 9 2 2 3 5 3 4" xfId="14563" xr:uid="{FB1ED751-13CF-418E-98B8-2306A3146ADB}"/>
    <cellStyle name="Normal 9 2 2 3 5 4" xfId="18786" xr:uid="{EFD7D844-F98B-4873-B366-C3BF8646A243}"/>
    <cellStyle name="Normal 9 2 2 3 5 5" xfId="27231" xr:uid="{40DBFA98-939A-4B8C-93D2-5CAB1BA2F9D6}"/>
    <cellStyle name="Normal 9 2 2 3 5 6" xfId="10345" xr:uid="{CD105C34-FB3E-4106-AD33-8589457F4305}"/>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25562" xr:uid="{66228602-327E-4271-A90B-44624670C8A9}"/>
    <cellStyle name="Normal 9 2 2 3 6 2 2 3" xfId="34008" xr:uid="{310925E2-F3A2-46CE-931A-619ED0A6EEDC}"/>
    <cellStyle name="Normal 9 2 2 3 6 2 2 4" xfId="17121" xr:uid="{B4C78128-5B38-4C18-83AA-8BCAEEEBDA0D}"/>
    <cellStyle name="Normal 9 2 2 3 6 2 3" xfId="21344" xr:uid="{E1006A08-078C-4FAC-9DF6-5E3AD88D57E1}"/>
    <cellStyle name="Normal 9 2 2 3 6 2 4" xfId="29791" xr:uid="{50331C1D-0BD8-4687-BC42-510656ADCEC6}"/>
    <cellStyle name="Normal 9 2 2 3 6 2 5" xfId="12903" xr:uid="{81979567-1040-46A6-BA46-55D666684B15}"/>
    <cellStyle name="Normal 9 2 2 3 6 3" xfId="6534" xr:uid="{00000000-0005-0000-0000-0000E21E0000}"/>
    <cellStyle name="Normal 9 2 2 3 6 3 2" xfId="23417" xr:uid="{5F88FEB7-5183-4567-899F-515D0C684A34}"/>
    <cellStyle name="Normal 9 2 2 3 6 3 3" xfId="31863" xr:uid="{3AA7DE8E-11F2-4005-875F-361E560F4A35}"/>
    <cellStyle name="Normal 9 2 2 3 6 3 4" xfId="14976" xr:uid="{25BB8BF3-994E-4EE5-AC92-8D5427B1C0B3}"/>
    <cellStyle name="Normal 9 2 2 3 6 4" xfId="19199" xr:uid="{1FC6B922-9681-45A7-A8DF-6B75712D1DB3}"/>
    <cellStyle name="Normal 9 2 2 3 6 5" xfId="27644" xr:uid="{ED7169C5-52D2-44C2-8E21-718AADF83C32}"/>
    <cellStyle name="Normal 9 2 2 3 6 6" xfId="10758" xr:uid="{BFC9F06D-D358-43CF-840E-B2DA12DA3D6D}"/>
    <cellStyle name="Normal 9 2 2 3 7" xfId="2663" xr:uid="{00000000-0005-0000-0000-0000E31E0000}"/>
    <cellStyle name="Normal 9 2 2 3 7 2" xfId="6947" xr:uid="{00000000-0005-0000-0000-0000E41E0000}"/>
    <cellStyle name="Normal 9 2 2 3 7 2 2" xfId="23830" xr:uid="{07241B0A-D8FF-4B85-B1AB-365C296C905B}"/>
    <cellStyle name="Normal 9 2 2 3 7 2 3" xfId="32276" xr:uid="{938A731F-E686-42E7-B816-F4C9F88A916A}"/>
    <cellStyle name="Normal 9 2 2 3 7 2 4" xfId="15389" xr:uid="{E24F1756-56A6-4667-A5E8-FF03577F84F5}"/>
    <cellStyle name="Normal 9 2 2 3 7 3" xfId="19612" xr:uid="{3B35E427-AAB2-4FE5-B179-06E65CE5D59C}"/>
    <cellStyle name="Normal 9 2 2 3 7 4" xfId="28057" xr:uid="{B6D15EEC-8044-498C-AE36-421428373811}"/>
    <cellStyle name="Normal 9 2 2 3 7 5" xfId="11171" xr:uid="{805C3DC5-D339-4B9B-A5A8-B0E1F165B654}"/>
    <cellStyle name="Normal 9 2 2 3 8" xfId="4882" xr:uid="{00000000-0005-0000-0000-0000E51E0000}"/>
    <cellStyle name="Normal 9 2 2 3 8 2" xfId="21765" xr:uid="{906E4920-CE69-42E7-AF8B-A01BF3CC3B00}"/>
    <cellStyle name="Normal 9 2 2 3 8 3" xfId="30211" xr:uid="{98233C24-F7A2-471F-AF2A-B7923A8EB6FB}"/>
    <cellStyle name="Normal 9 2 2 3 8 4" xfId="13324" xr:uid="{ED520478-3F2A-4288-943F-BC040E6C0E83}"/>
    <cellStyle name="Normal 9 2 2 3 9" xfId="17547" xr:uid="{86CE7691-78ED-4A6B-89A7-2E4B4281F160}"/>
    <cellStyle name="Normal 9 2 2 4" xfId="519" xr:uid="{00000000-0005-0000-0000-0000E61E0000}"/>
    <cellStyle name="Normal 9 2 2 4 10" xfId="9108" xr:uid="{9AA15F0E-D942-4CF5-93F8-C57D3251C4A4}"/>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24325" xr:uid="{E726F71B-B45E-45CB-A934-E66ED2FE1026}"/>
    <cellStyle name="Normal 9 2 2 4 2 2 2 3" xfId="32771" xr:uid="{9707C09E-E00C-429C-A93B-01229B0BCF3B}"/>
    <cellStyle name="Normal 9 2 2 4 2 2 2 4" xfId="15884" xr:uid="{03825224-F3E1-48C6-91ED-CE87B62B1BBB}"/>
    <cellStyle name="Normal 9 2 2 4 2 2 3" xfId="20107" xr:uid="{2D9D829B-CE8A-4B07-B52D-91DB66846E48}"/>
    <cellStyle name="Normal 9 2 2 4 2 2 4" xfId="28554" xr:uid="{46390954-78E7-473B-BA9C-6CE16DB8A833}"/>
    <cellStyle name="Normal 9 2 2 4 2 2 5" xfId="11666" xr:uid="{3855B018-3CDF-4656-964D-387385CDBFD4}"/>
    <cellStyle name="Normal 9 2 2 4 2 3" xfId="5297" xr:uid="{00000000-0005-0000-0000-0000EA1E0000}"/>
    <cellStyle name="Normal 9 2 2 4 2 3 2" xfId="22180" xr:uid="{C6872354-8E9E-454A-B8B2-BAF68DE4990D}"/>
    <cellStyle name="Normal 9 2 2 4 2 3 3" xfId="30626" xr:uid="{E9F166DE-4FA4-4141-98FD-CC4C1A175439}"/>
    <cellStyle name="Normal 9 2 2 4 2 3 4" xfId="13739" xr:uid="{5853A32B-9809-4049-AA57-D66BD4E3A0CB}"/>
    <cellStyle name="Normal 9 2 2 4 2 4" xfId="17962" xr:uid="{15C32868-A722-4914-8FD1-9F8CD36A4A8D}"/>
    <cellStyle name="Normal 9 2 2 4 2 5" xfId="26407" xr:uid="{3C9A0071-D97E-4085-AE58-C3766E061A5E}"/>
    <cellStyle name="Normal 9 2 2 4 2 6" xfId="9521" xr:uid="{185686BD-E3A4-42F9-B2E2-3ADC49D2ADFE}"/>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24738" xr:uid="{EC6ABDA3-7F62-49B1-AA62-CC28E22926D0}"/>
    <cellStyle name="Normal 9 2 2 4 3 2 2 3" xfId="33184" xr:uid="{5053417B-1F28-44BD-9673-087A63A151A3}"/>
    <cellStyle name="Normal 9 2 2 4 3 2 2 4" xfId="16297" xr:uid="{CF70DE9A-2D75-46E3-A77E-379A24C90E36}"/>
    <cellStyle name="Normal 9 2 2 4 3 2 3" xfId="20520" xr:uid="{942B7E40-03C4-4640-B477-DE11D77081BB}"/>
    <cellStyle name="Normal 9 2 2 4 3 2 4" xfId="28967" xr:uid="{C87687E9-8CE1-42F9-B73B-DE28A0E7DB7C}"/>
    <cellStyle name="Normal 9 2 2 4 3 2 5" xfId="12079" xr:uid="{2EC6D416-490E-4B5D-9861-7FA51CD5D982}"/>
    <cellStyle name="Normal 9 2 2 4 3 3" xfId="5710" xr:uid="{00000000-0005-0000-0000-0000EE1E0000}"/>
    <cellStyle name="Normal 9 2 2 4 3 3 2" xfId="22593" xr:uid="{306C4860-36C6-498E-8265-4E9F5D60364E}"/>
    <cellStyle name="Normal 9 2 2 4 3 3 3" xfId="31039" xr:uid="{B5EC9E6B-D132-41DE-9BE7-313C61671A78}"/>
    <cellStyle name="Normal 9 2 2 4 3 3 4" xfId="14152" xr:uid="{352F7043-1DCB-4337-ADB9-DE450C0BC101}"/>
    <cellStyle name="Normal 9 2 2 4 3 4" xfId="18375" xr:uid="{950E90AE-EEBE-4745-9FC6-85D9EE419D01}"/>
    <cellStyle name="Normal 9 2 2 4 3 5" xfId="26820" xr:uid="{95F6032E-BB55-4C23-960B-72D15CAD1CC2}"/>
    <cellStyle name="Normal 9 2 2 4 3 6" xfId="9934" xr:uid="{2A7B875A-670E-4D8F-A029-9AE0AE6F5D14}"/>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25151" xr:uid="{64536E6B-C93B-467C-858B-5CD534E1B33A}"/>
    <cellStyle name="Normal 9 2 2 4 4 2 2 3" xfId="33597" xr:uid="{35033BD5-CDCA-465E-B710-3E8A029F5333}"/>
    <cellStyle name="Normal 9 2 2 4 4 2 2 4" xfId="16710" xr:uid="{DA5A3F20-BF97-459D-AF76-06F31113E6FE}"/>
    <cellStyle name="Normal 9 2 2 4 4 2 3" xfId="20933" xr:uid="{F1017FF9-9B83-4BAA-8B26-FA1F44AD0A5D}"/>
    <cellStyle name="Normal 9 2 2 4 4 2 4" xfId="29380" xr:uid="{8206A0A4-4B1C-4864-9CD2-2FD7FC08EA1D}"/>
    <cellStyle name="Normal 9 2 2 4 4 2 5" xfId="12492" xr:uid="{E280EFE2-6F93-41B5-B8EB-E85D2089BCA2}"/>
    <cellStyle name="Normal 9 2 2 4 4 3" xfId="6123" xr:uid="{00000000-0005-0000-0000-0000F21E0000}"/>
    <cellStyle name="Normal 9 2 2 4 4 3 2" xfId="23006" xr:uid="{F4506496-6152-432B-A6E1-DCA3EC6DA6C1}"/>
    <cellStyle name="Normal 9 2 2 4 4 3 3" xfId="31452" xr:uid="{0DE20D35-A443-4221-8223-27835C5E2A0F}"/>
    <cellStyle name="Normal 9 2 2 4 4 3 4" xfId="14565" xr:uid="{FDDFFE49-87B0-46F9-A71D-1AA230159DAB}"/>
    <cellStyle name="Normal 9 2 2 4 4 4" xfId="18788" xr:uid="{0809AC40-2937-449A-8A06-418DE13E0D7C}"/>
    <cellStyle name="Normal 9 2 2 4 4 5" xfId="27233" xr:uid="{7D1C38BC-5248-40BE-A92B-2E8608512E50}"/>
    <cellStyle name="Normal 9 2 2 4 4 6" xfId="10347" xr:uid="{27776629-1BE6-4ADC-B5F4-19B027B19EDA}"/>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25564" xr:uid="{48B1656F-791C-44E8-BF0A-8C4997D4C276}"/>
    <cellStyle name="Normal 9 2 2 4 5 2 2 3" xfId="34010" xr:uid="{759436F0-B016-4D6E-8082-F01A98F57842}"/>
    <cellStyle name="Normal 9 2 2 4 5 2 2 4" xfId="17123" xr:uid="{A1860046-7B36-491C-BB89-159FEF237B97}"/>
    <cellStyle name="Normal 9 2 2 4 5 2 3" xfId="21346" xr:uid="{B71B3454-3939-4DFC-9641-09558AE3BFA5}"/>
    <cellStyle name="Normal 9 2 2 4 5 2 4" xfId="29793" xr:uid="{0E0D486F-258B-48B0-AF7B-7E89493468BE}"/>
    <cellStyle name="Normal 9 2 2 4 5 2 5" xfId="12905" xr:uid="{E4FFA766-2F58-40AE-AFB8-7611248F39B2}"/>
    <cellStyle name="Normal 9 2 2 4 5 3" xfId="6536" xr:uid="{00000000-0005-0000-0000-0000F61E0000}"/>
    <cellStyle name="Normal 9 2 2 4 5 3 2" xfId="23419" xr:uid="{CB9B226C-59CD-49B0-A2A5-0E0F109085F2}"/>
    <cellStyle name="Normal 9 2 2 4 5 3 3" xfId="31865" xr:uid="{3F2F0E41-5001-4A66-BB30-6CA01F8AAED4}"/>
    <cellStyle name="Normal 9 2 2 4 5 3 4" xfId="14978" xr:uid="{642AD768-3F7A-4F83-90F0-A73DEBA988F7}"/>
    <cellStyle name="Normal 9 2 2 4 5 4" xfId="19201" xr:uid="{90006621-D9D0-4FC0-A967-E06F85D24748}"/>
    <cellStyle name="Normal 9 2 2 4 5 5" xfId="27646" xr:uid="{CBDB71C0-B767-4233-9822-1D8E257DD42C}"/>
    <cellStyle name="Normal 9 2 2 4 5 6" xfId="10760" xr:uid="{C6814D39-CF81-446A-B1C2-234234AD3917}"/>
    <cellStyle name="Normal 9 2 2 4 6" xfId="2665" xr:uid="{00000000-0005-0000-0000-0000F71E0000}"/>
    <cellStyle name="Normal 9 2 2 4 6 2" xfId="6949" xr:uid="{00000000-0005-0000-0000-0000F81E0000}"/>
    <cellStyle name="Normal 9 2 2 4 6 2 2" xfId="23832" xr:uid="{73033F54-5C65-4485-A7AE-4301C9954E89}"/>
    <cellStyle name="Normal 9 2 2 4 6 2 3" xfId="32278" xr:uid="{5D6B832B-B722-41CD-9756-750F5038A82C}"/>
    <cellStyle name="Normal 9 2 2 4 6 2 4" xfId="15391" xr:uid="{FD0E7C26-22CC-411E-8EF8-3A2825E26569}"/>
    <cellStyle name="Normal 9 2 2 4 6 3" xfId="19614" xr:uid="{AA0282F3-850F-4408-94F6-A188B31E5D1F}"/>
    <cellStyle name="Normal 9 2 2 4 6 4" xfId="28059" xr:uid="{48AB568E-F46A-4BB0-B3F5-8C36B77C7E9C}"/>
    <cellStyle name="Normal 9 2 2 4 6 5" xfId="11173" xr:uid="{C9E29E3D-16F7-4B8D-89A8-F73FC98C19A3}"/>
    <cellStyle name="Normal 9 2 2 4 7" xfId="4884" xr:uid="{00000000-0005-0000-0000-0000F91E0000}"/>
    <cellStyle name="Normal 9 2 2 4 7 2" xfId="21767" xr:uid="{076C2655-0AAC-45D0-87C6-2601078E2DC9}"/>
    <cellStyle name="Normal 9 2 2 4 7 3" xfId="30213" xr:uid="{4C644F7A-7A48-473F-847B-F81E1C50AD2D}"/>
    <cellStyle name="Normal 9 2 2 4 7 4" xfId="13326" xr:uid="{22AEFDAE-93BA-42B1-AD98-9294FB8CC1A0}"/>
    <cellStyle name="Normal 9 2 2 4 8" xfId="17549" xr:uid="{2E4CFDA4-0CA0-4A23-A402-049BE70732EC}"/>
    <cellStyle name="Normal 9 2 2 4 9" xfId="25994" xr:uid="{BEC9D789-AD75-437D-AB4B-EFFF075F9EA0}"/>
    <cellStyle name="Normal 9 2 2 5" xfId="979" xr:uid="{00000000-0005-0000-0000-0000FA1E0000}"/>
    <cellStyle name="Normal 9 2 2 5 2" xfId="3212" xr:uid="{00000000-0005-0000-0000-0000FB1E0000}"/>
    <cellStyle name="Normal 9 2 2 5 2 2" xfId="7435" xr:uid="{00000000-0005-0000-0000-0000FC1E0000}"/>
    <cellStyle name="Normal 9 2 2 5 2 2 2" xfId="24318" xr:uid="{818F5D96-EEE1-47D5-B56A-E619895723B2}"/>
    <cellStyle name="Normal 9 2 2 5 2 2 3" xfId="32764" xr:uid="{BE2A1FE4-53B8-4730-AB77-B28BDCF89793}"/>
    <cellStyle name="Normal 9 2 2 5 2 2 4" xfId="15877" xr:uid="{21CD8CA0-5013-4E0F-BC56-FC9DA222C77F}"/>
    <cellStyle name="Normal 9 2 2 5 2 3" xfId="20100" xr:uid="{40E9B7A0-0107-4A3D-A9DC-7E034CD28B74}"/>
    <cellStyle name="Normal 9 2 2 5 2 4" xfId="28547" xr:uid="{53815596-07F0-4BB9-ABCC-C356F6DD79C9}"/>
    <cellStyle name="Normal 9 2 2 5 2 5" xfId="11659" xr:uid="{C514CC94-AA13-4B42-9D3A-71E2AF63AA90}"/>
    <cellStyle name="Normal 9 2 2 5 3" xfId="5290" xr:uid="{00000000-0005-0000-0000-0000FD1E0000}"/>
    <cellStyle name="Normal 9 2 2 5 3 2" xfId="22173" xr:uid="{4E1E0218-D4AB-4486-B83A-5634F4979929}"/>
    <cellStyle name="Normal 9 2 2 5 3 3" xfId="30619" xr:uid="{F9F20D9D-322C-4FEC-87F0-27FE2263FFAE}"/>
    <cellStyle name="Normal 9 2 2 5 3 4" xfId="13732" xr:uid="{F2C66136-3655-428E-9B52-06A245D75AA9}"/>
    <cellStyle name="Normal 9 2 2 5 4" xfId="17955" xr:uid="{F0BA4183-3B07-4D30-B7DA-B7C51FFBEB27}"/>
    <cellStyle name="Normal 9 2 2 5 5" xfId="26400" xr:uid="{74C4609D-F5A0-4EB4-849D-BC7AB7622554}"/>
    <cellStyle name="Normal 9 2 2 5 6" xfId="9514" xr:uid="{603BB0D4-1B72-4192-8B9F-F71C62AF6A00}"/>
    <cellStyle name="Normal 9 2 2 6" xfId="1395" xr:uid="{00000000-0005-0000-0000-0000FE1E0000}"/>
    <cellStyle name="Normal 9 2 2 6 2" xfId="3625" xr:uid="{00000000-0005-0000-0000-0000FF1E0000}"/>
    <cellStyle name="Normal 9 2 2 6 2 2" xfId="7848" xr:uid="{00000000-0005-0000-0000-0000001F0000}"/>
    <cellStyle name="Normal 9 2 2 6 2 2 2" xfId="24731" xr:uid="{83243516-D508-4C07-A77C-F29ECD407CFD}"/>
    <cellStyle name="Normal 9 2 2 6 2 2 3" xfId="33177" xr:uid="{C97EFB42-2D35-4691-864C-043FD2094B37}"/>
    <cellStyle name="Normal 9 2 2 6 2 2 4" xfId="16290" xr:uid="{1EB84252-2477-4E32-8A8E-D22A240CB421}"/>
    <cellStyle name="Normal 9 2 2 6 2 3" xfId="20513" xr:uid="{4E3C0804-40D3-46D6-ABFB-6CCA6D7257D3}"/>
    <cellStyle name="Normal 9 2 2 6 2 4" xfId="28960" xr:uid="{C098C3AA-11AB-4034-94B8-55B300F900C5}"/>
    <cellStyle name="Normal 9 2 2 6 2 5" xfId="12072" xr:uid="{5B7FFE02-ABFA-48BB-A9DB-F0969E86ADAF}"/>
    <cellStyle name="Normal 9 2 2 6 3" xfId="5703" xr:uid="{00000000-0005-0000-0000-0000011F0000}"/>
    <cellStyle name="Normal 9 2 2 6 3 2" xfId="22586" xr:uid="{EF7181CD-E949-4E34-A969-ADD8078CFA13}"/>
    <cellStyle name="Normal 9 2 2 6 3 3" xfId="31032" xr:uid="{91566126-FD6F-4EBC-A059-C4E133E4C169}"/>
    <cellStyle name="Normal 9 2 2 6 3 4" xfId="14145" xr:uid="{48B4B579-6550-45AC-8108-F41A29803DC7}"/>
    <cellStyle name="Normal 9 2 2 6 4" xfId="18368" xr:uid="{5CE6373A-C945-4F6F-BB85-9843F165900E}"/>
    <cellStyle name="Normal 9 2 2 6 5" xfId="26813" xr:uid="{CA869944-C93D-45F7-B78D-4F97252790EA}"/>
    <cellStyle name="Normal 9 2 2 6 6" xfId="9927" xr:uid="{A6309DE9-BB01-45F2-A1CF-29628892969F}"/>
    <cellStyle name="Normal 9 2 2 7" xfId="1808" xr:uid="{00000000-0005-0000-0000-0000021F0000}"/>
    <cellStyle name="Normal 9 2 2 7 2" xfId="4038" xr:uid="{00000000-0005-0000-0000-0000031F0000}"/>
    <cellStyle name="Normal 9 2 2 7 2 2" xfId="8261" xr:uid="{00000000-0005-0000-0000-0000041F0000}"/>
    <cellStyle name="Normal 9 2 2 7 2 2 2" xfId="25144" xr:uid="{4714B48F-D446-4205-8707-BEF6C9F5FB11}"/>
    <cellStyle name="Normal 9 2 2 7 2 2 3" xfId="33590" xr:uid="{807BF428-EE4B-4EE1-85BE-E1D5B790A1CF}"/>
    <cellStyle name="Normal 9 2 2 7 2 2 4" xfId="16703" xr:uid="{AB8CADBC-B790-436E-97FF-58E5B507236D}"/>
    <cellStyle name="Normal 9 2 2 7 2 3" xfId="20926" xr:uid="{BD7854D2-FFBC-4A89-948D-74C086A129DA}"/>
    <cellStyle name="Normal 9 2 2 7 2 4" xfId="29373" xr:uid="{AAE15E71-F3BD-4C7A-BFBC-428781F5DCE9}"/>
    <cellStyle name="Normal 9 2 2 7 2 5" xfId="12485" xr:uid="{7D3EC662-F545-4ECD-AABD-3692B715FEE1}"/>
    <cellStyle name="Normal 9 2 2 7 3" xfId="6116" xr:uid="{00000000-0005-0000-0000-0000051F0000}"/>
    <cellStyle name="Normal 9 2 2 7 3 2" xfId="22999" xr:uid="{87D83F01-9A3B-47A3-BC77-10E790CC0A60}"/>
    <cellStyle name="Normal 9 2 2 7 3 3" xfId="31445" xr:uid="{524550E6-748D-450B-BB6B-94502BF37888}"/>
    <cellStyle name="Normal 9 2 2 7 3 4" xfId="14558" xr:uid="{14AED6FE-B94B-4749-AA06-0C2C1A01CC0C}"/>
    <cellStyle name="Normal 9 2 2 7 4" xfId="18781" xr:uid="{E9D7F476-82FC-44A7-A614-BA35F7317832}"/>
    <cellStyle name="Normal 9 2 2 7 5" xfId="27226" xr:uid="{B76E92F4-CD34-42DE-9574-192BAEEC7F75}"/>
    <cellStyle name="Normal 9 2 2 7 6" xfId="10340" xr:uid="{9A90B7F4-C086-4359-A38E-3D5EAA08B1CF}"/>
    <cellStyle name="Normal 9 2 2 8" xfId="2222" xr:uid="{00000000-0005-0000-0000-0000061F0000}"/>
    <cellStyle name="Normal 9 2 2 8 2" xfId="4451" xr:uid="{00000000-0005-0000-0000-0000071F0000}"/>
    <cellStyle name="Normal 9 2 2 8 2 2" xfId="8674" xr:uid="{00000000-0005-0000-0000-0000081F0000}"/>
    <cellStyle name="Normal 9 2 2 8 2 2 2" xfId="25557" xr:uid="{2D58EAF9-04EF-4E5D-8953-BEF7D54EE57D}"/>
    <cellStyle name="Normal 9 2 2 8 2 2 3" xfId="34003" xr:uid="{CACB360F-C415-44D5-8977-544F90BCF688}"/>
    <cellStyle name="Normal 9 2 2 8 2 2 4" xfId="17116" xr:uid="{4593621C-D2BF-421B-B2FB-DDCFB2293CF8}"/>
    <cellStyle name="Normal 9 2 2 8 2 3" xfId="21339" xr:uid="{856C32B8-4BE4-49EF-A61C-2423BF57A2E8}"/>
    <cellStyle name="Normal 9 2 2 8 2 4" xfId="29786" xr:uid="{CBA70E40-DF5E-4EE5-B3E2-AE2B7FF25439}"/>
    <cellStyle name="Normal 9 2 2 8 2 5" xfId="12898" xr:uid="{9208930E-08FC-4404-9AE0-61AB6847A475}"/>
    <cellStyle name="Normal 9 2 2 8 3" xfId="6529" xr:uid="{00000000-0005-0000-0000-0000091F0000}"/>
    <cellStyle name="Normal 9 2 2 8 3 2" xfId="23412" xr:uid="{37D90919-32A3-44EA-9093-800D905CF89E}"/>
    <cellStyle name="Normal 9 2 2 8 3 3" xfId="31858" xr:uid="{680D65CB-2D88-4D94-A3DC-255D20E24CF5}"/>
    <cellStyle name="Normal 9 2 2 8 3 4" xfId="14971" xr:uid="{E42EEA5B-D952-4AC3-9A64-1163C6DAA5C3}"/>
    <cellStyle name="Normal 9 2 2 8 4" xfId="19194" xr:uid="{40C6E101-12A8-42F5-A5CB-79CB5353845C}"/>
    <cellStyle name="Normal 9 2 2 8 5" xfId="27639" xr:uid="{85D6C362-B4F2-4BF1-A78B-79D71A50B389}"/>
    <cellStyle name="Normal 9 2 2 8 6" xfId="10753" xr:uid="{77A4FAE4-FAA2-450F-B320-46E4BE81418F}"/>
    <cellStyle name="Normal 9 2 2 9" xfId="2658" xr:uid="{00000000-0005-0000-0000-00000A1F0000}"/>
    <cellStyle name="Normal 9 2 2 9 2" xfId="6942" xr:uid="{00000000-0005-0000-0000-00000B1F0000}"/>
    <cellStyle name="Normal 9 2 2 9 2 2" xfId="23825" xr:uid="{2BD071E0-85CD-4009-9412-433E4BE7297B}"/>
    <cellStyle name="Normal 9 2 2 9 2 3" xfId="32271" xr:uid="{D245E49B-89A5-4506-ADE1-0FCB9350B25D}"/>
    <cellStyle name="Normal 9 2 2 9 2 4" xfId="15384" xr:uid="{D5CC9CE8-9A3E-4A91-B8D0-5D96E964D272}"/>
    <cellStyle name="Normal 9 2 2 9 3" xfId="19607" xr:uid="{D787F5F7-C2A9-446B-8D85-B195B932DB5D}"/>
    <cellStyle name="Normal 9 2 2 9 4" xfId="28052" xr:uid="{6079320A-A9FF-4306-BA34-5E4AF437E0CF}"/>
    <cellStyle name="Normal 9 2 2 9 5" xfId="11166" xr:uid="{4E166EC2-BB15-40E3-B9C0-C08612397862}"/>
    <cellStyle name="Normal 9 2 3" xfId="520" xr:uid="{00000000-0005-0000-0000-00000C1F0000}"/>
    <cellStyle name="Normal 9 2 3 10" xfId="17550" xr:uid="{BB8579AC-3959-4FB9-91E2-B508A80A8DB5}"/>
    <cellStyle name="Normal 9 2 3 11" xfId="25995" xr:uid="{683CBCDC-B91F-4213-84BF-F0CF49A97DFE}"/>
    <cellStyle name="Normal 9 2 3 12" xfId="9109" xr:uid="{07631F26-E6E4-4604-B2E6-3DA2E30BED67}"/>
    <cellStyle name="Normal 9 2 3 2" xfId="521" xr:uid="{00000000-0005-0000-0000-00000D1F0000}"/>
    <cellStyle name="Normal 9 2 3 2 10" xfId="25996" xr:uid="{2935C1E2-F188-4584-B381-8054BF193561}"/>
    <cellStyle name="Normal 9 2 3 2 11" xfId="9110" xr:uid="{DFF2ECC9-5467-420A-BF7B-36475A1A7DBA}"/>
    <cellStyle name="Normal 9 2 3 2 2" xfId="522" xr:uid="{00000000-0005-0000-0000-00000E1F0000}"/>
    <cellStyle name="Normal 9 2 3 2 2 10" xfId="9111" xr:uid="{26E06CA2-498E-4A55-B0A2-768BF03EAD82}"/>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24328" xr:uid="{0EE02120-8C86-4831-BF95-163B90DADE7D}"/>
    <cellStyle name="Normal 9 2 3 2 2 2 2 2 3" xfId="32774" xr:uid="{5D410A6C-CBFA-4B1F-80BB-9711851787A2}"/>
    <cellStyle name="Normal 9 2 3 2 2 2 2 2 4" xfId="15887" xr:uid="{028791D1-C21B-4511-942F-D5E1BF3EC946}"/>
    <cellStyle name="Normal 9 2 3 2 2 2 2 3" xfId="20110" xr:uid="{F3C98A80-36E9-4D53-84B0-594DECDC2F0A}"/>
    <cellStyle name="Normal 9 2 3 2 2 2 2 4" xfId="28557" xr:uid="{1FEFB544-AA3F-4FAF-A3B1-C7822DD04D04}"/>
    <cellStyle name="Normal 9 2 3 2 2 2 2 5" xfId="11669" xr:uid="{0053FE3A-E46D-4310-980B-8928D8BB0D55}"/>
    <cellStyle name="Normal 9 2 3 2 2 2 3" xfId="5300" xr:uid="{00000000-0005-0000-0000-0000121F0000}"/>
    <cellStyle name="Normal 9 2 3 2 2 2 3 2" xfId="22183" xr:uid="{1A3E19E6-56D6-4196-B5EE-1CDDC5E113C1}"/>
    <cellStyle name="Normal 9 2 3 2 2 2 3 3" xfId="30629" xr:uid="{A8D978BF-7B9C-4425-B308-80FCEEF416BE}"/>
    <cellStyle name="Normal 9 2 3 2 2 2 3 4" xfId="13742" xr:uid="{45E9107B-4F55-4974-8742-70FBA56B899B}"/>
    <cellStyle name="Normal 9 2 3 2 2 2 4" xfId="17965" xr:uid="{3EBB4F92-7FDD-4675-AC02-A1F99357CE71}"/>
    <cellStyle name="Normal 9 2 3 2 2 2 5" xfId="26410" xr:uid="{DE0C5618-C5FD-4D17-AB01-3E0FACA35144}"/>
    <cellStyle name="Normal 9 2 3 2 2 2 6" xfId="9524" xr:uid="{DB5C5437-E168-45C1-B261-1CFB6CDD430E}"/>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24741" xr:uid="{AAF3CB97-509E-4566-B0EC-E2666A45605B}"/>
    <cellStyle name="Normal 9 2 3 2 2 3 2 2 3" xfId="33187" xr:uid="{ED2EABDE-57B4-40F4-9F0D-C6BD7CF9DF31}"/>
    <cellStyle name="Normal 9 2 3 2 2 3 2 2 4" xfId="16300" xr:uid="{E3C30057-4500-4E1E-AAA2-6DE4B51F50D6}"/>
    <cellStyle name="Normal 9 2 3 2 2 3 2 3" xfId="20523" xr:uid="{65B4D523-9EC6-4D72-980D-CA82FA737B1D}"/>
    <cellStyle name="Normal 9 2 3 2 2 3 2 4" xfId="28970" xr:uid="{DBAC746C-4742-4E22-8406-C9991841C5E4}"/>
    <cellStyle name="Normal 9 2 3 2 2 3 2 5" xfId="12082" xr:uid="{D4715453-AA97-451C-8E4C-65A15AD01153}"/>
    <cellStyle name="Normal 9 2 3 2 2 3 3" xfId="5713" xr:uid="{00000000-0005-0000-0000-0000161F0000}"/>
    <cellStyle name="Normal 9 2 3 2 2 3 3 2" xfId="22596" xr:uid="{51634288-A8AA-4C33-A4A8-53D12A2FDAD7}"/>
    <cellStyle name="Normal 9 2 3 2 2 3 3 3" xfId="31042" xr:uid="{D8AA4C43-28DB-42FE-8B22-CAABBD234BC3}"/>
    <cellStyle name="Normal 9 2 3 2 2 3 3 4" xfId="14155" xr:uid="{2796BFEA-FB5B-47D8-9419-D17B6EF23D13}"/>
    <cellStyle name="Normal 9 2 3 2 2 3 4" xfId="18378" xr:uid="{C38D009E-32CC-4C60-85E8-21B07DBDDAA2}"/>
    <cellStyle name="Normal 9 2 3 2 2 3 5" xfId="26823" xr:uid="{2F8E8A20-0DF0-48D1-948A-960242226A5E}"/>
    <cellStyle name="Normal 9 2 3 2 2 3 6" xfId="9937" xr:uid="{F824ECAE-FC9A-4810-95C8-7F83B1FA836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25154" xr:uid="{CF42081C-F1C8-443C-A238-B9FC6D9DC05E}"/>
    <cellStyle name="Normal 9 2 3 2 2 4 2 2 3" xfId="33600" xr:uid="{EE602B46-7DE0-41A9-A478-FB74281FD7AB}"/>
    <cellStyle name="Normal 9 2 3 2 2 4 2 2 4" xfId="16713" xr:uid="{61CE1EF2-2876-4FCA-AC2C-E2769CED052E}"/>
    <cellStyle name="Normal 9 2 3 2 2 4 2 3" xfId="20936" xr:uid="{35FBBBF9-D4B7-4374-9122-AD9065248144}"/>
    <cellStyle name="Normal 9 2 3 2 2 4 2 4" xfId="29383" xr:uid="{89C9639B-9626-4F05-B93F-E088606084EB}"/>
    <cellStyle name="Normal 9 2 3 2 2 4 2 5" xfId="12495" xr:uid="{4DEAEE4E-7FFC-4D96-AADF-8A0DE091974D}"/>
    <cellStyle name="Normal 9 2 3 2 2 4 3" xfId="6126" xr:uid="{00000000-0005-0000-0000-00001A1F0000}"/>
    <cellStyle name="Normal 9 2 3 2 2 4 3 2" xfId="23009" xr:uid="{C86D4EA9-E58F-4404-A089-A5CC6BA7FF11}"/>
    <cellStyle name="Normal 9 2 3 2 2 4 3 3" xfId="31455" xr:uid="{3CCD540D-9B85-4ED3-867E-38A9C43E4186}"/>
    <cellStyle name="Normal 9 2 3 2 2 4 3 4" xfId="14568" xr:uid="{8F9C7C6A-AD29-4AB7-8A26-D7EE9760475B}"/>
    <cellStyle name="Normal 9 2 3 2 2 4 4" xfId="18791" xr:uid="{EE3FFA92-CB7F-48D4-81B1-FBE62AC578B5}"/>
    <cellStyle name="Normal 9 2 3 2 2 4 5" xfId="27236" xr:uid="{BAA39F1D-51AE-425C-9167-8842D6D2B89A}"/>
    <cellStyle name="Normal 9 2 3 2 2 4 6" xfId="10350" xr:uid="{D3F45521-1947-402B-8EED-078B7F11C4C3}"/>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25567" xr:uid="{FAE81FAF-984F-465A-A894-0E04AC5BEC03}"/>
    <cellStyle name="Normal 9 2 3 2 2 5 2 2 3" xfId="34013" xr:uid="{AD766095-C764-4B39-ACE5-914D238D9490}"/>
    <cellStyle name="Normal 9 2 3 2 2 5 2 2 4" xfId="17126" xr:uid="{CA33B699-8D17-44A7-9DFF-3E9DF312754C}"/>
    <cellStyle name="Normal 9 2 3 2 2 5 2 3" xfId="21349" xr:uid="{CD59744E-63AF-4CED-9203-029FF81096CB}"/>
    <cellStyle name="Normal 9 2 3 2 2 5 2 4" xfId="29796" xr:uid="{7429EFFA-5A90-4D64-93AC-1CF95422E1B6}"/>
    <cellStyle name="Normal 9 2 3 2 2 5 2 5" xfId="12908" xr:uid="{764871D9-FB9A-4B1C-B5A2-754E4749A982}"/>
    <cellStyle name="Normal 9 2 3 2 2 5 3" xfId="6539" xr:uid="{00000000-0005-0000-0000-00001E1F0000}"/>
    <cellStyle name="Normal 9 2 3 2 2 5 3 2" xfId="23422" xr:uid="{8CEA8D23-980A-41FF-BE68-81DCD5BFA9D7}"/>
    <cellStyle name="Normal 9 2 3 2 2 5 3 3" xfId="31868" xr:uid="{FC8257CC-1BCE-4E36-ACCA-042551577E8A}"/>
    <cellStyle name="Normal 9 2 3 2 2 5 3 4" xfId="14981" xr:uid="{D9C17BB4-4F05-4B67-AFD4-92067253DED1}"/>
    <cellStyle name="Normal 9 2 3 2 2 5 4" xfId="19204" xr:uid="{E32A97F5-377B-4D34-8CF9-182FCABA2CB7}"/>
    <cellStyle name="Normal 9 2 3 2 2 5 5" xfId="27649" xr:uid="{36A76576-1A73-4E64-AEEC-F3D7F562FA93}"/>
    <cellStyle name="Normal 9 2 3 2 2 5 6" xfId="10763" xr:uid="{5E1046E1-629C-4B1D-ADF6-EA0F1475216D}"/>
    <cellStyle name="Normal 9 2 3 2 2 6" xfId="2668" xr:uid="{00000000-0005-0000-0000-00001F1F0000}"/>
    <cellStyle name="Normal 9 2 3 2 2 6 2" xfId="6952" xr:uid="{00000000-0005-0000-0000-0000201F0000}"/>
    <cellStyle name="Normal 9 2 3 2 2 6 2 2" xfId="23835" xr:uid="{FECDCD17-967A-42FD-870C-41E1A13857CB}"/>
    <cellStyle name="Normal 9 2 3 2 2 6 2 3" xfId="32281" xr:uid="{05A68087-4CC9-40DB-8523-5A7C5F8A42B4}"/>
    <cellStyle name="Normal 9 2 3 2 2 6 2 4" xfId="15394" xr:uid="{20D11035-EE20-4271-99C6-FAE0AE72A450}"/>
    <cellStyle name="Normal 9 2 3 2 2 6 3" xfId="19617" xr:uid="{93C2D417-3ED2-4249-89D3-FE5944FDF56B}"/>
    <cellStyle name="Normal 9 2 3 2 2 6 4" xfId="28062" xr:uid="{0A13533B-132F-417E-9405-48F93CE0BB01}"/>
    <cellStyle name="Normal 9 2 3 2 2 6 5" xfId="11176" xr:uid="{EBF7EDF9-A5DF-4263-A65C-E5560AFB5F5B}"/>
    <cellStyle name="Normal 9 2 3 2 2 7" xfId="4887" xr:uid="{00000000-0005-0000-0000-0000211F0000}"/>
    <cellStyle name="Normal 9 2 3 2 2 7 2" xfId="21770" xr:uid="{757E5419-E321-4338-BAA0-CDB3D2B5584C}"/>
    <cellStyle name="Normal 9 2 3 2 2 7 3" xfId="30216" xr:uid="{5AFC9517-23BE-4D81-8B4F-7D43C3A29710}"/>
    <cellStyle name="Normal 9 2 3 2 2 7 4" xfId="13329" xr:uid="{73673052-AADB-498A-8A8E-DD85E9D85EE1}"/>
    <cellStyle name="Normal 9 2 3 2 2 8" xfId="17552" xr:uid="{AD78CFEE-2860-447E-A6AB-852198C117C1}"/>
    <cellStyle name="Normal 9 2 3 2 2 9" xfId="25997" xr:uid="{3F2FD7BB-2F4D-4484-A280-87B9E7CA147E}"/>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24327" xr:uid="{B65AF7D6-A2E0-44D7-BDA2-354B35D973B3}"/>
    <cellStyle name="Normal 9 2 3 2 3 2 2 3" xfId="32773" xr:uid="{9EF35507-162B-478B-9093-B4E1275458B9}"/>
    <cellStyle name="Normal 9 2 3 2 3 2 2 4" xfId="15886" xr:uid="{FCAC2DD5-B62B-4233-9A82-AA80FA841D28}"/>
    <cellStyle name="Normal 9 2 3 2 3 2 3" xfId="20109" xr:uid="{41147FAF-1CDA-4E1F-B468-7FB069EFAFAC}"/>
    <cellStyle name="Normal 9 2 3 2 3 2 4" xfId="28556" xr:uid="{03AA7A31-F3B0-4D16-B9CE-CC4CFFFD738B}"/>
    <cellStyle name="Normal 9 2 3 2 3 2 5" xfId="11668" xr:uid="{10ED9C3A-27FF-4D15-AFE3-E340D60104B7}"/>
    <cellStyle name="Normal 9 2 3 2 3 3" xfId="5299" xr:uid="{00000000-0005-0000-0000-0000251F0000}"/>
    <cellStyle name="Normal 9 2 3 2 3 3 2" xfId="22182" xr:uid="{6B820CA0-7398-49B2-8252-E36A045F1A5E}"/>
    <cellStyle name="Normal 9 2 3 2 3 3 3" xfId="30628" xr:uid="{A9BCCD31-B211-4712-B131-A586ED5446C6}"/>
    <cellStyle name="Normal 9 2 3 2 3 3 4" xfId="13741" xr:uid="{A591E22C-E2C5-46C5-8B98-38B238F965B2}"/>
    <cellStyle name="Normal 9 2 3 2 3 4" xfId="17964" xr:uid="{849D52BA-4DAC-41CC-BC65-3E5B5C4929AF}"/>
    <cellStyle name="Normal 9 2 3 2 3 5" xfId="26409" xr:uid="{86C7D36E-146A-477A-896A-1BDB5FDB907A}"/>
    <cellStyle name="Normal 9 2 3 2 3 6" xfId="9523" xr:uid="{88ED4D4D-CD1E-4533-9E04-91C533C15874}"/>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24740" xr:uid="{DAAFCF40-5511-42D3-AC43-FA049CEFD910}"/>
    <cellStyle name="Normal 9 2 3 2 4 2 2 3" xfId="33186" xr:uid="{D7914729-47C0-408B-9149-B7335E683D80}"/>
    <cellStyle name="Normal 9 2 3 2 4 2 2 4" xfId="16299" xr:uid="{3D8CE03C-5C11-494A-92AB-68BE8D9B6BB3}"/>
    <cellStyle name="Normal 9 2 3 2 4 2 3" xfId="20522" xr:uid="{6B9B88B9-C8E8-4C99-9018-1E931D620822}"/>
    <cellStyle name="Normal 9 2 3 2 4 2 4" xfId="28969" xr:uid="{8B9F499E-2B7F-47B7-848D-508EB1BFE8A8}"/>
    <cellStyle name="Normal 9 2 3 2 4 2 5" xfId="12081" xr:uid="{D9C81182-5E6D-4192-903B-DE04B23BE94E}"/>
    <cellStyle name="Normal 9 2 3 2 4 3" xfId="5712" xr:uid="{00000000-0005-0000-0000-0000291F0000}"/>
    <cellStyle name="Normal 9 2 3 2 4 3 2" xfId="22595" xr:uid="{DE01789F-C71F-4958-B940-1D4C02E9AD9E}"/>
    <cellStyle name="Normal 9 2 3 2 4 3 3" xfId="31041" xr:uid="{1E42C56E-879B-4E1B-BA91-45D726B4EB41}"/>
    <cellStyle name="Normal 9 2 3 2 4 3 4" xfId="14154" xr:uid="{1278558F-5D7A-414A-BEC6-B02047D4A954}"/>
    <cellStyle name="Normal 9 2 3 2 4 4" xfId="18377" xr:uid="{1DDE54F6-C968-4CA2-8F99-85D652A230ED}"/>
    <cellStyle name="Normal 9 2 3 2 4 5" xfId="26822" xr:uid="{C889C917-845E-4647-9023-FEFFA7BD6371}"/>
    <cellStyle name="Normal 9 2 3 2 4 6" xfId="9936" xr:uid="{CE1049D0-4E7D-4725-AAD6-E58B22EB6142}"/>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25153" xr:uid="{067F1F9C-3C79-44D8-9E7C-2A7EC05434C9}"/>
    <cellStyle name="Normal 9 2 3 2 5 2 2 3" xfId="33599" xr:uid="{4E19159F-8AE0-4F4E-8207-70B8C95B0051}"/>
    <cellStyle name="Normal 9 2 3 2 5 2 2 4" xfId="16712" xr:uid="{0758BFCC-AB79-4F9F-9CC3-0CAD62120019}"/>
    <cellStyle name="Normal 9 2 3 2 5 2 3" xfId="20935" xr:uid="{B9426FB9-AA09-4D4D-B3D8-E7F413210D68}"/>
    <cellStyle name="Normal 9 2 3 2 5 2 4" xfId="29382" xr:uid="{33797985-C8D6-4272-8B54-616949575CFB}"/>
    <cellStyle name="Normal 9 2 3 2 5 2 5" xfId="12494" xr:uid="{F675873A-5734-4719-8559-4A3014ADD2D1}"/>
    <cellStyle name="Normal 9 2 3 2 5 3" xfId="6125" xr:uid="{00000000-0005-0000-0000-00002D1F0000}"/>
    <cellStyle name="Normal 9 2 3 2 5 3 2" xfId="23008" xr:uid="{3F05354C-710E-48FF-8B2B-834A584CA1DC}"/>
    <cellStyle name="Normal 9 2 3 2 5 3 3" xfId="31454" xr:uid="{13DEB3B2-2CCA-4116-959B-1043438AA65D}"/>
    <cellStyle name="Normal 9 2 3 2 5 3 4" xfId="14567" xr:uid="{FACD0AD3-EC26-48FE-917C-64BA62D0B7FC}"/>
    <cellStyle name="Normal 9 2 3 2 5 4" xfId="18790" xr:uid="{DB32C8C6-E729-44C4-929C-98A16FDBDE12}"/>
    <cellStyle name="Normal 9 2 3 2 5 5" xfId="27235" xr:uid="{64D708A0-1E3A-4A64-AFBB-1301AFACAD10}"/>
    <cellStyle name="Normal 9 2 3 2 5 6" xfId="10349" xr:uid="{CFE0E975-1682-4167-BFC7-AC30ADBEE7AF}"/>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25566" xr:uid="{FD3727A7-A70B-466A-BD51-AF1F7A3ECA1B}"/>
    <cellStyle name="Normal 9 2 3 2 6 2 2 3" xfId="34012" xr:uid="{FB039FD7-1636-45D5-A9DC-C1FD9C5E9DBE}"/>
    <cellStyle name="Normal 9 2 3 2 6 2 2 4" xfId="17125" xr:uid="{B8FF181C-46F2-4F53-A800-D4FAC8422CB7}"/>
    <cellStyle name="Normal 9 2 3 2 6 2 3" xfId="21348" xr:uid="{81526EC2-F17F-4FD8-9DA1-3B5A5D858924}"/>
    <cellStyle name="Normal 9 2 3 2 6 2 4" xfId="29795" xr:uid="{882E77C6-EEC9-4D8A-9426-D83163001273}"/>
    <cellStyle name="Normal 9 2 3 2 6 2 5" xfId="12907" xr:uid="{7C3436E8-54E0-4037-AA4E-489080DA2503}"/>
    <cellStyle name="Normal 9 2 3 2 6 3" xfId="6538" xr:uid="{00000000-0005-0000-0000-0000311F0000}"/>
    <cellStyle name="Normal 9 2 3 2 6 3 2" xfId="23421" xr:uid="{A389EDB6-9F8F-420E-AB22-B977BD0E7184}"/>
    <cellStyle name="Normal 9 2 3 2 6 3 3" xfId="31867" xr:uid="{0564DE93-9A9A-4704-872E-D37AAB2C7BDB}"/>
    <cellStyle name="Normal 9 2 3 2 6 3 4" xfId="14980" xr:uid="{A607FEB6-D177-41EC-B2A0-28F9D2BCBBA8}"/>
    <cellStyle name="Normal 9 2 3 2 6 4" xfId="19203" xr:uid="{44E6E0F9-EA21-4B6F-8F63-452A0BE52FA6}"/>
    <cellStyle name="Normal 9 2 3 2 6 5" xfId="27648" xr:uid="{72F05D08-1851-4994-9B41-B07DF4B78BE3}"/>
    <cellStyle name="Normal 9 2 3 2 6 6" xfId="10762" xr:uid="{B59AB02C-9CC6-4C30-AD17-E826732B5300}"/>
    <cellStyle name="Normal 9 2 3 2 7" xfId="2667" xr:uid="{00000000-0005-0000-0000-0000321F0000}"/>
    <cellStyle name="Normal 9 2 3 2 7 2" xfId="6951" xr:uid="{00000000-0005-0000-0000-0000331F0000}"/>
    <cellStyle name="Normal 9 2 3 2 7 2 2" xfId="23834" xr:uid="{C67A1089-9D0A-492A-BF58-8D3ED3AAF60B}"/>
    <cellStyle name="Normal 9 2 3 2 7 2 3" xfId="32280" xr:uid="{3C26845B-F2DB-49F6-80D6-6BA81FE04292}"/>
    <cellStyle name="Normal 9 2 3 2 7 2 4" xfId="15393" xr:uid="{A2936804-5570-4C60-97E7-A034301F3502}"/>
    <cellStyle name="Normal 9 2 3 2 7 3" xfId="19616" xr:uid="{7EA4631A-3AB5-40C5-9DBD-A5AF4C27981B}"/>
    <cellStyle name="Normal 9 2 3 2 7 4" xfId="28061" xr:uid="{1596BE2C-A555-41DE-8FD7-FD5A92A4B807}"/>
    <cellStyle name="Normal 9 2 3 2 7 5" xfId="11175" xr:uid="{E38B00C7-B8D8-415E-BC76-C44705D53B91}"/>
    <cellStyle name="Normal 9 2 3 2 8" xfId="4886" xr:uid="{00000000-0005-0000-0000-0000341F0000}"/>
    <cellStyle name="Normal 9 2 3 2 8 2" xfId="21769" xr:uid="{9AFD1AD7-4A70-4511-9651-6FBFB206A6F4}"/>
    <cellStyle name="Normal 9 2 3 2 8 3" xfId="30215" xr:uid="{6EFFFC07-D06E-411F-8917-7C2876378A51}"/>
    <cellStyle name="Normal 9 2 3 2 8 4" xfId="13328" xr:uid="{054E9716-7B67-4656-B695-A51B1FAE6B4F}"/>
    <cellStyle name="Normal 9 2 3 2 9" xfId="17551" xr:uid="{F01DD817-A8B9-4BD3-B813-0A31A7E76BAC}"/>
    <cellStyle name="Normal 9 2 3 3" xfId="523" xr:uid="{00000000-0005-0000-0000-0000351F0000}"/>
    <cellStyle name="Normal 9 2 3 3 10" xfId="9112" xr:uid="{FDC36CEF-1B8F-49A6-877D-BBF57355BCD5}"/>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24329" xr:uid="{5062B218-F5AA-429C-90F0-B3BD72ABB588}"/>
    <cellStyle name="Normal 9 2 3 3 2 2 2 3" xfId="32775" xr:uid="{53B33C22-BDE2-42E8-8E1C-833884EA803B}"/>
    <cellStyle name="Normal 9 2 3 3 2 2 2 4" xfId="15888" xr:uid="{9E085501-4E02-4C8E-A653-38898D2C9B4D}"/>
    <cellStyle name="Normal 9 2 3 3 2 2 3" xfId="20111" xr:uid="{179A39FC-77D5-4C1C-AAEA-9F95BD532976}"/>
    <cellStyle name="Normal 9 2 3 3 2 2 4" xfId="28558" xr:uid="{085BEB7E-12AD-427F-BC51-F9793CF4F4DA}"/>
    <cellStyle name="Normal 9 2 3 3 2 2 5" xfId="11670" xr:uid="{D6CC608C-80B7-4945-BA2F-7AA8E656EEF7}"/>
    <cellStyle name="Normal 9 2 3 3 2 3" xfId="5301" xr:uid="{00000000-0005-0000-0000-0000391F0000}"/>
    <cellStyle name="Normal 9 2 3 3 2 3 2" xfId="22184" xr:uid="{3FEAE8BC-9AA1-4421-A43E-9411482F9A1C}"/>
    <cellStyle name="Normal 9 2 3 3 2 3 3" xfId="30630" xr:uid="{21735630-85C7-4058-9ACF-B6DFB1E2E8EC}"/>
    <cellStyle name="Normal 9 2 3 3 2 3 4" xfId="13743" xr:uid="{7916964A-181F-4368-B90A-35B9B4B8D4A9}"/>
    <cellStyle name="Normal 9 2 3 3 2 4" xfId="17966" xr:uid="{4EFCE34C-60F2-42FF-9D67-B6995045BDA8}"/>
    <cellStyle name="Normal 9 2 3 3 2 5" xfId="26411" xr:uid="{EA34C0BF-02C8-410E-A8D7-8180E7140F47}"/>
    <cellStyle name="Normal 9 2 3 3 2 6" xfId="9525" xr:uid="{A3C202F3-A212-4AD4-899A-9D5104F7BCA1}"/>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24742" xr:uid="{3B8666CA-3B05-4C2F-A923-97A1EFC983C3}"/>
    <cellStyle name="Normal 9 2 3 3 3 2 2 3" xfId="33188" xr:uid="{9347740B-2598-4C16-A03E-63422249BA45}"/>
    <cellStyle name="Normal 9 2 3 3 3 2 2 4" xfId="16301" xr:uid="{0BDC95E2-2998-4F2C-972E-49E87D4AE2F0}"/>
    <cellStyle name="Normal 9 2 3 3 3 2 3" xfId="20524" xr:uid="{343515EB-9EE8-462C-B5C7-EE793A2BC330}"/>
    <cellStyle name="Normal 9 2 3 3 3 2 4" xfId="28971" xr:uid="{8D64452D-A45A-4549-BDE7-45BDDC23EA58}"/>
    <cellStyle name="Normal 9 2 3 3 3 2 5" xfId="12083" xr:uid="{A0AEDD98-A496-4F79-A6D9-FE49023818D5}"/>
    <cellStyle name="Normal 9 2 3 3 3 3" xfId="5714" xr:uid="{00000000-0005-0000-0000-00003D1F0000}"/>
    <cellStyle name="Normal 9 2 3 3 3 3 2" xfId="22597" xr:uid="{93638C05-C36E-438D-85A9-B18C3DA7BDEC}"/>
    <cellStyle name="Normal 9 2 3 3 3 3 3" xfId="31043" xr:uid="{3DE8505A-67AB-4AA0-BA82-D70B3578D607}"/>
    <cellStyle name="Normal 9 2 3 3 3 3 4" xfId="14156" xr:uid="{87DC8314-2AB7-4203-8573-A8DB6D49231C}"/>
    <cellStyle name="Normal 9 2 3 3 3 4" xfId="18379" xr:uid="{5BC73B56-6A9C-4BDA-A1B4-DB985BF955CC}"/>
    <cellStyle name="Normal 9 2 3 3 3 5" xfId="26824" xr:uid="{DBF91B58-B52F-4958-B99F-EEDBD937CC4D}"/>
    <cellStyle name="Normal 9 2 3 3 3 6" xfId="9938" xr:uid="{3540876D-C3C7-4407-87BF-9E93226A74F1}"/>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25155" xr:uid="{43DED106-C105-47C1-B1FE-BE4B88112E9D}"/>
    <cellStyle name="Normal 9 2 3 3 4 2 2 3" xfId="33601" xr:uid="{960D39AD-BBE9-4122-8633-76BADAAF01D6}"/>
    <cellStyle name="Normal 9 2 3 3 4 2 2 4" xfId="16714" xr:uid="{91FFE699-2C20-45C2-B938-D3BAF1AC8AA0}"/>
    <cellStyle name="Normal 9 2 3 3 4 2 3" xfId="20937" xr:uid="{63C9F03C-3317-4A80-8756-51234CDFAD12}"/>
    <cellStyle name="Normal 9 2 3 3 4 2 4" xfId="29384" xr:uid="{9ABE8721-3CA0-45AB-A812-FF899865E65F}"/>
    <cellStyle name="Normal 9 2 3 3 4 2 5" xfId="12496" xr:uid="{201A252F-04CF-4AA7-8D71-5816629EE0A5}"/>
    <cellStyle name="Normal 9 2 3 3 4 3" xfId="6127" xr:uid="{00000000-0005-0000-0000-0000411F0000}"/>
    <cellStyle name="Normal 9 2 3 3 4 3 2" xfId="23010" xr:uid="{936854BC-645B-40E0-B4C9-8E0273EC1220}"/>
    <cellStyle name="Normal 9 2 3 3 4 3 3" xfId="31456" xr:uid="{A2CCC4E5-A6A3-4BC4-8165-2F8C96537D66}"/>
    <cellStyle name="Normal 9 2 3 3 4 3 4" xfId="14569" xr:uid="{405072D4-62B8-4720-8B60-EE21D56E8CB8}"/>
    <cellStyle name="Normal 9 2 3 3 4 4" xfId="18792" xr:uid="{502406D9-052F-40B3-AC0E-F6D89D23065E}"/>
    <cellStyle name="Normal 9 2 3 3 4 5" xfId="27237" xr:uid="{A2F9A2F9-A73F-4F3B-9A08-B987C9CA9F25}"/>
    <cellStyle name="Normal 9 2 3 3 4 6" xfId="10351" xr:uid="{C2D0CF0F-7114-45DF-9832-D2715D4DF933}"/>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25568" xr:uid="{27B3D05D-50C0-4D41-8B88-067D1616C7C6}"/>
    <cellStyle name="Normal 9 2 3 3 5 2 2 3" xfId="34014" xr:uid="{8F95B566-9BA3-40A8-B1B5-E48ABA561483}"/>
    <cellStyle name="Normal 9 2 3 3 5 2 2 4" xfId="17127" xr:uid="{43D2E6E4-B44C-4FED-907E-CC8E90C3FC15}"/>
    <cellStyle name="Normal 9 2 3 3 5 2 3" xfId="21350" xr:uid="{A930F0E9-4F5A-45ED-B1FA-61D19E42B105}"/>
    <cellStyle name="Normal 9 2 3 3 5 2 4" xfId="29797" xr:uid="{05C51F2E-AE3F-4407-AF6C-B08DCAC7AD90}"/>
    <cellStyle name="Normal 9 2 3 3 5 2 5" xfId="12909" xr:uid="{389A29BF-8718-4115-B018-6C4E0A62FAE5}"/>
    <cellStyle name="Normal 9 2 3 3 5 3" xfId="6540" xr:uid="{00000000-0005-0000-0000-0000451F0000}"/>
    <cellStyle name="Normal 9 2 3 3 5 3 2" xfId="23423" xr:uid="{CDE963BB-6EBA-43F6-A819-708315859376}"/>
    <cellStyle name="Normal 9 2 3 3 5 3 3" xfId="31869" xr:uid="{15F34922-EBED-4766-9B9A-AE132127D4B0}"/>
    <cellStyle name="Normal 9 2 3 3 5 3 4" xfId="14982" xr:uid="{7CB0E089-A0DF-478C-A5A8-64F4585F730A}"/>
    <cellStyle name="Normal 9 2 3 3 5 4" xfId="19205" xr:uid="{386365E3-C5F3-4A7A-8B60-5E8B6FD3C9A9}"/>
    <cellStyle name="Normal 9 2 3 3 5 5" xfId="27650" xr:uid="{B4EE823C-740E-44C6-838B-D9A3191CB73D}"/>
    <cellStyle name="Normal 9 2 3 3 5 6" xfId="10764" xr:uid="{070B7CF9-61AA-44EE-8969-4E4C6A90535B}"/>
    <cellStyle name="Normal 9 2 3 3 6" xfId="2669" xr:uid="{00000000-0005-0000-0000-0000461F0000}"/>
    <cellStyle name="Normal 9 2 3 3 6 2" xfId="6953" xr:uid="{00000000-0005-0000-0000-0000471F0000}"/>
    <cellStyle name="Normal 9 2 3 3 6 2 2" xfId="23836" xr:uid="{153CE2A4-1F77-42AC-AFF8-BA6662F21587}"/>
    <cellStyle name="Normal 9 2 3 3 6 2 3" xfId="32282" xr:uid="{DD9B51B8-FA73-4738-B554-AE0126B1205C}"/>
    <cellStyle name="Normal 9 2 3 3 6 2 4" xfId="15395" xr:uid="{D04ADEB0-619D-4750-8B0F-B34C67F1A6DD}"/>
    <cellStyle name="Normal 9 2 3 3 6 3" xfId="19618" xr:uid="{F3C0EF73-908B-43CF-8818-9E38C2041449}"/>
    <cellStyle name="Normal 9 2 3 3 6 4" xfId="28063" xr:uid="{04151FCA-400B-430F-B9A4-FF5671EA754F}"/>
    <cellStyle name="Normal 9 2 3 3 6 5" xfId="11177" xr:uid="{A1FDDA44-A2FB-477E-AD52-B1FA030CBB37}"/>
    <cellStyle name="Normal 9 2 3 3 7" xfId="4888" xr:uid="{00000000-0005-0000-0000-0000481F0000}"/>
    <cellStyle name="Normal 9 2 3 3 7 2" xfId="21771" xr:uid="{3E5E2DDC-A40C-49F5-83EF-54262C7739D5}"/>
    <cellStyle name="Normal 9 2 3 3 7 3" xfId="30217" xr:uid="{292FD72D-BDD3-464E-8E7B-2AFF50676FE4}"/>
    <cellStyle name="Normal 9 2 3 3 7 4" xfId="13330" xr:uid="{1A2D0782-C2EA-49EB-A8D1-4172AEC5654B}"/>
    <cellStyle name="Normal 9 2 3 3 8" xfId="17553" xr:uid="{31FA94EC-DD1B-4AFB-A4B6-0FEEB1792407}"/>
    <cellStyle name="Normal 9 2 3 3 9" xfId="25998" xr:uid="{D4F46628-FE80-4C3C-A4B3-CD4F911B338C}"/>
    <cellStyle name="Normal 9 2 3 4" xfId="987" xr:uid="{00000000-0005-0000-0000-0000491F0000}"/>
    <cellStyle name="Normal 9 2 3 4 2" xfId="3220" xr:uid="{00000000-0005-0000-0000-00004A1F0000}"/>
    <cellStyle name="Normal 9 2 3 4 2 2" xfId="7443" xr:uid="{00000000-0005-0000-0000-00004B1F0000}"/>
    <cellStyle name="Normal 9 2 3 4 2 2 2" xfId="24326" xr:uid="{C7900459-4955-4CA3-9288-56F0524350BF}"/>
    <cellStyle name="Normal 9 2 3 4 2 2 3" xfId="32772" xr:uid="{DB99AC2D-7ACF-4B95-879E-80FA152A179A}"/>
    <cellStyle name="Normal 9 2 3 4 2 2 4" xfId="15885" xr:uid="{C6CD6999-DB03-4837-A19F-DF03209BBAE1}"/>
    <cellStyle name="Normal 9 2 3 4 2 3" xfId="20108" xr:uid="{B566E33B-AD78-4E45-9A5F-008F61F46A29}"/>
    <cellStyle name="Normal 9 2 3 4 2 4" xfId="28555" xr:uid="{5B88C139-4CB8-4085-A6F9-3C828F238C26}"/>
    <cellStyle name="Normal 9 2 3 4 2 5" xfId="11667" xr:uid="{E8F47C04-7D20-430E-906F-4251A4084018}"/>
    <cellStyle name="Normal 9 2 3 4 3" xfId="5298" xr:uid="{00000000-0005-0000-0000-00004C1F0000}"/>
    <cellStyle name="Normal 9 2 3 4 3 2" xfId="22181" xr:uid="{A91348EF-9F31-46B0-8B37-22A8CA505187}"/>
    <cellStyle name="Normal 9 2 3 4 3 3" xfId="30627" xr:uid="{4E21611A-B088-4B07-BE3F-8EE2D74907AE}"/>
    <cellStyle name="Normal 9 2 3 4 3 4" xfId="13740" xr:uid="{878D488D-6EDA-4D1A-B2D5-4683D8255037}"/>
    <cellStyle name="Normal 9 2 3 4 4" xfId="17963" xr:uid="{2CF2B923-8E2C-4F8A-8856-44AF3573D5EC}"/>
    <cellStyle name="Normal 9 2 3 4 5" xfId="26408" xr:uid="{CABBFEFA-1E76-4A61-909E-75F86C6C8E99}"/>
    <cellStyle name="Normal 9 2 3 4 6" xfId="9522" xr:uid="{010038E4-F875-4CD3-BD97-3217AF754287}"/>
    <cellStyle name="Normal 9 2 3 5" xfId="1403" xr:uid="{00000000-0005-0000-0000-00004D1F0000}"/>
    <cellStyle name="Normal 9 2 3 5 2" xfId="3633" xr:uid="{00000000-0005-0000-0000-00004E1F0000}"/>
    <cellStyle name="Normal 9 2 3 5 2 2" xfId="7856" xr:uid="{00000000-0005-0000-0000-00004F1F0000}"/>
    <cellStyle name="Normal 9 2 3 5 2 2 2" xfId="24739" xr:uid="{35FF3DD9-2044-45C0-9E0D-8D653B847C49}"/>
    <cellStyle name="Normal 9 2 3 5 2 2 3" xfId="33185" xr:uid="{E0CA93C3-4027-441C-B77B-F2B5E2A0BEA2}"/>
    <cellStyle name="Normal 9 2 3 5 2 2 4" xfId="16298" xr:uid="{260F64D1-5930-42A4-A3BF-906DD53BAB0E}"/>
    <cellStyle name="Normal 9 2 3 5 2 3" xfId="20521" xr:uid="{F3FE9D35-3E42-4A78-8A5F-5535CE51C347}"/>
    <cellStyle name="Normal 9 2 3 5 2 4" xfId="28968" xr:uid="{BB051C51-BD9D-4DE5-A8A0-D197F06A0DCC}"/>
    <cellStyle name="Normal 9 2 3 5 2 5" xfId="12080" xr:uid="{81C1250F-E437-4734-918E-98107DFE1CF5}"/>
    <cellStyle name="Normal 9 2 3 5 3" xfId="5711" xr:uid="{00000000-0005-0000-0000-0000501F0000}"/>
    <cellStyle name="Normal 9 2 3 5 3 2" xfId="22594" xr:uid="{ABE3B0C3-8967-4713-8D1F-F1AACBE612E1}"/>
    <cellStyle name="Normal 9 2 3 5 3 3" xfId="31040" xr:uid="{07486EFE-601D-48D3-B084-6E475AB5A85A}"/>
    <cellStyle name="Normal 9 2 3 5 3 4" xfId="14153" xr:uid="{5F0D4251-9D14-4149-8A4E-B03EAFB3F455}"/>
    <cellStyle name="Normal 9 2 3 5 4" xfId="18376" xr:uid="{9DF839CA-95D3-4525-B627-EBBA58C7B986}"/>
    <cellStyle name="Normal 9 2 3 5 5" xfId="26821" xr:uid="{D60F65C1-A626-4B05-8017-BD66749FCBEC}"/>
    <cellStyle name="Normal 9 2 3 5 6" xfId="9935" xr:uid="{356A85D1-EDCF-48C2-B12C-F7EF4F9075A2}"/>
    <cellStyle name="Normal 9 2 3 6" xfId="1816" xr:uid="{00000000-0005-0000-0000-0000511F0000}"/>
    <cellStyle name="Normal 9 2 3 6 2" xfId="4046" xr:uid="{00000000-0005-0000-0000-0000521F0000}"/>
    <cellStyle name="Normal 9 2 3 6 2 2" xfId="8269" xr:uid="{00000000-0005-0000-0000-0000531F0000}"/>
    <cellStyle name="Normal 9 2 3 6 2 2 2" xfId="25152" xr:uid="{7307D755-46FD-434A-8C7F-9256A7163B94}"/>
    <cellStyle name="Normal 9 2 3 6 2 2 3" xfId="33598" xr:uid="{64C94B9A-8DF1-4213-9910-3143BD34A60A}"/>
    <cellStyle name="Normal 9 2 3 6 2 2 4" xfId="16711" xr:uid="{F5CE3229-131D-4B1C-AD38-255C633D3CEC}"/>
    <cellStyle name="Normal 9 2 3 6 2 3" xfId="20934" xr:uid="{C9F5F495-09B0-4925-9753-10824386A1CC}"/>
    <cellStyle name="Normal 9 2 3 6 2 4" xfId="29381" xr:uid="{AE103C27-5A66-4327-B8A2-5C179A8E3046}"/>
    <cellStyle name="Normal 9 2 3 6 2 5" xfId="12493" xr:uid="{11B9E16C-D27A-4AF0-B0C4-365721D3319F}"/>
    <cellStyle name="Normal 9 2 3 6 3" xfId="6124" xr:uid="{00000000-0005-0000-0000-0000541F0000}"/>
    <cellStyle name="Normal 9 2 3 6 3 2" xfId="23007" xr:uid="{B91B1839-97AD-47EA-8D98-911E91B58302}"/>
    <cellStyle name="Normal 9 2 3 6 3 3" xfId="31453" xr:uid="{D0DEF47E-45E5-4A54-9C4C-029DE6947139}"/>
    <cellStyle name="Normal 9 2 3 6 3 4" xfId="14566" xr:uid="{851F1077-F431-4333-8567-CEA5AB782E65}"/>
    <cellStyle name="Normal 9 2 3 6 4" xfId="18789" xr:uid="{72CE22C0-9E8D-446C-B925-D0D2F89DFB58}"/>
    <cellStyle name="Normal 9 2 3 6 5" xfId="27234" xr:uid="{5F405CBE-63B3-4D5E-AFD6-F3F21B12775B}"/>
    <cellStyle name="Normal 9 2 3 6 6" xfId="10348" xr:uid="{14DB9FCE-8946-4133-9686-4B79705ED32E}"/>
    <cellStyle name="Normal 9 2 3 7" xfId="2230" xr:uid="{00000000-0005-0000-0000-0000551F0000}"/>
    <cellStyle name="Normal 9 2 3 7 2" xfId="4459" xr:uid="{00000000-0005-0000-0000-0000561F0000}"/>
    <cellStyle name="Normal 9 2 3 7 2 2" xfId="8682" xr:uid="{00000000-0005-0000-0000-0000571F0000}"/>
    <cellStyle name="Normal 9 2 3 7 2 2 2" xfId="25565" xr:uid="{04380052-7366-427E-BB36-41E1FD9DED5D}"/>
    <cellStyle name="Normal 9 2 3 7 2 2 3" xfId="34011" xr:uid="{284B141E-9E2C-408A-AA72-0B923D938C3B}"/>
    <cellStyle name="Normal 9 2 3 7 2 2 4" xfId="17124" xr:uid="{D4CB9C46-A701-455C-952A-31C36974E39F}"/>
    <cellStyle name="Normal 9 2 3 7 2 3" xfId="21347" xr:uid="{D8ACFBC6-56D0-4037-B9AB-9E355DBC1395}"/>
    <cellStyle name="Normal 9 2 3 7 2 4" xfId="29794" xr:uid="{17C7199A-4445-41E9-8D0F-23E5C45C5DAF}"/>
    <cellStyle name="Normal 9 2 3 7 2 5" xfId="12906" xr:uid="{8CE73953-FDE7-495E-A39E-6AD6174C9C1B}"/>
    <cellStyle name="Normal 9 2 3 7 3" xfId="6537" xr:uid="{00000000-0005-0000-0000-0000581F0000}"/>
    <cellStyle name="Normal 9 2 3 7 3 2" xfId="23420" xr:uid="{61EEB334-94BD-4F74-9F2A-4B101C84512D}"/>
    <cellStyle name="Normal 9 2 3 7 3 3" xfId="31866" xr:uid="{62B3DA15-3321-4F15-8EA3-5E5BB85FF7CE}"/>
    <cellStyle name="Normal 9 2 3 7 3 4" xfId="14979" xr:uid="{D5BD3969-3E5E-43E7-9446-48A26141BF09}"/>
    <cellStyle name="Normal 9 2 3 7 4" xfId="19202" xr:uid="{009843A0-1768-483D-895E-CABC93AC3634}"/>
    <cellStyle name="Normal 9 2 3 7 5" xfId="27647" xr:uid="{6CE82C33-6088-443D-83A4-53928B7EF29C}"/>
    <cellStyle name="Normal 9 2 3 7 6" xfId="10761" xr:uid="{7A7166CF-6B3A-4907-A366-5AE48B3879D8}"/>
    <cellStyle name="Normal 9 2 3 8" xfId="2666" xr:uid="{00000000-0005-0000-0000-0000591F0000}"/>
    <cellStyle name="Normal 9 2 3 8 2" xfId="6950" xr:uid="{00000000-0005-0000-0000-00005A1F0000}"/>
    <cellStyle name="Normal 9 2 3 8 2 2" xfId="23833" xr:uid="{2F2F3E41-1E51-4BA0-9C68-22871B558CBD}"/>
    <cellStyle name="Normal 9 2 3 8 2 3" xfId="32279" xr:uid="{AA058C27-4ED9-4C29-B7FB-BAD78E8AA374}"/>
    <cellStyle name="Normal 9 2 3 8 2 4" xfId="15392" xr:uid="{20A1909B-5A10-47A0-8E28-116C03194437}"/>
    <cellStyle name="Normal 9 2 3 8 3" xfId="19615" xr:uid="{A45EF718-CBB0-4552-8950-95ED4BE5B1DA}"/>
    <cellStyle name="Normal 9 2 3 8 4" xfId="28060" xr:uid="{BDDDC65D-6CBC-4A39-AB87-C56AFD44D23C}"/>
    <cellStyle name="Normal 9 2 3 8 5" xfId="11174" xr:uid="{28B59E2D-3A57-4423-ACBC-7CCB85DD02F2}"/>
    <cellStyle name="Normal 9 2 3 9" xfId="4885" xr:uid="{00000000-0005-0000-0000-00005B1F0000}"/>
    <cellStyle name="Normal 9 2 3 9 2" xfId="21768" xr:uid="{12B9C932-AADB-4BF8-AD5A-3CC1CF32A886}"/>
    <cellStyle name="Normal 9 2 3 9 3" xfId="30214" xr:uid="{0ECD70AC-6E10-40F4-AFDE-219DBBC77317}"/>
    <cellStyle name="Normal 9 2 3 9 4" xfId="13327" xr:uid="{695901CD-7DE9-4B73-8BE0-027227BAF6E7}"/>
    <cellStyle name="Normal 9 2 4" xfId="524" xr:uid="{00000000-0005-0000-0000-00005C1F0000}"/>
    <cellStyle name="Normal 9 2 4 10" xfId="25999" xr:uid="{BC7DCF39-2ED5-48A4-B945-2064EE65B141}"/>
    <cellStyle name="Normal 9 2 4 11" xfId="9113" xr:uid="{D8A37638-278D-4803-8365-FBA9D63B04CB}"/>
    <cellStyle name="Normal 9 2 4 2" xfId="525" xr:uid="{00000000-0005-0000-0000-00005D1F0000}"/>
    <cellStyle name="Normal 9 2 4 2 10" xfId="9114" xr:uid="{F912DDF1-2DEE-46CF-AD32-6EE34565EE4D}"/>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24331" xr:uid="{81C92AEE-9224-481A-9F37-B1C35D16B9B1}"/>
    <cellStyle name="Normal 9 2 4 2 2 2 2 3" xfId="32777" xr:uid="{B1590306-4449-4D23-A6B1-A26EB35D1365}"/>
    <cellStyle name="Normal 9 2 4 2 2 2 2 4" xfId="15890" xr:uid="{87472E59-738E-489C-8785-9EB40BBB822E}"/>
    <cellStyle name="Normal 9 2 4 2 2 2 3" xfId="20113" xr:uid="{8BBFC154-9B3B-42BC-86C4-8DBD869B750F}"/>
    <cellStyle name="Normal 9 2 4 2 2 2 4" xfId="28560" xr:uid="{4264CEB9-4291-4BD0-AF25-A602A42216FD}"/>
    <cellStyle name="Normal 9 2 4 2 2 2 5" xfId="11672" xr:uid="{D52B9B60-EEC2-4EF5-B782-E594B3F12469}"/>
    <cellStyle name="Normal 9 2 4 2 2 3" xfId="5303" xr:uid="{00000000-0005-0000-0000-0000611F0000}"/>
    <cellStyle name="Normal 9 2 4 2 2 3 2" xfId="22186" xr:uid="{D8EF6F1D-DA24-446E-B70C-545CEC063C1C}"/>
    <cellStyle name="Normal 9 2 4 2 2 3 3" xfId="30632" xr:uid="{89DEAD8C-6531-4001-8C39-710F59261303}"/>
    <cellStyle name="Normal 9 2 4 2 2 3 4" xfId="13745" xr:uid="{F5A62277-A110-4E9D-8416-28C1F1078466}"/>
    <cellStyle name="Normal 9 2 4 2 2 4" xfId="17968" xr:uid="{E2F10CBD-313E-4D0B-BFE8-130B59E0F3AA}"/>
    <cellStyle name="Normal 9 2 4 2 2 5" xfId="26413" xr:uid="{4711A3C8-6F7C-484F-9BE7-6D4AEABDEC73}"/>
    <cellStyle name="Normal 9 2 4 2 2 6" xfId="9527" xr:uid="{C3BE206F-8FA1-4FF9-A258-938F8E401B27}"/>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24744" xr:uid="{B226D8D7-B849-4F6D-A4F8-E111A9EAB91E}"/>
    <cellStyle name="Normal 9 2 4 2 3 2 2 3" xfId="33190" xr:uid="{D6A8D05F-3FC8-43C1-93EE-96F8A553118C}"/>
    <cellStyle name="Normal 9 2 4 2 3 2 2 4" xfId="16303" xr:uid="{CDFC72AC-44CF-4134-B81B-A1349C134459}"/>
    <cellStyle name="Normal 9 2 4 2 3 2 3" xfId="20526" xr:uid="{775F74D3-3DC1-407D-A723-FEF72CDEB4C1}"/>
    <cellStyle name="Normal 9 2 4 2 3 2 4" xfId="28973" xr:uid="{EA707409-9F2A-4084-AFE8-28BE6F37D416}"/>
    <cellStyle name="Normal 9 2 4 2 3 2 5" xfId="12085" xr:uid="{2CB366D6-0643-4B14-A1F1-596E88A1F3E8}"/>
    <cellStyle name="Normal 9 2 4 2 3 3" xfId="5716" xr:uid="{00000000-0005-0000-0000-0000651F0000}"/>
    <cellStyle name="Normal 9 2 4 2 3 3 2" xfId="22599" xr:uid="{736BC2AD-C347-4FCB-BC48-8D07B92D17AC}"/>
    <cellStyle name="Normal 9 2 4 2 3 3 3" xfId="31045" xr:uid="{30C64A7C-E89A-4BD2-A503-8C7FD1675BB2}"/>
    <cellStyle name="Normal 9 2 4 2 3 3 4" xfId="14158" xr:uid="{6880A72E-2BB0-4D6F-8A4A-7FA484278CEE}"/>
    <cellStyle name="Normal 9 2 4 2 3 4" xfId="18381" xr:uid="{23603CA8-8FBA-4A1D-86D8-DA45DD21E81D}"/>
    <cellStyle name="Normal 9 2 4 2 3 5" xfId="26826" xr:uid="{2151F7D9-B873-4153-93ED-EE5803123261}"/>
    <cellStyle name="Normal 9 2 4 2 3 6" xfId="9940" xr:uid="{BDC8F8CA-08C8-407C-8E67-06F7D0F72FB2}"/>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25157" xr:uid="{A1057955-CEBE-47A3-8284-DC5A1E6A9D5C}"/>
    <cellStyle name="Normal 9 2 4 2 4 2 2 3" xfId="33603" xr:uid="{DE0ADF2C-3A40-408A-AFAF-9E43603EDD61}"/>
    <cellStyle name="Normal 9 2 4 2 4 2 2 4" xfId="16716" xr:uid="{EA98BAF1-B3EC-4A7C-BE03-95AE6CEE8589}"/>
    <cellStyle name="Normal 9 2 4 2 4 2 3" xfId="20939" xr:uid="{01A03D28-CFAC-42E3-B137-EE0C8D9C9D17}"/>
    <cellStyle name="Normal 9 2 4 2 4 2 4" xfId="29386" xr:uid="{64F5FCE8-E2E3-4AFF-BDB4-AC4DFCD8C622}"/>
    <cellStyle name="Normal 9 2 4 2 4 2 5" xfId="12498" xr:uid="{2005CDDD-34E2-4665-A649-BB029273EFE8}"/>
    <cellStyle name="Normal 9 2 4 2 4 3" xfId="6129" xr:uid="{00000000-0005-0000-0000-0000691F0000}"/>
    <cellStyle name="Normal 9 2 4 2 4 3 2" xfId="23012" xr:uid="{D9AEBA2F-0B6E-40D5-8A8D-0EF3479B39ED}"/>
    <cellStyle name="Normal 9 2 4 2 4 3 3" xfId="31458" xr:uid="{5A664837-6371-4C52-9876-54A9C1D3050F}"/>
    <cellStyle name="Normal 9 2 4 2 4 3 4" xfId="14571" xr:uid="{E454CEE9-FFBB-423F-9ADE-BDA060DFC1A9}"/>
    <cellStyle name="Normal 9 2 4 2 4 4" xfId="18794" xr:uid="{390315BF-41DC-41ED-A9B9-EB9DDA74A45A}"/>
    <cellStyle name="Normal 9 2 4 2 4 5" xfId="27239" xr:uid="{DE263454-C1CE-45E7-89EF-75507DDA9F52}"/>
    <cellStyle name="Normal 9 2 4 2 4 6" xfId="10353" xr:uid="{05017C5F-8595-4EC2-B4EA-A0CE728C27F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25570" xr:uid="{A67E2C36-55F4-4D05-AB49-F460E3F32D53}"/>
    <cellStyle name="Normal 9 2 4 2 5 2 2 3" xfId="34016" xr:uid="{D608C8D6-D1D0-4BCD-9CB1-D2CAF81F319A}"/>
    <cellStyle name="Normal 9 2 4 2 5 2 2 4" xfId="17129" xr:uid="{8CD6CFB9-4267-43C7-BCB5-4D566DBE243E}"/>
    <cellStyle name="Normal 9 2 4 2 5 2 3" xfId="21352" xr:uid="{7ED48FC0-73FC-4773-B7DD-D1728FB9BB75}"/>
    <cellStyle name="Normal 9 2 4 2 5 2 4" xfId="29799" xr:uid="{BB6B7349-7A93-4EED-8392-612723D91130}"/>
    <cellStyle name="Normal 9 2 4 2 5 2 5" xfId="12911" xr:uid="{42DFFE58-C7CD-4761-942C-9A738377F2CE}"/>
    <cellStyle name="Normal 9 2 4 2 5 3" xfId="6542" xr:uid="{00000000-0005-0000-0000-00006D1F0000}"/>
    <cellStyle name="Normal 9 2 4 2 5 3 2" xfId="23425" xr:uid="{92863F73-D717-4A27-AE86-718AFE729AED}"/>
    <cellStyle name="Normal 9 2 4 2 5 3 3" xfId="31871" xr:uid="{51FE9D9C-5850-4AFD-9312-77C7DEBC706C}"/>
    <cellStyle name="Normal 9 2 4 2 5 3 4" xfId="14984" xr:uid="{BF713A6B-4385-4DE8-B26D-1358CE05BEDF}"/>
    <cellStyle name="Normal 9 2 4 2 5 4" xfId="19207" xr:uid="{B1862AB8-2CA5-429A-BE03-2397345AAE5B}"/>
    <cellStyle name="Normal 9 2 4 2 5 5" xfId="27652" xr:uid="{38E19779-DC18-42B6-B1AA-1F9C73D02083}"/>
    <cellStyle name="Normal 9 2 4 2 5 6" xfId="10766" xr:uid="{19F9CD34-77BC-422B-A440-09899EDCB327}"/>
    <cellStyle name="Normal 9 2 4 2 6" xfId="2671" xr:uid="{00000000-0005-0000-0000-00006E1F0000}"/>
    <cellStyle name="Normal 9 2 4 2 6 2" xfId="6955" xr:uid="{00000000-0005-0000-0000-00006F1F0000}"/>
    <cellStyle name="Normal 9 2 4 2 6 2 2" xfId="23838" xr:uid="{09FFC87D-5F3E-4D87-9970-63611BF96428}"/>
    <cellStyle name="Normal 9 2 4 2 6 2 3" xfId="32284" xr:uid="{31A85755-B2BE-4E9F-883B-29133FA80511}"/>
    <cellStyle name="Normal 9 2 4 2 6 2 4" xfId="15397" xr:uid="{23E8AB5F-4F7C-4509-AEB8-2ABC621E0E4F}"/>
    <cellStyle name="Normal 9 2 4 2 6 3" xfId="19620" xr:uid="{74E3D751-05F6-4B6F-A8E4-B81123009120}"/>
    <cellStyle name="Normal 9 2 4 2 6 4" xfId="28065" xr:uid="{DFB33C04-06D8-44A1-B2FC-E56A11893A66}"/>
    <cellStyle name="Normal 9 2 4 2 6 5" xfId="11179" xr:uid="{DB103DD6-DB7F-41E2-8BF8-C238C86FAD0B}"/>
    <cellStyle name="Normal 9 2 4 2 7" xfId="4890" xr:uid="{00000000-0005-0000-0000-0000701F0000}"/>
    <cellStyle name="Normal 9 2 4 2 7 2" xfId="21773" xr:uid="{DDA6FAA2-8361-49EB-A9B8-047050CB8B87}"/>
    <cellStyle name="Normal 9 2 4 2 7 3" xfId="30219" xr:uid="{378A7842-3EA3-460C-9379-FDAD5AB84CC6}"/>
    <cellStyle name="Normal 9 2 4 2 7 4" xfId="13332" xr:uid="{2BF888B0-F23A-4A44-A1E4-A13723982081}"/>
    <cellStyle name="Normal 9 2 4 2 8" xfId="17555" xr:uid="{2A644972-3B5D-438C-BB89-878F11D9F02F}"/>
    <cellStyle name="Normal 9 2 4 2 9" xfId="26000" xr:uid="{E191C92D-689B-45FC-99EA-2F73E9A4FB04}"/>
    <cellStyle name="Normal 9 2 4 3" xfId="991" xr:uid="{00000000-0005-0000-0000-0000711F0000}"/>
    <cellStyle name="Normal 9 2 4 3 2" xfId="3224" xr:uid="{00000000-0005-0000-0000-0000721F0000}"/>
    <cellStyle name="Normal 9 2 4 3 2 2" xfId="7447" xr:uid="{00000000-0005-0000-0000-0000731F0000}"/>
    <cellStyle name="Normal 9 2 4 3 2 2 2" xfId="24330" xr:uid="{555DC79C-6F76-45F1-B57C-9732BC986299}"/>
    <cellStyle name="Normal 9 2 4 3 2 2 3" xfId="32776" xr:uid="{C75CDA3B-F8C3-4725-BB0A-EC55636D380A}"/>
    <cellStyle name="Normal 9 2 4 3 2 2 4" xfId="15889" xr:uid="{790A2EEC-809A-4B01-9FF6-ED8F5B83EC4C}"/>
    <cellStyle name="Normal 9 2 4 3 2 3" xfId="20112" xr:uid="{B0484E40-CFA7-47AF-A7EB-3C2ED0575611}"/>
    <cellStyle name="Normal 9 2 4 3 2 4" xfId="28559" xr:uid="{47C982A0-B23C-4582-AF50-A1D51475ECBC}"/>
    <cellStyle name="Normal 9 2 4 3 2 5" xfId="11671" xr:uid="{4479138B-099B-40FB-AC4D-73AF57DFB5D4}"/>
    <cellStyle name="Normal 9 2 4 3 3" xfId="5302" xr:uid="{00000000-0005-0000-0000-0000741F0000}"/>
    <cellStyle name="Normal 9 2 4 3 3 2" xfId="22185" xr:uid="{C13371EE-117E-4A67-BF2E-2F6090487158}"/>
    <cellStyle name="Normal 9 2 4 3 3 3" xfId="30631" xr:uid="{E4856F77-41E6-42F6-9FEB-463A4B4223CF}"/>
    <cellStyle name="Normal 9 2 4 3 3 4" xfId="13744" xr:uid="{AD1BAE7C-1B2F-402B-B8D1-2F127F18E89B}"/>
    <cellStyle name="Normal 9 2 4 3 4" xfId="17967" xr:uid="{C7393F38-87E5-4B3A-80D7-D57DBB68FAA5}"/>
    <cellStyle name="Normal 9 2 4 3 5" xfId="26412" xr:uid="{172AC37E-1DDC-4DC4-AC37-A11B583D5696}"/>
    <cellStyle name="Normal 9 2 4 3 6" xfId="9526" xr:uid="{1217B21B-3EC6-4A49-8786-937905047127}"/>
    <cellStyle name="Normal 9 2 4 4" xfId="1407" xr:uid="{00000000-0005-0000-0000-0000751F0000}"/>
    <cellStyle name="Normal 9 2 4 4 2" xfId="3637" xr:uid="{00000000-0005-0000-0000-0000761F0000}"/>
    <cellStyle name="Normal 9 2 4 4 2 2" xfId="7860" xr:uid="{00000000-0005-0000-0000-0000771F0000}"/>
    <cellStyle name="Normal 9 2 4 4 2 2 2" xfId="24743" xr:uid="{00EAFDD4-2B05-40E9-8ECC-F88383BF5084}"/>
    <cellStyle name="Normal 9 2 4 4 2 2 3" xfId="33189" xr:uid="{459B6791-2364-40A3-A4BC-DFF39F8F518C}"/>
    <cellStyle name="Normal 9 2 4 4 2 2 4" xfId="16302" xr:uid="{F3BE8F9F-3D5E-46D8-ADA7-1EB0F8C58BC9}"/>
    <cellStyle name="Normal 9 2 4 4 2 3" xfId="20525" xr:uid="{198FDDF0-A3A6-405E-80A4-AE121619DF0F}"/>
    <cellStyle name="Normal 9 2 4 4 2 4" xfId="28972" xr:uid="{C657F7D2-D5A6-4913-B7A7-0FE7368103B8}"/>
    <cellStyle name="Normal 9 2 4 4 2 5" xfId="12084" xr:uid="{CEA6B169-6685-485E-9ED2-C55E0BFC6683}"/>
    <cellStyle name="Normal 9 2 4 4 3" xfId="5715" xr:uid="{00000000-0005-0000-0000-0000781F0000}"/>
    <cellStyle name="Normal 9 2 4 4 3 2" xfId="22598" xr:uid="{D7986F39-6DCB-4CA5-9B7E-AF8D294CA936}"/>
    <cellStyle name="Normal 9 2 4 4 3 3" xfId="31044" xr:uid="{E032DA49-0A60-408F-8066-2E902FB8A516}"/>
    <cellStyle name="Normal 9 2 4 4 3 4" xfId="14157" xr:uid="{5859EEE9-EFF0-4099-844F-A3FE73C16386}"/>
    <cellStyle name="Normal 9 2 4 4 4" xfId="18380" xr:uid="{4F732E6E-4F5D-49B8-9F78-4480A96D3533}"/>
    <cellStyle name="Normal 9 2 4 4 5" xfId="26825" xr:uid="{C8A9D3CC-9404-4422-BD9B-B349F7B5353A}"/>
    <cellStyle name="Normal 9 2 4 4 6" xfId="9939" xr:uid="{3CF6CE0A-520A-4B62-B6EB-912CB2EC6F13}"/>
    <cellStyle name="Normal 9 2 4 5" xfId="1820" xr:uid="{00000000-0005-0000-0000-0000791F0000}"/>
    <cellStyle name="Normal 9 2 4 5 2" xfId="4050" xr:uid="{00000000-0005-0000-0000-00007A1F0000}"/>
    <cellStyle name="Normal 9 2 4 5 2 2" xfId="8273" xr:uid="{00000000-0005-0000-0000-00007B1F0000}"/>
    <cellStyle name="Normal 9 2 4 5 2 2 2" xfId="25156" xr:uid="{9FEA7DFB-8BFC-452A-98CF-82EF98F441AF}"/>
    <cellStyle name="Normal 9 2 4 5 2 2 3" xfId="33602" xr:uid="{BD76761F-BF2A-493F-96BB-6BC7AD87017E}"/>
    <cellStyle name="Normal 9 2 4 5 2 2 4" xfId="16715" xr:uid="{1280F634-E684-4803-BD54-B721F135442C}"/>
    <cellStyle name="Normal 9 2 4 5 2 3" xfId="20938" xr:uid="{9A117FD1-9114-42D4-929D-C7194EE2078B}"/>
    <cellStyle name="Normal 9 2 4 5 2 4" xfId="29385" xr:uid="{CBCCE212-B287-4DAD-8091-D0578EB984FD}"/>
    <cellStyle name="Normal 9 2 4 5 2 5" xfId="12497" xr:uid="{5D714C53-3558-437A-AA5F-7F63BD6767BC}"/>
    <cellStyle name="Normal 9 2 4 5 3" xfId="6128" xr:uid="{00000000-0005-0000-0000-00007C1F0000}"/>
    <cellStyle name="Normal 9 2 4 5 3 2" xfId="23011" xr:uid="{F5D766CF-8696-4B83-9630-FAC088646BEF}"/>
    <cellStyle name="Normal 9 2 4 5 3 3" xfId="31457" xr:uid="{4D18D510-E879-46B3-8916-31302A30FE7D}"/>
    <cellStyle name="Normal 9 2 4 5 3 4" xfId="14570" xr:uid="{A8563687-54F6-4AA4-828C-AA6DD6E552DC}"/>
    <cellStyle name="Normal 9 2 4 5 4" xfId="18793" xr:uid="{760D78D0-AFC2-49DA-B2CF-B2FD3523DBE8}"/>
    <cellStyle name="Normal 9 2 4 5 5" xfId="27238" xr:uid="{63D4A959-4F13-46B2-A181-C66518C4F86B}"/>
    <cellStyle name="Normal 9 2 4 5 6" xfId="10352" xr:uid="{4EC0BC81-62AB-4ADC-B89E-2178C5C8CEED}"/>
    <cellStyle name="Normal 9 2 4 6" xfId="2234" xr:uid="{00000000-0005-0000-0000-00007D1F0000}"/>
    <cellStyle name="Normal 9 2 4 6 2" xfId="4463" xr:uid="{00000000-0005-0000-0000-00007E1F0000}"/>
    <cellStyle name="Normal 9 2 4 6 2 2" xfId="8686" xr:uid="{00000000-0005-0000-0000-00007F1F0000}"/>
    <cellStyle name="Normal 9 2 4 6 2 2 2" xfId="25569" xr:uid="{DBF7CDE3-3FAA-41C9-B896-30DF891B0E11}"/>
    <cellStyle name="Normal 9 2 4 6 2 2 3" xfId="34015" xr:uid="{15143D5F-9900-48E6-88D5-ED84D3079ABA}"/>
    <cellStyle name="Normal 9 2 4 6 2 2 4" xfId="17128" xr:uid="{A1875D4E-9A8A-4DC1-970D-25A5CD43CC6E}"/>
    <cellStyle name="Normal 9 2 4 6 2 3" xfId="21351" xr:uid="{EC6885A2-478A-431E-ACFB-D4CA5D6EA18F}"/>
    <cellStyle name="Normal 9 2 4 6 2 4" xfId="29798" xr:uid="{7FB13470-EBDB-45F0-B67C-42650FBDEAEB}"/>
    <cellStyle name="Normal 9 2 4 6 2 5" xfId="12910" xr:uid="{F9FEFF72-0821-4B88-9710-96757D5ECC89}"/>
    <cellStyle name="Normal 9 2 4 6 3" xfId="6541" xr:uid="{00000000-0005-0000-0000-0000801F0000}"/>
    <cellStyle name="Normal 9 2 4 6 3 2" xfId="23424" xr:uid="{057ABD7A-D93B-4335-BFB9-71FDE43C15AB}"/>
    <cellStyle name="Normal 9 2 4 6 3 3" xfId="31870" xr:uid="{FB978473-0831-4351-8DE5-C51902F6F8BD}"/>
    <cellStyle name="Normal 9 2 4 6 3 4" xfId="14983" xr:uid="{BAD96F80-9642-4D42-9703-26EC73667E64}"/>
    <cellStyle name="Normal 9 2 4 6 4" xfId="19206" xr:uid="{2758DD8E-109A-4FDF-A4CB-609A62D1C283}"/>
    <cellStyle name="Normal 9 2 4 6 5" xfId="27651" xr:uid="{6C629F58-A09B-4683-A9A5-0DD95FF4AD46}"/>
    <cellStyle name="Normal 9 2 4 6 6" xfId="10765" xr:uid="{6A0C64C9-6A26-422E-82E0-531475FEED1A}"/>
    <cellStyle name="Normal 9 2 4 7" xfId="2670" xr:uid="{00000000-0005-0000-0000-0000811F0000}"/>
    <cellStyle name="Normal 9 2 4 7 2" xfId="6954" xr:uid="{00000000-0005-0000-0000-0000821F0000}"/>
    <cellStyle name="Normal 9 2 4 7 2 2" xfId="23837" xr:uid="{86F86939-C7A2-450D-A09A-A1380A322248}"/>
    <cellStyle name="Normal 9 2 4 7 2 3" xfId="32283" xr:uid="{64B7CD07-47A3-4F8B-8D30-DA142ED67A67}"/>
    <cellStyle name="Normal 9 2 4 7 2 4" xfId="15396" xr:uid="{88F54A6A-D635-42D8-97FD-04748796761E}"/>
    <cellStyle name="Normal 9 2 4 7 3" xfId="19619" xr:uid="{76FF4AC1-8B33-4B82-A490-EA07D9586EAF}"/>
    <cellStyle name="Normal 9 2 4 7 4" xfId="28064" xr:uid="{BADA3379-98A9-41BB-8084-96B8C9754F7B}"/>
    <cellStyle name="Normal 9 2 4 7 5" xfId="11178" xr:uid="{0B60646B-FE38-43A7-9AF0-5E7A129514BB}"/>
    <cellStyle name="Normal 9 2 4 8" xfId="4889" xr:uid="{00000000-0005-0000-0000-0000831F0000}"/>
    <cellStyle name="Normal 9 2 4 8 2" xfId="21772" xr:uid="{A1702FC2-223F-4605-95A2-A4C707A7D1B8}"/>
    <cellStyle name="Normal 9 2 4 8 3" xfId="30218" xr:uid="{906A2E79-BD98-4B34-A757-312B2F7A854D}"/>
    <cellStyle name="Normal 9 2 4 8 4" xfId="13331" xr:uid="{22B5316E-1CD5-44AB-9D97-2AAC35E7DA27}"/>
    <cellStyle name="Normal 9 2 4 9" xfId="17554" xr:uid="{C697CC37-3093-4E17-93CA-8E8B38960763}"/>
    <cellStyle name="Normal 9 2 5" xfId="526" xr:uid="{00000000-0005-0000-0000-0000841F0000}"/>
    <cellStyle name="Normal 9 2 5 10" xfId="9115" xr:uid="{C921AFA9-74F4-40D7-B894-EBEBB9344AD5}"/>
    <cellStyle name="Normal 9 2 5 2" xfId="993" xr:uid="{00000000-0005-0000-0000-0000851F0000}"/>
    <cellStyle name="Normal 9 2 5 2 2" xfId="3226" xr:uid="{00000000-0005-0000-0000-0000861F0000}"/>
    <cellStyle name="Normal 9 2 5 2 2 2" xfId="7449" xr:uid="{00000000-0005-0000-0000-0000871F0000}"/>
    <cellStyle name="Normal 9 2 5 2 2 2 2" xfId="24332" xr:uid="{3A1A1335-B8C9-4012-9208-89E50A23A0DB}"/>
    <cellStyle name="Normal 9 2 5 2 2 2 3" xfId="32778" xr:uid="{14769989-0598-4A95-88AD-6E2D2A81AACC}"/>
    <cellStyle name="Normal 9 2 5 2 2 2 4" xfId="15891" xr:uid="{2368F5FA-9A89-49D2-A102-4AAAEC590FA1}"/>
    <cellStyle name="Normal 9 2 5 2 2 3" xfId="20114" xr:uid="{F5394CA1-11D3-422A-92D2-D70C635E147E}"/>
    <cellStyle name="Normal 9 2 5 2 2 4" xfId="28561" xr:uid="{C98BE4E1-2AC2-4E74-A5E7-82C873107342}"/>
    <cellStyle name="Normal 9 2 5 2 2 5" xfId="11673" xr:uid="{00F15221-6BEC-440A-B7A3-6C6BFF9BC08F}"/>
    <cellStyle name="Normal 9 2 5 2 3" xfId="5304" xr:uid="{00000000-0005-0000-0000-0000881F0000}"/>
    <cellStyle name="Normal 9 2 5 2 3 2" xfId="22187" xr:uid="{B431DB0C-9D1D-4C4E-9755-CE248CB79E46}"/>
    <cellStyle name="Normal 9 2 5 2 3 3" xfId="30633" xr:uid="{430A4D3A-8869-4CDD-8EF4-F3099BE17B1E}"/>
    <cellStyle name="Normal 9 2 5 2 3 4" xfId="13746" xr:uid="{4C81DBB2-F933-4373-BD61-CE04819210FA}"/>
    <cellStyle name="Normal 9 2 5 2 4" xfId="17969" xr:uid="{129E3C26-F3C8-4166-9C24-447163F02131}"/>
    <cellStyle name="Normal 9 2 5 2 5" xfId="26414" xr:uid="{D3EBA85F-B3E0-4E6E-B43B-8ABA5E00321B}"/>
    <cellStyle name="Normal 9 2 5 2 6" xfId="9528" xr:uid="{B0EF3B01-F899-48BD-B24B-DDF57F6C3032}"/>
    <cellStyle name="Normal 9 2 5 3" xfId="1409" xr:uid="{00000000-0005-0000-0000-0000891F0000}"/>
    <cellStyle name="Normal 9 2 5 3 2" xfId="3639" xr:uid="{00000000-0005-0000-0000-00008A1F0000}"/>
    <cellStyle name="Normal 9 2 5 3 2 2" xfId="7862" xr:uid="{00000000-0005-0000-0000-00008B1F0000}"/>
    <cellStyle name="Normal 9 2 5 3 2 2 2" xfId="24745" xr:uid="{B1AAB5AF-CDF1-4329-93D4-E2A903F02FF9}"/>
    <cellStyle name="Normal 9 2 5 3 2 2 3" xfId="33191" xr:uid="{53AD59A1-43B8-45C5-9C0F-B11B47AA8784}"/>
    <cellStyle name="Normal 9 2 5 3 2 2 4" xfId="16304" xr:uid="{9F7F20C5-5035-4A48-9DD6-1D989CE06309}"/>
    <cellStyle name="Normal 9 2 5 3 2 3" xfId="20527" xr:uid="{8320A918-A94C-4594-BD1D-AB0CDB86E7FA}"/>
    <cellStyle name="Normal 9 2 5 3 2 4" xfId="28974" xr:uid="{DE6D95A2-084F-4385-96C2-D5ACAC48D2EA}"/>
    <cellStyle name="Normal 9 2 5 3 2 5" xfId="12086" xr:uid="{F5830A81-11D1-4A31-92BB-CD193BCDA83D}"/>
    <cellStyle name="Normal 9 2 5 3 3" xfId="5717" xr:uid="{00000000-0005-0000-0000-00008C1F0000}"/>
    <cellStyle name="Normal 9 2 5 3 3 2" xfId="22600" xr:uid="{05466E53-6E9E-4E9A-8007-5D5117374BF6}"/>
    <cellStyle name="Normal 9 2 5 3 3 3" xfId="31046" xr:uid="{067FB8E6-8E49-4AD2-8F11-170C946415C4}"/>
    <cellStyle name="Normal 9 2 5 3 3 4" xfId="14159" xr:uid="{62363210-F017-4C94-AE42-5B36DA2AAB1C}"/>
    <cellStyle name="Normal 9 2 5 3 4" xfId="18382" xr:uid="{B530B0ED-4ACE-48FB-8B72-CF51B07E6BA7}"/>
    <cellStyle name="Normal 9 2 5 3 5" xfId="26827" xr:uid="{FB1998BF-C06E-4E7E-9D56-63D4580E83FE}"/>
    <cellStyle name="Normal 9 2 5 3 6" xfId="9941" xr:uid="{4D48F038-E492-4272-A5F1-F5C8DB888CB8}"/>
    <cellStyle name="Normal 9 2 5 4" xfId="1822" xr:uid="{00000000-0005-0000-0000-00008D1F0000}"/>
    <cellStyle name="Normal 9 2 5 4 2" xfId="4052" xr:uid="{00000000-0005-0000-0000-00008E1F0000}"/>
    <cellStyle name="Normal 9 2 5 4 2 2" xfId="8275" xr:uid="{00000000-0005-0000-0000-00008F1F0000}"/>
    <cellStyle name="Normal 9 2 5 4 2 2 2" xfId="25158" xr:uid="{ECC42C08-99E2-4FF4-9FDE-E41EFD63F03B}"/>
    <cellStyle name="Normal 9 2 5 4 2 2 3" xfId="33604" xr:uid="{BDD9D654-FB8B-4D92-83FC-1842F82F13EA}"/>
    <cellStyle name="Normal 9 2 5 4 2 2 4" xfId="16717" xr:uid="{3CB86CAC-BFC9-48B5-BAD2-FE28A7CE7944}"/>
    <cellStyle name="Normal 9 2 5 4 2 3" xfId="20940" xr:uid="{668B9549-8499-4AA5-B31E-801AB2FC990B}"/>
    <cellStyle name="Normal 9 2 5 4 2 4" xfId="29387" xr:uid="{28646A4B-2760-440D-96A2-9593DBAB95F4}"/>
    <cellStyle name="Normal 9 2 5 4 2 5" xfId="12499" xr:uid="{393E9782-DAFF-4B8E-9126-72588299C323}"/>
    <cellStyle name="Normal 9 2 5 4 3" xfId="6130" xr:uid="{00000000-0005-0000-0000-0000901F0000}"/>
    <cellStyle name="Normal 9 2 5 4 3 2" xfId="23013" xr:uid="{8D1A264F-D59B-4C19-8AED-BEBAE02D0AB8}"/>
    <cellStyle name="Normal 9 2 5 4 3 3" xfId="31459" xr:uid="{5B5506F3-F9FD-44F4-812D-8F1C1DE316E7}"/>
    <cellStyle name="Normal 9 2 5 4 3 4" xfId="14572" xr:uid="{40ED2053-D8CB-423E-BD12-FA21664BD4C7}"/>
    <cellStyle name="Normal 9 2 5 4 4" xfId="18795" xr:uid="{53CE0310-A9D6-44AB-A386-DAE18FE5F686}"/>
    <cellStyle name="Normal 9 2 5 4 5" xfId="27240" xr:uid="{CE893F07-0316-4F88-BF60-60B731E15698}"/>
    <cellStyle name="Normal 9 2 5 4 6" xfId="10354" xr:uid="{CE3AEDE5-324E-459B-BB77-7746EB44CEC4}"/>
    <cellStyle name="Normal 9 2 5 5" xfId="2236" xr:uid="{00000000-0005-0000-0000-0000911F0000}"/>
    <cellStyle name="Normal 9 2 5 5 2" xfId="4465" xr:uid="{00000000-0005-0000-0000-0000921F0000}"/>
    <cellStyle name="Normal 9 2 5 5 2 2" xfId="8688" xr:uid="{00000000-0005-0000-0000-0000931F0000}"/>
    <cellStyle name="Normal 9 2 5 5 2 2 2" xfId="25571" xr:uid="{EEA1DF33-0EB6-45F9-86E4-5735E38CD230}"/>
    <cellStyle name="Normal 9 2 5 5 2 2 3" xfId="34017" xr:uid="{FBBE868C-635B-43FB-AC28-385ED2283E88}"/>
    <cellStyle name="Normal 9 2 5 5 2 2 4" xfId="17130" xr:uid="{6B904032-4AD3-4E3F-9DEE-BF8CCB7DD126}"/>
    <cellStyle name="Normal 9 2 5 5 2 3" xfId="21353" xr:uid="{CA48AEEA-84D7-42A8-BDA4-FE9616B1C76C}"/>
    <cellStyle name="Normal 9 2 5 5 2 4" xfId="29800" xr:uid="{6732051F-149C-49BE-B431-8A4B57536343}"/>
    <cellStyle name="Normal 9 2 5 5 2 5" xfId="12912" xr:uid="{3B311C3E-DAE0-489B-8501-77B74DC1E878}"/>
    <cellStyle name="Normal 9 2 5 5 3" xfId="6543" xr:uid="{00000000-0005-0000-0000-0000941F0000}"/>
    <cellStyle name="Normal 9 2 5 5 3 2" xfId="23426" xr:uid="{99C4F593-F0FA-43E2-B09A-9B7526D0CD9A}"/>
    <cellStyle name="Normal 9 2 5 5 3 3" xfId="31872" xr:uid="{F6E24A74-EE13-470A-852C-E08B46472BF3}"/>
    <cellStyle name="Normal 9 2 5 5 3 4" xfId="14985" xr:uid="{9723D5CC-456F-4345-99F8-1F6BE9BEF876}"/>
    <cellStyle name="Normal 9 2 5 5 4" xfId="19208" xr:uid="{DC929297-1F43-482E-A191-F0D8EEFBC0FC}"/>
    <cellStyle name="Normal 9 2 5 5 5" xfId="27653" xr:uid="{2A89E788-5501-4EC6-B5B5-A9739B30FEEC}"/>
    <cellStyle name="Normal 9 2 5 5 6" xfId="10767" xr:uid="{3AE8DA06-9D8E-4E85-826B-CBB1BE4AF212}"/>
    <cellStyle name="Normal 9 2 5 6" xfId="2672" xr:uid="{00000000-0005-0000-0000-0000951F0000}"/>
    <cellStyle name="Normal 9 2 5 6 2" xfId="6956" xr:uid="{00000000-0005-0000-0000-0000961F0000}"/>
    <cellStyle name="Normal 9 2 5 6 2 2" xfId="23839" xr:uid="{70377BE5-91FE-44BB-9D5B-47B5904DA129}"/>
    <cellStyle name="Normal 9 2 5 6 2 3" xfId="32285" xr:uid="{5657A371-193C-4BD1-ADFF-3DD750166861}"/>
    <cellStyle name="Normal 9 2 5 6 2 4" xfId="15398" xr:uid="{C0A18454-2990-4FFA-A415-A7B24B131829}"/>
    <cellStyle name="Normal 9 2 5 6 3" xfId="19621" xr:uid="{CC44D643-B269-4064-86AD-D6429C523D25}"/>
    <cellStyle name="Normal 9 2 5 6 4" xfId="28066" xr:uid="{75A3DA9B-33FA-4C3F-A7D6-9F3AFBCB079F}"/>
    <cellStyle name="Normal 9 2 5 6 5" xfId="11180" xr:uid="{2CE483D5-046F-4C3C-A342-8C5273CA747F}"/>
    <cellStyle name="Normal 9 2 5 7" xfId="4891" xr:uid="{00000000-0005-0000-0000-0000971F0000}"/>
    <cellStyle name="Normal 9 2 5 7 2" xfId="21774" xr:uid="{A66A4F0C-8E46-4D40-89FE-1C4598A561D2}"/>
    <cellStyle name="Normal 9 2 5 7 3" xfId="30220" xr:uid="{F26EFDDB-8DBE-48A4-BD2B-5EFF80591D7C}"/>
    <cellStyle name="Normal 9 2 5 7 4" xfId="13333" xr:uid="{4B7E66FA-D4CB-47EA-AF36-EF6F65628CEA}"/>
    <cellStyle name="Normal 9 2 5 8" xfId="17556" xr:uid="{099A4C30-653F-4A4A-8650-B7FFF02E6282}"/>
    <cellStyle name="Normal 9 2 5 9" xfId="26001" xr:uid="{A22C1504-DB17-4394-A1B9-1CDFE81A1D0E}"/>
    <cellStyle name="Normal 9 2 6" xfId="978" xr:uid="{00000000-0005-0000-0000-0000981F0000}"/>
    <cellStyle name="Normal 9 2 6 2" xfId="3211" xr:uid="{00000000-0005-0000-0000-0000991F0000}"/>
    <cellStyle name="Normal 9 2 6 2 2" xfId="7434" xr:uid="{00000000-0005-0000-0000-00009A1F0000}"/>
    <cellStyle name="Normal 9 2 6 2 2 2" xfId="24317" xr:uid="{B6931B71-1EDF-46C1-8209-8853208653B1}"/>
    <cellStyle name="Normal 9 2 6 2 2 3" xfId="32763" xr:uid="{6B2419C3-D5CB-4BBC-A655-6CBE6A8DE0A3}"/>
    <cellStyle name="Normal 9 2 6 2 2 4" xfId="15876" xr:uid="{E26A8F2A-D427-43EE-AD9E-9CDA36C0B76D}"/>
    <cellStyle name="Normal 9 2 6 2 3" xfId="20099" xr:uid="{67023AFA-4462-490C-8AEB-D4ED2A3B550D}"/>
    <cellStyle name="Normal 9 2 6 2 4" xfId="28546" xr:uid="{AD4A6129-128A-4325-8B0D-4D7B6A99F21D}"/>
    <cellStyle name="Normal 9 2 6 2 5" xfId="11658" xr:uid="{B0B58FD0-DEC5-4CD1-A962-7A7BBCE18796}"/>
    <cellStyle name="Normal 9 2 6 3" xfId="5289" xr:uid="{00000000-0005-0000-0000-00009B1F0000}"/>
    <cellStyle name="Normal 9 2 6 3 2" xfId="22172" xr:uid="{AFF6EEC7-0229-47AF-AD0E-01C5FB76FF8F}"/>
    <cellStyle name="Normal 9 2 6 3 3" xfId="30618" xr:uid="{05E0F10B-08D9-4D56-B319-AEAB28074F84}"/>
    <cellStyle name="Normal 9 2 6 3 4" xfId="13731" xr:uid="{E2A9AEE0-CE4B-4A06-A8EF-988BC8E08029}"/>
    <cellStyle name="Normal 9 2 6 4" xfId="17954" xr:uid="{86669B9B-B86F-44FF-B61E-68E1400BD17A}"/>
    <cellStyle name="Normal 9 2 6 5" xfId="26399" xr:uid="{40AD8E8C-1F62-414E-8095-AB1A31B360D2}"/>
    <cellStyle name="Normal 9 2 6 6" xfId="9513" xr:uid="{59C584ED-8734-41B6-8B13-A2B383007D63}"/>
    <cellStyle name="Normal 9 2 7" xfId="1394" xr:uid="{00000000-0005-0000-0000-00009C1F0000}"/>
    <cellStyle name="Normal 9 2 7 2" xfId="3624" xr:uid="{00000000-0005-0000-0000-00009D1F0000}"/>
    <cellStyle name="Normal 9 2 7 2 2" xfId="7847" xr:uid="{00000000-0005-0000-0000-00009E1F0000}"/>
    <cellStyle name="Normal 9 2 7 2 2 2" xfId="24730" xr:uid="{9AF43BE2-B390-4DB1-AE1A-A972D950BE2B}"/>
    <cellStyle name="Normal 9 2 7 2 2 3" xfId="33176" xr:uid="{6B723D4E-7241-4B87-A4ED-11621F5540B0}"/>
    <cellStyle name="Normal 9 2 7 2 2 4" xfId="16289" xr:uid="{6590734A-3F32-4070-9A71-7ADA9439A214}"/>
    <cellStyle name="Normal 9 2 7 2 3" xfId="20512" xr:uid="{266BB9DF-40BC-48D2-A6F5-8E380F4E3247}"/>
    <cellStyle name="Normal 9 2 7 2 4" xfId="28959" xr:uid="{5BB7EB7D-3090-4B1F-88DC-661F865994B3}"/>
    <cellStyle name="Normal 9 2 7 2 5" xfId="12071" xr:uid="{628B8E82-CAA6-4A30-88C6-CAA7CBF4825B}"/>
    <cellStyle name="Normal 9 2 7 3" xfId="5702" xr:uid="{00000000-0005-0000-0000-00009F1F0000}"/>
    <cellStyle name="Normal 9 2 7 3 2" xfId="22585" xr:uid="{FF745E5E-7897-475B-A0EA-22076678C537}"/>
    <cellStyle name="Normal 9 2 7 3 3" xfId="31031" xr:uid="{4C4A3674-94E4-4C4B-AF53-4F356F97310B}"/>
    <cellStyle name="Normal 9 2 7 3 4" xfId="14144" xr:uid="{AC22077D-D5DB-4274-B35E-8DFA093C24E8}"/>
    <cellStyle name="Normal 9 2 7 4" xfId="18367" xr:uid="{76ABF62B-B14F-47EB-BD8F-FADF5110F767}"/>
    <cellStyle name="Normal 9 2 7 5" xfId="26812" xr:uid="{206C3D3D-70AD-4D33-81CC-CEEE5AC933F8}"/>
    <cellStyle name="Normal 9 2 7 6" xfId="9926" xr:uid="{14C7EB1E-EFED-4F23-ABC4-9D8823D47919}"/>
    <cellStyle name="Normal 9 2 8" xfId="1807" xr:uid="{00000000-0005-0000-0000-0000A01F0000}"/>
    <cellStyle name="Normal 9 2 8 2" xfId="4037" xr:uid="{00000000-0005-0000-0000-0000A11F0000}"/>
    <cellStyle name="Normal 9 2 8 2 2" xfId="8260" xr:uid="{00000000-0005-0000-0000-0000A21F0000}"/>
    <cellStyle name="Normal 9 2 8 2 2 2" xfId="25143" xr:uid="{F496FA39-7D2E-4C54-AAC4-0CABBF484762}"/>
    <cellStyle name="Normal 9 2 8 2 2 3" xfId="33589" xr:uid="{158D78D6-5AFE-4919-B1AF-04B18E5387BD}"/>
    <cellStyle name="Normal 9 2 8 2 2 4" xfId="16702" xr:uid="{5C00EFE5-C1FF-4334-BD87-132987BF7346}"/>
    <cellStyle name="Normal 9 2 8 2 3" xfId="20925" xr:uid="{0E30DF51-15D9-422E-9B9B-2D6294983007}"/>
    <cellStyle name="Normal 9 2 8 2 4" xfId="29372" xr:uid="{6256A2F0-C1A0-45CE-B5E9-C65EC13CF03C}"/>
    <cellStyle name="Normal 9 2 8 2 5" xfId="12484" xr:uid="{4507F27A-37EB-46BA-BF09-231A81ED2162}"/>
    <cellStyle name="Normal 9 2 8 3" xfId="6115" xr:uid="{00000000-0005-0000-0000-0000A31F0000}"/>
    <cellStyle name="Normal 9 2 8 3 2" xfId="22998" xr:uid="{79A00CBF-5078-4E77-959A-6D314A70EC01}"/>
    <cellStyle name="Normal 9 2 8 3 3" xfId="31444" xr:uid="{45F8C1C2-3674-468B-AC32-E8D008DBFA38}"/>
    <cellStyle name="Normal 9 2 8 3 4" xfId="14557" xr:uid="{77ACECD7-7DFB-4454-8277-347A99FF79E3}"/>
    <cellStyle name="Normal 9 2 8 4" xfId="18780" xr:uid="{A89E3502-5D71-4CF2-8D0E-803DA2607E3D}"/>
    <cellStyle name="Normal 9 2 8 5" xfId="27225" xr:uid="{BBB83029-667F-49EE-8D06-7A671BB453BA}"/>
    <cellStyle name="Normal 9 2 8 6" xfId="10339" xr:uid="{5AC7F5A4-5B24-47F5-84BF-2BFE97DDF00A}"/>
    <cellStyle name="Normal 9 2 9" xfId="2221" xr:uid="{00000000-0005-0000-0000-0000A41F0000}"/>
    <cellStyle name="Normal 9 2 9 2" xfId="4450" xr:uid="{00000000-0005-0000-0000-0000A51F0000}"/>
    <cellStyle name="Normal 9 2 9 2 2" xfId="8673" xr:uid="{00000000-0005-0000-0000-0000A61F0000}"/>
    <cellStyle name="Normal 9 2 9 2 2 2" xfId="25556" xr:uid="{BEBCBDDE-75C0-464E-BD97-B458B2B45D8E}"/>
    <cellStyle name="Normal 9 2 9 2 2 3" xfId="34002" xr:uid="{AB85E535-CDCD-4F80-B2CC-23C64AA8FA11}"/>
    <cellStyle name="Normal 9 2 9 2 2 4" xfId="17115" xr:uid="{267B15C9-ED77-4A4D-A245-C9BD5BAD630D}"/>
    <cellStyle name="Normal 9 2 9 2 3" xfId="21338" xr:uid="{93476076-FCEC-40C8-B240-59FCC488FB72}"/>
    <cellStyle name="Normal 9 2 9 2 4" xfId="29785" xr:uid="{70452542-EB0E-4238-92C6-B8D4086AB064}"/>
    <cellStyle name="Normal 9 2 9 2 5" xfId="12897" xr:uid="{7D931608-4E0F-46D1-ABF3-390A3B515D54}"/>
    <cellStyle name="Normal 9 2 9 3" xfId="6528" xr:uid="{00000000-0005-0000-0000-0000A71F0000}"/>
    <cellStyle name="Normal 9 2 9 3 2" xfId="23411" xr:uid="{413251E8-374D-40BD-802F-C250971D0433}"/>
    <cellStyle name="Normal 9 2 9 3 3" xfId="31857" xr:uid="{204A9D70-73B5-47D3-9523-A36853F2C492}"/>
    <cellStyle name="Normal 9 2 9 3 4" xfId="14970" xr:uid="{DC18A604-0FB9-41A1-BC7D-30FE47ADC8E8}"/>
    <cellStyle name="Normal 9 2 9 4" xfId="19193" xr:uid="{C626E89C-C2FA-4CD3-88B9-EF1B07DB477D}"/>
    <cellStyle name="Normal 9 2 9 5" xfId="27638" xr:uid="{1C551EB0-FDE5-47EA-9F52-F94B797DD6ED}"/>
    <cellStyle name="Normal 9 2 9 6" xfId="10752" xr:uid="{EA6FA1A5-04A9-4A65-9321-3ACC092D67C5}"/>
    <cellStyle name="Normal 9 3" xfId="527" xr:uid="{00000000-0005-0000-0000-0000A81F0000}"/>
    <cellStyle name="Normal 9 3 10" xfId="4892" xr:uid="{00000000-0005-0000-0000-0000A91F0000}"/>
    <cellStyle name="Normal 9 3 10 2" xfId="21775" xr:uid="{4310D76B-E895-4FE1-9484-82C1C3056E0E}"/>
    <cellStyle name="Normal 9 3 10 3" xfId="30221" xr:uid="{A853F5D9-5F21-4017-9593-5DAC9E567CB8}"/>
    <cellStyle name="Normal 9 3 10 4" xfId="13334" xr:uid="{37725C8F-6791-461E-A4A5-1A1DFE1476E1}"/>
    <cellStyle name="Normal 9 3 11" xfId="17557" xr:uid="{710D34FE-C4CF-4FC9-A77A-BF4E2A6ECEF9}"/>
    <cellStyle name="Normal 9 3 12" xfId="26002" xr:uid="{6B316FD5-AEDC-448D-9365-FE1774D9619E}"/>
    <cellStyle name="Normal 9 3 13" xfId="9116" xr:uid="{F249559C-C889-4626-9EED-7D35DEDA3E1B}"/>
    <cellStyle name="Normal 9 3 2" xfId="528" xr:uid="{00000000-0005-0000-0000-0000AA1F0000}"/>
    <cellStyle name="Normal 9 3 2 10" xfId="17558" xr:uid="{3AC1D402-0052-49A9-8C94-38FC37B9744C}"/>
    <cellStyle name="Normal 9 3 2 11" xfId="26003" xr:uid="{0F7EACFA-0333-43EE-83FC-77DEFE0057EA}"/>
    <cellStyle name="Normal 9 3 2 12" xfId="9117" xr:uid="{EA563522-DAC9-46E4-A366-29B1C773A76D}"/>
    <cellStyle name="Normal 9 3 2 2" xfId="529" xr:uid="{00000000-0005-0000-0000-0000AB1F0000}"/>
    <cellStyle name="Normal 9 3 2 2 10" xfId="26004" xr:uid="{1D113BCD-2853-498C-9485-FB54EF576020}"/>
    <cellStyle name="Normal 9 3 2 2 11" xfId="9118" xr:uid="{0878D11B-EB82-489B-90B5-E6F3EAAA8DD0}"/>
    <cellStyle name="Normal 9 3 2 2 2" xfId="530" xr:uid="{00000000-0005-0000-0000-0000AC1F0000}"/>
    <cellStyle name="Normal 9 3 2 2 2 10" xfId="9119" xr:uid="{9128D41F-70A6-4405-BC53-C6BA1DAC5E34}"/>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24336" xr:uid="{56B73CA8-A5EE-41D3-88DD-CA379838BA57}"/>
    <cellStyle name="Normal 9 3 2 2 2 2 2 2 3" xfId="32782" xr:uid="{F0CA6EE8-E6D4-4927-93F3-A90DE8174E6A}"/>
    <cellStyle name="Normal 9 3 2 2 2 2 2 2 4" xfId="15895" xr:uid="{872EA94B-47DA-4BD1-BA99-B2451A80D697}"/>
    <cellStyle name="Normal 9 3 2 2 2 2 2 3" xfId="20118" xr:uid="{42D3255B-75C4-4909-B1C0-85F566584C29}"/>
    <cellStyle name="Normal 9 3 2 2 2 2 2 4" xfId="28565" xr:uid="{BDD1CD79-195F-4790-84FD-02416753BD8C}"/>
    <cellStyle name="Normal 9 3 2 2 2 2 2 5" xfId="11677" xr:uid="{D1F67050-486E-452D-BA68-961D8B9E7EA3}"/>
    <cellStyle name="Normal 9 3 2 2 2 2 3" xfId="5308" xr:uid="{00000000-0005-0000-0000-0000B01F0000}"/>
    <cellStyle name="Normal 9 3 2 2 2 2 3 2" xfId="22191" xr:uid="{28082116-EDC9-4CA7-8562-88BABC8E9FC8}"/>
    <cellStyle name="Normal 9 3 2 2 2 2 3 3" xfId="30637" xr:uid="{0346565B-D876-4AFA-B228-E3DE859434CF}"/>
    <cellStyle name="Normal 9 3 2 2 2 2 3 4" xfId="13750" xr:uid="{7904860B-0CFB-4482-8A12-453A27D6E71F}"/>
    <cellStyle name="Normal 9 3 2 2 2 2 4" xfId="17973" xr:uid="{8026A43E-254F-42C3-824E-4FDB8836DD76}"/>
    <cellStyle name="Normal 9 3 2 2 2 2 5" xfId="26418" xr:uid="{2B6814BC-FC45-478E-92FE-A8B5AD007D0A}"/>
    <cellStyle name="Normal 9 3 2 2 2 2 6" xfId="9532" xr:uid="{44268944-4777-4F2E-B743-9C394ECEB59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24749" xr:uid="{4E5B5393-E46A-4A88-9CC5-F56D2487CEB7}"/>
    <cellStyle name="Normal 9 3 2 2 2 3 2 2 3" xfId="33195" xr:uid="{512E2A81-B1EF-47DE-9C49-FFC889917EE1}"/>
    <cellStyle name="Normal 9 3 2 2 2 3 2 2 4" xfId="16308" xr:uid="{41443BA2-6751-4321-BB4F-A62D609C37B5}"/>
    <cellStyle name="Normal 9 3 2 2 2 3 2 3" xfId="20531" xr:uid="{6D3D090B-65AB-4ED7-8BF4-B1874095DAAC}"/>
    <cellStyle name="Normal 9 3 2 2 2 3 2 4" xfId="28978" xr:uid="{2DA34E85-A09A-42F2-9B41-46A0B2C82B7A}"/>
    <cellStyle name="Normal 9 3 2 2 2 3 2 5" xfId="12090" xr:uid="{4740D5D5-53C7-46CD-942A-F19EC3D6EC7D}"/>
    <cellStyle name="Normal 9 3 2 2 2 3 3" xfId="5721" xr:uid="{00000000-0005-0000-0000-0000B41F0000}"/>
    <cellStyle name="Normal 9 3 2 2 2 3 3 2" xfId="22604" xr:uid="{43B00C24-48F4-4E40-B991-D8C9C46897FA}"/>
    <cellStyle name="Normal 9 3 2 2 2 3 3 3" xfId="31050" xr:uid="{00AD6A1D-C59F-4BC7-96C6-97F7A4D99C7D}"/>
    <cellStyle name="Normal 9 3 2 2 2 3 3 4" xfId="14163" xr:uid="{8073119B-1257-4A7F-AD4E-61EE43B9F21A}"/>
    <cellStyle name="Normal 9 3 2 2 2 3 4" xfId="18386" xr:uid="{86226011-8F8B-4CED-B11E-A7C39B70F658}"/>
    <cellStyle name="Normal 9 3 2 2 2 3 5" xfId="26831" xr:uid="{91C298F2-DC9C-424C-B966-8B5C83E7762A}"/>
    <cellStyle name="Normal 9 3 2 2 2 3 6" xfId="9945" xr:uid="{9FA35B60-D66F-41B7-A6C3-E6F4EFAC6AC3}"/>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25162" xr:uid="{468ECFCC-CD87-4555-B2A8-DA3CB3A8DEF0}"/>
    <cellStyle name="Normal 9 3 2 2 2 4 2 2 3" xfId="33608" xr:uid="{82356534-582A-482F-9E9A-EDF5C83E895E}"/>
    <cellStyle name="Normal 9 3 2 2 2 4 2 2 4" xfId="16721" xr:uid="{A283E6D6-E794-4423-BA82-FB1727A47544}"/>
    <cellStyle name="Normal 9 3 2 2 2 4 2 3" xfId="20944" xr:uid="{A7DBC107-C898-4A6C-A78D-A48ABA194D2F}"/>
    <cellStyle name="Normal 9 3 2 2 2 4 2 4" xfId="29391" xr:uid="{B0E31765-E0D5-4734-9F5C-B91DBA52BFF1}"/>
    <cellStyle name="Normal 9 3 2 2 2 4 2 5" xfId="12503" xr:uid="{484D9D7A-30AE-4A0F-AA1D-2CCD532E87F8}"/>
    <cellStyle name="Normal 9 3 2 2 2 4 3" xfId="6134" xr:uid="{00000000-0005-0000-0000-0000B81F0000}"/>
    <cellStyle name="Normal 9 3 2 2 2 4 3 2" xfId="23017" xr:uid="{9B8DE085-4B1D-4031-80EA-87E72659BE43}"/>
    <cellStyle name="Normal 9 3 2 2 2 4 3 3" xfId="31463" xr:uid="{A573D8C0-1A18-40D6-8C2B-0B4FD1EAE106}"/>
    <cellStyle name="Normal 9 3 2 2 2 4 3 4" xfId="14576" xr:uid="{C16AF679-BDB1-4D43-A076-2051C125B2B9}"/>
    <cellStyle name="Normal 9 3 2 2 2 4 4" xfId="18799" xr:uid="{351C1C01-1D9D-4156-8AAE-6DE4A06158BA}"/>
    <cellStyle name="Normal 9 3 2 2 2 4 5" xfId="27244" xr:uid="{46236B8B-0A93-4A1D-89BD-CC5C28238E1E}"/>
    <cellStyle name="Normal 9 3 2 2 2 4 6" xfId="10358" xr:uid="{CEB3AA31-20B6-424E-A0C0-96A081E6D0DF}"/>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25575" xr:uid="{BE4C3D47-3541-49BC-B548-D23B4F6BB5FC}"/>
    <cellStyle name="Normal 9 3 2 2 2 5 2 2 3" xfId="34021" xr:uid="{A87D8734-5E60-41F5-9D4E-FAE796BBA515}"/>
    <cellStyle name="Normal 9 3 2 2 2 5 2 2 4" xfId="17134" xr:uid="{7DFC4A42-FD87-4206-9433-E8AE38DBD8D0}"/>
    <cellStyle name="Normal 9 3 2 2 2 5 2 3" xfId="21357" xr:uid="{01B8FF94-9CED-4AB3-8E7B-32EA037647CE}"/>
    <cellStyle name="Normal 9 3 2 2 2 5 2 4" xfId="29804" xr:uid="{0CA52F80-AA76-4B10-B2A1-FB5B745346BA}"/>
    <cellStyle name="Normal 9 3 2 2 2 5 2 5" xfId="12916" xr:uid="{F57FE473-9112-4170-B583-DBD32C933A63}"/>
    <cellStyle name="Normal 9 3 2 2 2 5 3" xfId="6547" xr:uid="{00000000-0005-0000-0000-0000BC1F0000}"/>
    <cellStyle name="Normal 9 3 2 2 2 5 3 2" xfId="23430" xr:uid="{97217B2B-6256-434F-9D9A-69AD4FFE4A76}"/>
    <cellStyle name="Normal 9 3 2 2 2 5 3 3" xfId="31876" xr:uid="{ADC63B02-1C99-43D5-B19A-CFA3782ADA5D}"/>
    <cellStyle name="Normal 9 3 2 2 2 5 3 4" xfId="14989" xr:uid="{18B4C1CD-3053-43C7-8DD4-3FAB20AE4F76}"/>
    <cellStyle name="Normal 9 3 2 2 2 5 4" xfId="19212" xr:uid="{E43245F2-1AEC-43EE-B0B8-EDE3FC4EB5CB}"/>
    <cellStyle name="Normal 9 3 2 2 2 5 5" xfId="27657" xr:uid="{1C40EE10-5F36-4930-A3E8-CB83EEEAE194}"/>
    <cellStyle name="Normal 9 3 2 2 2 5 6" xfId="10771" xr:uid="{B189A3B2-24D9-49D2-84EB-97B73A2B913E}"/>
    <cellStyle name="Normal 9 3 2 2 2 6" xfId="2676" xr:uid="{00000000-0005-0000-0000-0000BD1F0000}"/>
    <cellStyle name="Normal 9 3 2 2 2 6 2" xfId="6960" xr:uid="{00000000-0005-0000-0000-0000BE1F0000}"/>
    <cellStyle name="Normal 9 3 2 2 2 6 2 2" xfId="23843" xr:uid="{1B08CA28-587D-4E16-B5CA-09DD712AFFD3}"/>
    <cellStyle name="Normal 9 3 2 2 2 6 2 3" xfId="32289" xr:uid="{BCB78FCC-9CEA-43A5-8955-025257C63089}"/>
    <cellStyle name="Normal 9 3 2 2 2 6 2 4" xfId="15402" xr:uid="{C2D377EA-0F50-43A1-96BA-E1F3AEDACA65}"/>
    <cellStyle name="Normal 9 3 2 2 2 6 3" xfId="19625" xr:uid="{A22E04D4-F21A-47EA-9D0D-97F2CB98DD31}"/>
    <cellStyle name="Normal 9 3 2 2 2 6 4" xfId="28070" xr:uid="{5FCDE0A1-25DD-49A6-A14C-0B9EBD76814C}"/>
    <cellStyle name="Normal 9 3 2 2 2 6 5" xfId="11184" xr:uid="{1205631A-0E83-46B5-AA25-C9D29F5E9F09}"/>
    <cellStyle name="Normal 9 3 2 2 2 7" xfId="4895" xr:uid="{00000000-0005-0000-0000-0000BF1F0000}"/>
    <cellStyle name="Normal 9 3 2 2 2 7 2" xfId="21778" xr:uid="{343343F6-2B8A-4FA7-A349-56C33DB3F1D8}"/>
    <cellStyle name="Normal 9 3 2 2 2 7 3" xfId="30224" xr:uid="{07C8309A-26A3-4ECB-84F5-52650C825A8E}"/>
    <cellStyle name="Normal 9 3 2 2 2 7 4" xfId="13337" xr:uid="{4AB25602-A894-4AE1-B3BE-572E54225CFB}"/>
    <cellStyle name="Normal 9 3 2 2 2 8" xfId="17560" xr:uid="{EFA9DE00-90DC-431C-B614-91F6384109AE}"/>
    <cellStyle name="Normal 9 3 2 2 2 9" xfId="26005" xr:uid="{04CFF07C-B709-46D1-A60D-D4A3B19C3236}"/>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24335" xr:uid="{46CAC0E9-D0CC-4657-8831-F1A41E47C2E6}"/>
    <cellStyle name="Normal 9 3 2 2 3 2 2 3" xfId="32781" xr:uid="{7DA36212-D83A-4862-A0E1-86B42BC40B7C}"/>
    <cellStyle name="Normal 9 3 2 2 3 2 2 4" xfId="15894" xr:uid="{FA40CD35-C45E-47E6-AF0E-BB91CE6DF66F}"/>
    <cellStyle name="Normal 9 3 2 2 3 2 3" xfId="20117" xr:uid="{157115B5-7E69-46B1-AFC3-A17EB184239A}"/>
    <cellStyle name="Normal 9 3 2 2 3 2 4" xfId="28564" xr:uid="{7F028CFE-185C-4359-8C4C-782FDE64613B}"/>
    <cellStyle name="Normal 9 3 2 2 3 2 5" xfId="11676" xr:uid="{E5B1C134-82FB-4D41-BA96-0F1F7BCD3F3D}"/>
    <cellStyle name="Normal 9 3 2 2 3 3" xfId="5307" xr:uid="{00000000-0005-0000-0000-0000C31F0000}"/>
    <cellStyle name="Normal 9 3 2 2 3 3 2" xfId="22190" xr:uid="{BE7AE5F2-FDA3-4975-A7E3-0083B84AFB3E}"/>
    <cellStyle name="Normal 9 3 2 2 3 3 3" xfId="30636" xr:uid="{0119F5C7-A845-4F16-A8CA-9E4E11715DE6}"/>
    <cellStyle name="Normal 9 3 2 2 3 3 4" xfId="13749" xr:uid="{52AB5739-722E-40A4-A0C5-D788C481B5F6}"/>
    <cellStyle name="Normal 9 3 2 2 3 4" xfId="17972" xr:uid="{8406FF5B-DE19-400C-A110-2D58A8B7619B}"/>
    <cellStyle name="Normal 9 3 2 2 3 5" xfId="26417" xr:uid="{A075EF54-7180-4DDE-ADBB-23CA8292F916}"/>
    <cellStyle name="Normal 9 3 2 2 3 6" xfId="9531" xr:uid="{BCB07545-B99E-42BA-B5C0-36EB361D6761}"/>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24748" xr:uid="{D74659BF-6D87-4D5D-A81E-37C66E49B4C4}"/>
    <cellStyle name="Normal 9 3 2 2 4 2 2 3" xfId="33194" xr:uid="{5A3215F6-3376-44F3-B42A-65451E0E9D63}"/>
    <cellStyle name="Normal 9 3 2 2 4 2 2 4" xfId="16307" xr:uid="{31CC4B1D-6736-476A-96BE-E2F3F55361FF}"/>
    <cellStyle name="Normal 9 3 2 2 4 2 3" xfId="20530" xr:uid="{612E28FA-7C21-4CD1-A4E9-63B4CF4F6991}"/>
    <cellStyle name="Normal 9 3 2 2 4 2 4" xfId="28977" xr:uid="{E73331D9-0CE6-4777-802E-451F2F915850}"/>
    <cellStyle name="Normal 9 3 2 2 4 2 5" xfId="12089" xr:uid="{68E2570E-40C6-4967-86D3-66F37E7939E0}"/>
    <cellStyle name="Normal 9 3 2 2 4 3" xfId="5720" xr:uid="{00000000-0005-0000-0000-0000C71F0000}"/>
    <cellStyle name="Normal 9 3 2 2 4 3 2" xfId="22603" xr:uid="{32215381-536D-478C-838D-813A75ECEED0}"/>
    <cellStyle name="Normal 9 3 2 2 4 3 3" xfId="31049" xr:uid="{BE864300-30BF-4259-BFDF-6DF6C7945624}"/>
    <cellStyle name="Normal 9 3 2 2 4 3 4" xfId="14162" xr:uid="{7EDAAC33-485D-4410-AE53-292956D86438}"/>
    <cellStyle name="Normal 9 3 2 2 4 4" xfId="18385" xr:uid="{4B7173F4-66B6-4C23-9595-5FD0F2872C90}"/>
    <cellStyle name="Normal 9 3 2 2 4 5" xfId="26830" xr:uid="{47B42744-16DF-4741-8926-7D1FC61686B1}"/>
    <cellStyle name="Normal 9 3 2 2 4 6" xfId="9944" xr:uid="{D49F39D9-33FD-4045-B7BD-AE36D032668C}"/>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25161" xr:uid="{71260F52-EFDF-4DD8-AE11-9EE0B9D45438}"/>
    <cellStyle name="Normal 9 3 2 2 5 2 2 3" xfId="33607" xr:uid="{EDC96F8B-3055-4662-909B-1D328AF40AF0}"/>
    <cellStyle name="Normal 9 3 2 2 5 2 2 4" xfId="16720" xr:uid="{75168D63-3DE0-4601-A5FC-0F05B2392148}"/>
    <cellStyle name="Normal 9 3 2 2 5 2 3" xfId="20943" xr:uid="{79D4C7A5-524E-4257-94A1-04355B199E3B}"/>
    <cellStyle name="Normal 9 3 2 2 5 2 4" xfId="29390" xr:uid="{4774B126-D6F1-4036-97A3-B5A6ABEE156F}"/>
    <cellStyle name="Normal 9 3 2 2 5 2 5" xfId="12502" xr:uid="{E9186CBD-F705-4A27-AE0B-19E21D2110A0}"/>
    <cellStyle name="Normal 9 3 2 2 5 3" xfId="6133" xr:uid="{00000000-0005-0000-0000-0000CB1F0000}"/>
    <cellStyle name="Normal 9 3 2 2 5 3 2" xfId="23016" xr:uid="{5D456B3C-6755-4F08-9341-4B38D4D6DF41}"/>
    <cellStyle name="Normal 9 3 2 2 5 3 3" xfId="31462" xr:uid="{172B3BEE-3D5D-4627-8696-80DF33AAA4CA}"/>
    <cellStyle name="Normal 9 3 2 2 5 3 4" xfId="14575" xr:uid="{C3465205-70CE-4489-8551-86A86D24E2B8}"/>
    <cellStyle name="Normal 9 3 2 2 5 4" xfId="18798" xr:uid="{1F28C911-A9DE-4472-A865-D14CA719CD81}"/>
    <cellStyle name="Normal 9 3 2 2 5 5" xfId="27243" xr:uid="{A1EA9DC9-E7DF-45A8-9182-9B08B0E114F3}"/>
    <cellStyle name="Normal 9 3 2 2 5 6" xfId="10357" xr:uid="{917D0DF4-B78C-407F-BB58-95EAE20D0443}"/>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25574" xr:uid="{056478B6-3D3F-4F07-AD56-171F59FF8DBB}"/>
    <cellStyle name="Normal 9 3 2 2 6 2 2 3" xfId="34020" xr:uid="{93F9A111-6F9F-4179-85E6-872D0D46AE9E}"/>
    <cellStyle name="Normal 9 3 2 2 6 2 2 4" xfId="17133" xr:uid="{9BE53D34-2BA2-4877-AD2E-2FDDBDAEA7A9}"/>
    <cellStyle name="Normal 9 3 2 2 6 2 3" xfId="21356" xr:uid="{F8C11F17-1A47-4D6F-BB53-FF846B46C6E7}"/>
    <cellStyle name="Normal 9 3 2 2 6 2 4" xfId="29803" xr:uid="{420FC11E-CF7D-40B8-A165-E67DD5081F4D}"/>
    <cellStyle name="Normal 9 3 2 2 6 2 5" xfId="12915" xr:uid="{50CB6524-BD5B-4A6A-A00C-0725F1243033}"/>
    <cellStyle name="Normal 9 3 2 2 6 3" xfId="6546" xr:uid="{00000000-0005-0000-0000-0000CF1F0000}"/>
    <cellStyle name="Normal 9 3 2 2 6 3 2" xfId="23429" xr:uid="{080A108B-7D40-4D8A-90E3-B43A585FD7E9}"/>
    <cellStyle name="Normal 9 3 2 2 6 3 3" xfId="31875" xr:uid="{232DC4BA-7E3C-4AB3-91D7-36B618A74C31}"/>
    <cellStyle name="Normal 9 3 2 2 6 3 4" xfId="14988" xr:uid="{5500C8B3-4495-4E6A-AF56-C489801AB9BA}"/>
    <cellStyle name="Normal 9 3 2 2 6 4" xfId="19211" xr:uid="{F4A39683-645A-46D6-A042-AA6F0146AE9C}"/>
    <cellStyle name="Normal 9 3 2 2 6 5" xfId="27656" xr:uid="{53BD0847-325E-4F29-A4C0-5D225858B5D0}"/>
    <cellStyle name="Normal 9 3 2 2 6 6" xfId="10770" xr:uid="{50615C16-EA3E-4081-AABF-158684464BBA}"/>
    <cellStyle name="Normal 9 3 2 2 7" xfId="2675" xr:uid="{00000000-0005-0000-0000-0000D01F0000}"/>
    <cellStyle name="Normal 9 3 2 2 7 2" xfId="6959" xr:uid="{00000000-0005-0000-0000-0000D11F0000}"/>
    <cellStyle name="Normal 9 3 2 2 7 2 2" xfId="23842" xr:uid="{4934B6CE-450D-4B92-927D-60D16ECBF99B}"/>
    <cellStyle name="Normal 9 3 2 2 7 2 3" xfId="32288" xr:uid="{F354E08E-301E-4F14-AF7E-469253DAFCA3}"/>
    <cellStyle name="Normal 9 3 2 2 7 2 4" xfId="15401" xr:uid="{6B2F9D3F-A139-4362-A778-D9C0D28FF141}"/>
    <cellStyle name="Normal 9 3 2 2 7 3" xfId="19624" xr:uid="{145B959F-A7D3-4AE0-B3F2-DFA87E0B5590}"/>
    <cellStyle name="Normal 9 3 2 2 7 4" xfId="28069" xr:uid="{1E1DDCF3-B6E7-427B-9D3B-E549A257AC8F}"/>
    <cellStyle name="Normal 9 3 2 2 7 5" xfId="11183" xr:uid="{B7DB406F-8FE3-4383-A857-4D44DFED03DD}"/>
    <cellStyle name="Normal 9 3 2 2 8" xfId="4894" xr:uid="{00000000-0005-0000-0000-0000D21F0000}"/>
    <cellStyle name="Normal 9 3 2 2 8 2" xfId="21777" xr:uid="{BDE2BA78-1DEC-4F3C-88CA-692A0FD4A84B}"/>
    <cellStyle name="Normal 9 3 2 2 8 3" xfId="30223" xr:uid="{5EB04A06-31BF-4FCE-9E4A-F919CA866D9D}"/>
    <cellStyle name="Normal 9 3 2 2 8 4" xfId="13336" xr:uid="{0B667BE2-750A-4D3C-90FC-0E30B49C83D0}"/>
    <cellStyle name="Normal 9 3 2 2 9" xfId="17559" xr:uid="{DA1876DE-403F-4AD0-A2B6-4D9E19B161D8}"/>
    <cellStyle name="Normal 9 3 2 3" xfId="531" xr:uid="{00000000-0005-0000-0000-0000D31F0000}"/>
    <cellStyle name="Normal 9 3 2 3 10" xfId="9120" xr:uid="{65034CCB-F1D9-4E47-A9E6-7B4D6E4A7B82}"/>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24337" xr:uid="{0177ED08-58D7-45D4-8D7E-514DA39E8488}"/>
    <cellStyle name="Normal 9 3 2 3 2 2 2 3" xfId="32783" xr:uid="{E4C4C3F3-3E8E-4D3A-89BE-624EA9418019}"/>
    <cellStyle name="Normal 9 3 2 3 2 2 2 4" xfId="15896" xr:uid="{98ACE0A1-7ACA-472A-921B-00FFEDFCFAD1}"/>
    <cellStyle name="Normal 9 3 2 3 2 2 3" xfId="20119" xr:uid="{07938A10-F467-4980-AC38-56B1C5EBE65D}"/>
    <cellStyle name="Normal 9 3 2 3 2 2 4" xfId="28566" xr:uid="{900027EF-F446-48F5-8EB1-35BA3E3E714E}"/>
    <cellStyle name="Normal 9 3 2 3 2 2 5" xfId="11678" xr:uid="{43267D07-DE9F-450B-A3FF-BFA1F8303245}"/>
    <cellStyle name="Normal 9 3 2 3 2 3" xfId="5309" xr:uid="{00000000-0005-0000-0000-0000D71F0000}"/>
    <cellStyle name="Normal 9 3 2 3 2 3 2" xfId="22192" xr:uid="{B3FCAE91-68F0-44A3-B07F-138B26A93AFB}"/>
    <cellStyle name="Normal 9 3 2 3 2 3 3" xfId="30638" xr:uid="{7EF9DAAB-6AC3-4FD6-9B6D-BF4CBBC48863}"/>
    <cellStyle name="Normal 9 3 2 3 2 3 4" xfId="13751" xr:uid="{68487571-ABD4-4150-8ECB-A1DB028A8552}"/>
    <cellStyle name="Normal 9 3 2 3 2 4" xfId="17974" xr:uid="{800A5593-CBA9-4B6E-97DF-E50CB2AF5A1C}"/>
    <cellStyle name="Normal 9 3 2 3 2 5" xfId="26419" xr:uid="{06D3711F-7D4C-4A2F-9D1F-44C27662F7DA}"/>
    <cellStyle name="Normal 9 3 2 3 2 6" xfId="9533" xr:uid="{6660D4DB-4808-42A1-8AFF-B01DB4B19DCF}"/>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24750" xr:uid="{EC8E2209-4B1D-4015-9183-3F1458EA8B53}"/>
    <cellStyle name="Normal 9 3 2 3 3 2 2 3" xfId="33196" xr:uid="{F2DC9680-FCDC-4472-833E-DEF80105F91C}"/>
    <cellStyle name="Normal 9 3 2 3 3 2 2 4" xfId="16309" xr:uid="{F07442A4-F9C2-460F-BDDE-FD488A93A10E}"/>
    <cellStyle name="Normal 9 3 2 3 3 2 3" xfId="20532" xr:uid="{FDA24C3A-EBAE-421A-86A2-F9D46B2F07DC}"/>
    <cellStyle name="Normal 9 3 2 3 3 2 4" xfId="28979" xr:uid="{737F5EC0-CBE0-4296-81FD-B76F5CF274D2}"/>
    <cellStyle name="Normal 9 3 2 3 3 2 5" xfId="12091" xr:uid="{59AB6DD2-8D8A-452A-AD3F-EEFDB0686569}"/>
    <cellStyle name="Normal 9 3 2 3 3 3" xfId="5722" xr:uid="{00000000-0005-0000-0000-0000DB1F0000}"/>
    <cellStyle name="Normal 9 3 2 3 3 3 2" xfId="22605" xr:uid="{EAD26119-4F77-478E-BEED-52116080B0C6}"/>
    <cellStyle name="Normal 9 3 2 3 3 3 3" xfId="31051" xr:uid="{AAAB906E-2A9B-4F6A-A818-B6D908E4F66F}"/>
    <cellStyle name="Normal 9 3 2 3 3 3 4" xfId="14164" xr:uid="{9B8C85E2-5825-4D18-92E7-E028D8A53048}"/>
    <cellStyle name="Normal 9 3 2 3 3 4" xfId="18387" xr:uid="{7DA56B1C-1886-4369-A78B-009E9EA50B07}"/>
    <cellStyle name="Normal 9 3 2 3 3 5" xfId="26832" xr:uid="{1EBE3BF9-3272-48CA-8CD9-AC471DAD7658}"/>
    <cellStyle name="Normal 9 3 2 3 3 6" xfId="9946" xr:uid="{B6B6FCE9-5079-4696-A7DE-9C0BD089D4C3}"/>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25163" xr:uid="{5986D345-04B1-4416-9A06-FAE6126C3ED4}"/>
    <cellStyle name="Normal 9 3 2 3 4 2 2 3" xfId="33609" xr:uid="{73118B83-CDFB-4C5C-A3D7-F8C5D402EFB9}"/>
    <cellStyle name="Normal 9 3 2 3 4 2 2 4" xfId="16722" xr:uid="{461004A9-650C-413E-9FA3-7C0EB8A0A3CB}"/>
    <cellStyle name="Normal 9 3 2 3 4 2 3" xfId="20945" xr:uid="{3801AC12-92C9-47FC-8D93-3B23305FCE4B}"/>
    <cellStyle name="Normal 9 3 2 3 4 2 4" xfId="29392" xr:uid="{21934A8E-E07A-4D4F-99FB-F659915BA340}"/>
    <cellStyle name="Normal 9 3 2 3 4 2 5" xfId="12504" xr:uid="{984C03A9-867D-4F3A-9175-12228FF19373}"/>
    <cellStyle name="Normal 9 3 2 3 4 3" xfId="6135" xr:uid="{00000000-0005-0000-0000-0000DF1F0000}"/>
    <cellStyle name="Normal 9 3 2 3 4 3 2" xfId="23018" xr:uid="{8A0C68D3-5992-40C9-A881-0B40F8FC0285}"/>
    <cellStyle name="Normal 9 3 2 3 4 3 3" xfId="31464" xr:uid="{FB0BA689-9074-4BE8-B003-88EFD28A1B86}"/>
    <cellStyle name="Normal 9 3 2 3 4 3 4" xfId="14577" xr:uid="{81219817-6736-4CCA-8C34-5A5E4569B3B8}"/>
    <cellStyle name="Normal 9 3 2 3 4 4" xfId="18800" xr:uid="{84AA92ED-982B-4A35-9400-4ADAF8FBAFE9}"/>
    <cellStyle name="Normal 9 3 2 3 4 5" xfId="27245" xr:uid="{01974A79-1CA0-4FCF-A4EC-A8BFCB44E80C}"/>
    <cellStyle name="Normal 9 3 2 3 4 6" xfId="10359" xr:uid="{78B31C07-19AC-4C8F-AAD2-00F055D50205}"/>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25576" xr:uid="{8E8142F3-FE10-4CAB-90E8-0B784E544790}"/>
    <cellStyle name="Normal 9 3 2 3 5 2 2 3" xfId="34022" xr:uid="{15FBF24D-968D-4303-9308-82759963275D}"/>
    <cellStyle name="Normal 9 3 2 3 5 2 2 4" xfId="17135" xr:uid="{81211060-CE0B-4320-87D5-B48ABD4B927C}"/>
    <cellStyle name="Normal 9 3 2 3 5 2 3" xfId="21358" xr:uid="{353B0423-36B4-4CB3-B1B3-ABE4B368D32A}"/>
    <cellStyle name="Normal 9 3 2 3 5 2 4" xfId="29805" xr:uid="{900DFA9C-ABFC-42F0-A1A3-CD981030B3AA}"/>
    <cellStyle name="Normal 9 3 2 3 5 2 5" xfId="12917" xr:uid="{6A16896A-1FF6-4486-9C61-82E2A4520F74}"/>
    <cellStyle name="Normal 9 3 2 3 5 3" xfId="6548" xr:uid="{00000000-0005-0000-0000-0000E31F0000}"/>
    <cellStyle name="Normal 9 3 2 3 5 3 2" xfId="23431" xr:uid="{311586D6-C02A-4C1B-B556-65BFBAFE94E0}"/>
    <cellStyle name="Normal 9 3 2 3 5 3 3" xfId="31877" xr:uid="{8B5A57D4-498C-4F06-90F7-E9F9502E1091}"/>
    <cellStyle name="Normal 9 3 2 3 5 3 4" xfId="14990" xr:uid="{34BBBB71-FAC4-416D-9D38-C39ADB8CF8EE}"/>
    <cellStyle name="Normal 9 3 2 3 5 4" xfId="19213" xr:uid="{8E7E4103-99C5-43D1-83F9-7904B50547C3}"/>
    <cellStyle name="Normal 9 3 2 3 5 5" xfId="27658" xr:uid="{DA2643C0-2895-4514-A9C0-9E6882D02650}"/>
    <cellStyle name="Normal 9 3 2 3 5 6" xfId="10772" xr:uid="{AED6D5B5-F837-4B4E-8482-66795EF2EEFF}"/>
    <cellStyle name="Normal 9 3 2 3 6" xfId="2677" xr:uid="{00000000-0005-0000-0000-0000E41F0000}"/>
    <cellStyle name="Normal 9 3 2 3 6 2" xfId="6961" xr:uid="{00000000-0005-0000-0000-0000E51F0000}"/>
    <cellStyle name="Normal 9 3 2 3 6 2 2" xfId="23844" xr:uid="{C89741C8-AB18-473C-9F21-B840F7845181}"/>
    <cellStyle name="Normal 9 3 2 3 6 2 3" xfId="32290" xr:uid="{0DA29D80-C004-4077-BAD0-36FD38AA3690}"/>
    <cellStyle name="Normal 9 3 2 3 6 2 4" xfId="15403" xr:uid="{ED2B0C8D-B1A7-42FC-BA15-CDD70419CA66}"/>
    <cellStyle name="Normal 9 3 2 3 6 3" xfId="19626" xr:uid="{76E844E1-AAA8-4593-A150-95E4E20BDAD9}"/>
    <cellStyle name="Normal 9 3 2 3 6 4" xfId="28071" xr:uid="{D45920CF-7BC1-41A7-9902-A785467B1B9B}"/>
    <cellStyle name="Normal 9 3 2 3 6 5" xfId="11185" xr:uid="{F690A84F-0706-4556-A7DF-99714DE57084}"/>
    <cellStyle name="Normal 9 3 2 3 7" xfId="4896" xr:uid="{00000000-0005-0000-0000-0000E61F0000}"/>
    <cellStyle name="Normal 9 3 2 3 7 2" xfId="21779" xr:uid="{8A90FC1D-AA38-4098-B1D4-2677D8149E5D}"/>
    <cellStyle name="Normal 9 3 2 3 7 3" xfId="30225" xr:uid="{F4AA5587-1E55-4F4D-A45B-58353632FBFE}"/>
    <cellStyle name="Normal 9 3 2 3 7 4" xfId="13338" xr:uid="{2DF6E631-9BDB-4798-9A02-BEC34D7C2C1B}"/>
    <cellStyle name="Normal 9 3 2 3 8" xfId="17561" xr:uid="{0624BCB0-14D9-44DC-BDE0-BB49D4F54DF9}"/>
    <cellStyle name="Normal 9 3 2 3 9" xfId="26006" xr:uid="{CA294732-5772-41F0-AAE9-0A6F79130449}"/>
    <cellStyle name="Normal 9 3 2 4" xfId="995" xr:uid="{00000000-0005-0000-0000-0000E71F0000}"/>
    <cellStyle name="Normal 9 3 2 4 2" xfId="3228" xr:uid="{00000000-0005-0000-0000-0000E81F0000}"/>
    <cellStyle name="Normal 9 3 2 4 2 2" xfId="7451" xr:uid="{00000000-0005-0000-0000-0000E91F0000}"/>
    <cellStyle name="Normal 9 3 2 4 2 2 2" xfId="24334" xr:uid="{8D030260-D406-4733-943E-B03FB348B299}"/>
    <cellStyle name="Normal 9 3 2 4 2 2 3" xfId="32780" xr:uid="{3DE78C99-EA22-4AFE-B0D5-DAA94BC6CDA7}"/>
    <cellStyle name="Normal 9 3 2 4 2 2 4" xfId="15893" xr:uid="{092D2D86-7293-408F-A15A-A1830663AD45}"/>
    <cellStyle name="Normal 9 3 2 4 2 3" xfId="20116" xr:uid="{BD5936BA-77EA-4DA1-9E21-B3E1AA5347C4}"/>
    <cellStyle name="Normal 9 3 2 4 2 4" xfId="28563" xr:uid="{5A519DA5-64AC-4AF5-AA3D-7527B8BA9B1F}"/>
    <cellStyle name="Normal 9 3 2 4 2 5" xfId="11675" xr:uid="{F37AC414-D3AC-4713-89DE-EAFC610F1BE4}"/>
    <cellStyle name="Normal 9 3 2 4 3" xfId="5306" xr:uid="{00000000-0005-0000-0000-0000EA1F0000}"/>
    <cellStyle name="Normal 9 3 2 4 3 2" xfId="22189" xr:uid="{BB7494AE-2E14-44EF-BD28-B90B9223B019}"/>
    <cellStyle name="Normal 9 3 2 4 3 3" xfId="30635" xr:uid="{5AF04DA3-1D3F-438A-9BED-CC3CDA84E765}"/>
    <cellStyle name="Normal 9 3 2 4 3 4" xfId="13748" xr:uid="{B82E503C-03CC-43DF-AE5D-08ABD07BF9B9}"/>
    <cellStyle name="Normal 9 3 2 4 4" xfId="17971" xr:uid="{1D35D1F5-D784-43A1-923E-1BE573A5AB12}"/>
    <cellStyle name="Normal 9 3 2 4 5" xfId="26416" xr:uid="{FBE26551-214E-41DB-8996-E4960256558D}"/>
    <cellStyle name="Normal 9 3 2 4 6" xfId="9530" xr:uid="{C07491CC-5CFE-4034-9857-0C561E52B1EC}"/>
    <cellStyle name="Normal 9 3 2 5" xfId="1411" xr:uid="{00000000-0005-0000-0000-0000EB1F0000}"/>
    <cellStyle name="Normal 9 3 2 5 2" xfId="3641" xr:uid="{00000000-0005-0000-0000-0000EC1F0000}"/>
    <cellStyle name="Normal 9 3 2 5 2 2" xfId="7864" xr:uid="{00000000-0005-0000-0000-0000ED1F0000}"/>
    <cellStyle name="Normal 9 3 2 5 2 2 2" xfId="24747" xr:uid="{AECD0A67-CE94-49CB-A775-209FC146A770}"/>
    <cellStyle name="Normal 9 3 2 5 2 2 3" xfId="33193" xr:uid="{F95E42B7-9E64-41C2-8294-72DEB19357F7}"/>
    <cellStyle name="Normal 9 3 2 5 2 2 4" xfId="16306" xr:uid="{5239AD4E-B374-47E9-853C-E4B482C47A1C}"/>
    <cellStyle name="Normal 9 3 2 5 2 3" xfId="20529" xr:uid="{5657EF4F-D2DD-4093-95C7-880949206200}"/>
    <cellStyle name="Normal 9 3 2 5 2 4" xfId="28976" xr:uid="{F944BC72-97FF-4FDF-A601-84F170A9691C}"/>
    <cellStyle name="Normal 9 3 2 5 2 5" xfId="12088" xr:uid="{3CAF059F-15F4-4DF9-B9F9-F20608E261AA}"/>
    <cellStyle name="Normal 9 3 2 5 3" xfId="5719" xr:uid="{00000000-0005-0000-0000-0000EE1F0000}"/>
    <cellStyle name="Normal 9 3 2 5 3 2" xfId="22602" xr:uid="{D9EAD2E0-D392-4367-BFA0-0F6D7AF97AC8}"/>
    <cellStyle name="Normal 9 3 2 5 3 3" xfId="31048" xr:uid="{EAB77F99-EF02-4483-B114-0476CC0B96FF}"/>
    <cellStyle name="Normal 9 3 2 5 3 4" xfId="14161" xr:uid="{0B9D1491-4511-4A2F-AD8D-2CF9F8A8EA7E}"/>
    <cellStyle name="Normal 9 3 2 5 4" xfId="18384" xr:uid="{6F9E545B-A6F5-4254-8E79-541D510B71DF}"/>
    <cellStyle name="Normal 9 3 2 5 5" xfId="26829" xr:uid="{FB0616F7-A1BA-4214-8474-2A5721F670D3}"/>
    <cellStyle name="Normal 9 3 2 5 6" xfId="9943" xr:uid="{5F6E93C3-4E83-4B19-8890-D8EAAFFE196F}"/>
    <cellStyle name="Normal 9 3 2 6" xfId="1824" xr:uid="{00000000-0005-0000-0000-0000EF1F0000}"/>
    <cellStyle name="Normal 9 3 2 6 2" xfId="4054" xr:uid="{00000000-0005-0000-0000-0000F01F0000}"/>
    <cellStyle name="Normal 9 3 2 6 2 2" xfId="8277" xr:uid="{00000000-0005-0000-0000-0000F11F0000}"/>
    <cellStyle name="Normal 9 3 2 6 2 2 2" xfId="25160" xr:uid="{E1A2D314-D857-4052-8442-934D798DC529}"/>
    <cellStyle name="Normal 9 3 2 6 2 2 3" xfId="33606" xr:uid="{338D53A5-C5D8-400D-9E62-723A06DE5472}"/>
    <cellStyle name="Normal 9 3 2 6 2 2 4" xfId="16719" xr:uid="{88EABA1A-67B7-42D6-8B4C-643D7DD80FBC}"/>
    <cellStyle name="Normal 9 3 2 6 2 3" xfId="20942" xr:uid="{CDB294EB-4F03-4543-A047-F3F3FE48CBF4}"/>
    <cellStyle name="Normal 9 3 2 6 2 4" xfId="29389" xr:uid="{3664A4E3-B081-40E0-9D5A-56217EC22A9A}"/>
    <cellStyle name="Normal 9 3 2 6 2 5" xfId="12501" xr:uid="{58B1DCD8-011B-4DD0-B30A-E799C4A4B757}"/>
    <cellStyle name="Normal 9 3 2 6 3" xfId="6132" xr:uid="{00000000-0005-0000-0000-0000F21F0000}"/>
    <cellStyle name="Normal 9 3 2 6 3 2" xfId="23015" xr:uid="{98AA7D3D-8093-4546-9BD1-53574B903BB5}"/>
    <cellStyle name="Normal 9 3 2 6 3 3" xfId="31461" xr:uid="{AD991D44-AE7E-4D09-9405-E581B2F75D16}"/>
    <cellStyle name="Normal 9 3 2 6 3 4" xfId="14574" xr:uid="{8DB941FF-0A0A-41D9-8DF3-4662FBD759A3}"/>
    <cellStyle name="Normal 9 3 2 6 4" xfId="18797" xr:uid="{5D159837-E8C3-4F75-A8A5-64599A23CE4E}"/>
    <cellStyle name="Normal 9 3 2 6 5" xfId="27242" xr:uid="{3930BF2B-0A6A-403A-BABA-C489224D2EDE}"/>
    <cellStyle name="Normal 9 3 2 6 6" xfId="10356" xr:uid="{5FFB5B3B-7E5F-4275-8C0D-674497AD1A35}"/>
    <cellStyle name="Normal 9 3 2 7" xfId="2238" xr:uid="{00000000-0005-0000-0000-0000F31F0000}"/>
    <cellStyle name="Normal 9 3 2 7 2" xfId="4467" xr:uid="{00000000-0005-0000-0000-0000F41F0000}"/>
    <cellStyle name="Normal 9 3 2 7 2 2" xfId="8690" xr:uid="{00000000-0005-0000-0000-0000F51F0000}"/>
    <cellStyle name="Normal 9 3 2 7 2 2 2" xfId="25573" xr:uid="{642F640C-B354-44E7-BAA8-AD146671EBE8}"/>
    <cellStyle name="Normal 9 3 2 7 2 2 3" xfId="34019" xr:uid="{5EF03CF1-D0A1-4430-A359-CDC7B023E67B}"/>
    <cellStyle name="Normal 9 3 2 7 2 2 4" xfId="17132" xr:uid="{3A3D9EB4-6BC3-4130-87E2-B6D60CB6A250}"/>
    <cellStyle name="Normal 9 3 2 7 2 3" xfId="21355" xr:uid="{166D9240-7F83-4798-AB4E-B8AACA7F15BE}"/>
    <cellStyle name="Normal 9 3 2 7 2 4" xfId="29802" xr:uid="{753E349B-FE58-485B-813C-4ABBBFF0B7E1}"/>
    <cellStyle name="Normal 9 3 2 7 2 5" xfId="12914" xr:uid="{52EA8BB8-413B-4B52-BC96-6DA3995FCCE7}"/>
    <cellStyle name="Normal 9 3 2 7 3" xfId="6545" xr:uid="{00000000-0005-0000-0000-0000F61F0000}"/>
    <cellStyle name="Normal 9 3 2 7 3 2" xfId="23428" xr:uid="{38262F31-5043-4BCB-AFB6-21834BFB23D1}"/>
    <cellStyle name="Normal 9 3 2 7 3 3" xfId="31874" xr:uid="{D992D280-12AB-47C0-925A-B92959D6F41F}"/>
    <cellStyle name="Normal 9 3 2 7 3 4" xfId="14987" xr:uid="{9115CE1B-84F3-44CE-B81D-D88A61568AE7}"/>
    <cellStyle name="Normal 9 3 2 7 4" xfId="19210" xr:uid="{B899E624-ADBC-4266-B129-A19C8BB1EC97}"/>
    <cellStyle name="Normal 9 3 2 7 5" xfId="27655" xr:uid="{4FD4304E-2766-4363-B348-598A0A6BE834}"/>
    <cellStyle name="Normal 9 3 2 7 6" xfId="10769" xr:uid="{C44B58F8-9762-4E90-B097-02CD00338CFA}"/>
    <cellStyle name="Normal 9 3 2 8" xfId="2674" xr:uid="{00000000-0005-0000-0000-0000F71F0000}"/>
    <cellStyle name="Normal 9 3 2 8 2" xfId="6958" xr:uid="{00000000-0005-0000-0000-0000F81F0000}"/>
    <cellStyle name="Normal 9 3 2 8 2 2" xfId="23841" xr:uid="{07DEA831-B9F8-4FF8-BD2F-EBEBF127B3EA}"/>
    <cellStyle name="Normal 9 3 2 8 2 3" xfId="32287" xr:uid="{B0C3F5F4-1095-459C-AA20-FA53F9D0B3A1}"/>
    <cellStyle name="Normal 9 3 2 8 2 4" xfId="15400" xr:uid="{F0E33A5B-46A9-4E45-90F9-B17DC5DEC581}"/>
    <cellStyle name="Normal 9 3 2 8 3" xfId="19623" xr:uid="{24239E2A-0D29-48C5-9D68-891525FDA28A}"/>
    <cellStyle name="Normal 9 3 2 8 4" xfId="28068" xr:uid="{43A9CF7A-3CC0-4E5C-85C8-32BC5C1337CB}"/>
    <cellStyle name="Normal 9 3 2 8 5" xfId="11182" xr:uid="{AF34B932-99A1-4C61-98EA-D7642389694B}"/>
    <cellStyle name="Normal 9 3 2 9" xfId="4893" xr:uid="{00000000-0005-0000-0000-0000F91F0000}"/>
    <cellStyle name="Normal 9 3 2 9 2" xfId="21776" xr:uid="{20D37CD3-2C5F-4E9A-A6E4-D8FF9E00C302}"/>
    <cellStyle name="Normal 9 3 2 9 3" xfId="30222" xr:uid="{1869D9C4-685C-4EDC-9C14-B58E2C183306}"/>
    <cellStyle name="Normal 9 3 2 9 4" xfId="13335" xr:uid="{E88ED979-C334-494C-BBDE-39D369ECC394}"/>
    <cellStyle name="Normal 9 3 3" xfId="532" xr:uid="{00000000-0005-0000-0000-0000FA1F0000}"/>
    <cellStyle name="Normal 9 3 3 10" xfId="26007" xr:uid="{4E49354A-8832-4A73-983A-5C3191EB14FF}"/>
    <cellStyle name="Normal 9 3 3 11" xfId="9121" xr:uid="{A01471D3-C338-4EBC-976F-24E797272F93}"/>
    <cellStyle name="Normal 9 3 3 2" xfId="533" xr:uid="{00000000-0005-0000-0000-0000FB1F0000}"/>
    <cellStyle name="Normal 9 3 3 2 10" xfId="9122" xr:uid="{ABD56366-59DD-49B9-9835-771C7D6A5A6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24339" xr:uid="{867118D1-DBDD-470D-94D1-44B92111E4F8}"/>
    <cellStyle name="Normal 9 3 3 2 2 2 2 3" xfId="32785" xr:uid="{ACEDEF8E-2486-4F5B-B372-8B5B8537310A}"/>
    <cellStyle name="Normal 9 3 3 2 2 2 2 4" xfId="15898" xr:uid="{ECB6DE1C-C0AE-46A0-AC90-A07CC2C6E6D5}"/>
    <cellStyle name="Normal 9 3 3 2 2 2 3" xfId="20121" xr:uid="{FA815C09-3D3F-4CF4-BE39-83DA2D628AA0}"/>
    <cellStyle name="Normal 9 3 3 2 2 2 4" xfId="28568" xr:uid="{20B4CB2D-CBEF-4E8F-8C9F-9E20963EC0EF}"/>
    <cellStyle name="Normal 9 3 3 2 2 2 5" xfId="11680" xr:uid="{AE8F5BB0-86F7-432C-88F7-E18978F38FE6}"/>
    <cellStyle name="Normal 9 3 3 2 2 3" xfId="5311" xr:uid="{00000000-0005-0000-0000-0000FF1F0000}"/>
    <cellStyle name="Normal 9 3 3 2 2 3 2" xfId="22194" xr:uid="{0C02BA11-2E96-47C2-97BE-2B8DB5A92F48}"/>
    <cellStyle name="Normal 9 3 3 2 2 3 3" xfId="30640" xr:uid="{6C6C1759-521B-4CE4-9A7A-539E9D658BFF}"/>
    <cellStyle name="Normal 9 3 3 2 2 3 4" xfId="13753" xr:uid="{686695D6-DE4C-4ADF-892F-3A3C63858F3D}"/>
    <cellStyle name="Normal 9 3 3 2 2 4" xfId="17976" xr:uid="{9D91A220-36EF-484D-B8BA-1E824DE51F13}"/>
    <cellStyle name="Normal 9 3 3 2 2 5" xfId="26421" xr:uid="{0B194767-DB7F-4DF5-9ADB-AFE4E7356825}"/>
    <cellStyle name="Normal 9 3 3 2 2 6" xfId="9535" xr:uid="{1190B4B9-9E61-42BC-8093-635031F9C6A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24752" xr:uid="{E35C745A-C745-4EAB-BA5A-E9D1D36DD29B}"/>
    <cellStyle name="Normal 9 3 3 2 3 2 2 3" xfId="33198" xr:uid="{026EA3A0-3B7F-4CEE-84CE-645E3076955B}"/>
    <cellStyle name="Normal 9 3 3 2 3 2 2 4" xfId="16311" xr:uid="{14DEA75B-D951-42D5-AEE1-840409B13E8C}"/>
    <cellStyle name="Normal 9 3 3 2 3 2 3" xfId="20534" xr:uid="{2ACC4BBB-480A-45DA-BD45-43F159144F29}"/>
    <cellStyle name="Normal 9 3 3 2 3 2 4" xfId="28981" xr:uid="{74CABF1E-417A-41CD-A9E2-542A374C3852}"/>
    <cellStyle name="Normal 9 3 3 2 3 2 5" xfId="12093" xr:uid="{F1E6ED52-682B-4645-95E7-0467EF0E792A}"/>
    <cellStyle name="Normal 9 3 3 2 3 3" xfId="5724" xr:uid="{00000000-0005-0000-0000-000003200000}"/>
    <cellStyle name="Normal 9 3 3 2 3 3 2" xfId="22607" xr:uid="{C2A56224-0575-4496-99D1-B52C1D8A410C}"/>
    <cellStyle name="Normal 9 3 3 2 3 3 3" xfId="31053" xr:uid="{7633DF23-A735-4FCB-989C-AAEA2189DE72}"/>
    <cellStyle name="Normal 9 3 3 2 3 3 4" xfId="14166" xr:uid="{19E3FAAA-0978-4A38-9B0E-DF7263B077C8}"/>
    <cellStyle name="Normal 9 3 3 2 3 4" xfId="18389" xr:uid="{FAA045B9-0C93-4318-845B-A387EC0E22DA}"/>
    <cellStyle name="Normal 9 3 3 2 3 5" xfId="26834" xr:uid="{F82521E8-1B6F-47ED-A65D-6091813B4BCC}"/>
    <cellStyle name="Normal 9 3 3 2 3 6" xfId="9948" xr:uid="{686EF1F6-1F81-4DD5-B9A5-5D4624025089}"/>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25165" xr:uid="{C0CE6010-9BDF-4AF2-8CF4-4B68376E54A9}"/>
    <cellStyle name="Normal 9 3 3 2 4 2 2 3" xfId="33611" xr:uid="{2707E2A9-CAB9-4E3F-A5F4-35AC023ADF5E}"/>
    <cellStyle name="Normal 9 3 3 2 4 2 2 4" xfId="16724" xr:uid="{9EA168F0-4153-4D9A-BF6E-2782F021A460}"/>
    <cellStyle name="Normal 9 3 3 2 4 2 3" xfId="20947" xr:uid="{7461C84E-436C-485A-8E20-464E143DE0F1}"/>
    <cellStyle name="Normal 9 3 3 2 4 2 4" xfId="29394" xr:uid="{5A4EC31A-F083-44B6-A678-CDF8B9746C53}"/>
    <cellStyle name="Normal 9 3 3 2 4 2 5" xfId="12506" xr:uid="{84DA59DF-5F19-47D7-91CE-DA8F573DBF60}"/>
    <cellStyle name="Normal 9 3 3 2 4 3" xfId="6137" xr:uid="{00000000-0005-0000-0000-000007200000}"/>
    <cellStyle name="Normal 9 3 3 2 4 3 2" xfId="23020" xr:uid="{CA5F31A4-0441-44E7-A873-8F125B168663}"/>
    <cellStyle name="Normal 9 3 3 2 4 3 3" xfId="31466" xr:uid="{B9337C2D-8B28-4E06-AF03-046418B7DC87}"/>
    <cellStyle name="Normal 9 3 3 2 4 3 4" xfId="14579" xr:uid="{AE6918FE-073B-4258-B16C-5FDFA1653DB6}"/>
    <cellStyle name="Normal 9 3 3 2 4 4" xfId="18802" xr:uid="{EACA6549-7A97-49F2-90A4-041925B23D57}"/>
    <cellStyle name="Normal 9 3 3 2 4 5" xfId="27247" xr:uid="{F9698FDA-EF11-4A26-A8D1-5F7B4E9E971F}"/>
    <cellStyle name="Normal 9 3 3 2 4 6" xfId="10361" xr:uid="{2382BC4B-BCAB-45C1-99BD-74D5ADD19C59}"/>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25578" xr:uid="{5D45FB3A-3DF0-4B1E-B0E6-32BE43EF28CF}"/>
    <cellStyle name="Normal 9 3 3 2 5 2 2 3" xfId="34024" xr:uid="{C79C952D-310F-4020-AD36-0EF25BBDFA4A}"/>
    <cellStyle name="Normal 9 3 3 2 5 2 2 4" xfId="17137" xr:uid="{7C8BBF61-C5E9-4B33-8D49-4AB82F66721E}"/>
    <cellStyle name="Normal 9 3 3 2 5 2 3" xfId="21360" xr:uid="{D4257599-B7AD-4928-B524-158E9DC11C01}"/>
    <cellStyle name="Normal 9 3 3 2 5 2 4" xfId="29807" xr:uid="{0BD5D5E9-012C-4147-979B-294F4CFB501A}"/>
    <cellStyle name="Normal 9 3 3 2 5 2 5" xfId="12919" xr:uid="{DCC483D8-166E-462C-8DF4-E007A3DCF482}"/>
    <cellStyle name="Normal 9 3 3 2 5 3" xfId="6550" xr:uid="{00000000-0005-0000-0000-00000B200000}"/>
    <cellStyle name="Normal 9 3 3 2 5 3 2" xfId="23433" xr:uid="{2435C33A-F54C-4E06-B130-2B9001E6AF52}"/>
    <cellStyle name="Normal 9 3 3 2 5 3 3" xfId="31879" xr:uid="{D8114B7A-CF6B-4663-8D52-68438A9CFE20}"/>
    <cellStyle name="Normal 9 3 3 2 5 3 4" xfId="14992" xr:uid="{54A0AFEF-C3ED-43AC-92DB-3924530B5C75}"/>
    <cellStyle name="Normal 9 3 3 2 5 4" xfId="19215" xr:uid="{83970065-260E-4CE7-9776-9C2E330DABE7}"/>
    <cellStyle name="Normal 9 3 3 2 5 5" xfId="27660" xr:uid="{D4C618D1-3607-4B3E-ADA0-3D9586DDB1C4}"/>
    <cellStyle name="Normal 9 3 3 2 5 6" xfId="10774" xr:uid="{7E7B0488-B05E-4F09-8F66-1DFD52F4160D}"/>
    <cellStyle name="Normal 9 3 3 2 6" xfId="2679" xr:uid="{00000000-0005-0000-0000-00000C200000}"/>
    <cellStyle name="Normal 9 3 3 2 6 2" xfId="6963" xr:uid="{00000000-0005-0000-0000-00000D200000}"/>
    <cellStyle name="Normal 9 3 3 2 6 2 2" xfId="23846" xr:uid="{BCF794D4-10A3-4E3F-98D3-3043B723A668}"/>
    <cellStyle name="Normal 9 3 3 2 6 2 3" xfId="32292" xr:uid="{E2F769FC-EF3A-4058-85AD-DCAB00005EEA}"/>
    <cellStyle name="Normal 9 3 3 2 6 2 4" xfId="15405" xr:uid="{D8006531-1D3E-4679-9E9A-7690A7411248}"/>
    <cellStyle name="Normal 9 3 3 2 6 3" xfId="19628" xr:uid="{CE5C98C1-C70E-4737-A08D-09C33A890E70}"/>
    <cellStyle name="Normal 9 3 3 2 6 4" xfId="28073" xr:uid="{74AEBBD6-9CAA-4A87-A78E-F999B3878765}"/>
    <cellStyle name="Normal 9 3 3 2 6 5" xfId="11187" xr:uid="{08C82260-EE97-44CE-A737-39739A54AB6B}"/>
    <cellStyle name="Normal 9 3 3 2 7" xfId="4898" xr:uid="{00000000-0005-0000-0000-00000E200000}"/>
    <cellStyle name="Normal 9 3 3 2 7 2" xfId="21781" xr:uid="{E0440CCA-D30B-4B36-A0BE-382B15642E27}"/>
    <cellStyle name="Normal 9 3 3 2 7 3" xfId="30227" xr:uid="{95574EB1-A8DC-4531-990C-34298284F2A7}"/>
    <cellStyle name="Normal 9 3 3 2 7 4" xfId="13340" xr:uid="{A5EF64D4-27F3-489F-A719-6523E2C79916}"/>
    <cellStyle name="Normal 9 3 3 2 8" xfId="17563" xr:uid="{0346F23F-9FE3-45FE-8C47-A1DD3E275503}"/>
    <cellStyle name="Normal 9 3 3 2 9" xfId="26008" xr:uid="{A075495C-26B7-4E3A-9E31-AD582563BC9B}"/>
    <cellStyle name="Normal 9 3 3 3" xfId="999" xr:uid="{00000000-0005-0000-0000-00000F200000}"/>
    <cellStyle name="Normal 9 3 3 3 2" xfId="3232" xr:uid="{00000000-0005-0000-0000-000010200000}"/>
    <cellStyle name="Normal 9 3 3 3 2 2" xfId="7455" xr:uid="{00000000-0005-0000-0000-000011200000}"/>
    <cellStyle name="Normal 9 3 3 3 2 2 2" xfId="24338" xr:uid="{7E163560-7BB1-432E-BA9B-AD9E1B00B4B4}"/>
    <cellStyle name="Normal 9 3 3 3 2 2 3" xfId="32784" xr:uid="{D674569F-2F65-4468-8397-7982C32F19CF}"/>
    <cellStyle name="Normal 9 3 3 3 2 2 4" xfId="15897" xr:uid="{969B86E9-79CC-4D2A-8AB8-B711868C9D1E}"/>
    <cellStyle name="Normal 9 3 3 3 2 3" xfId="20120" xr:uid="{0E410F48-608E-4432-84A6-083A52A67625}"/>
    <cellStyle name="Normal 9 3 3 3 2 4" xfId="28567" xr:uid="{F7C7FA0C-52A7-43DE-A382-5A9F31C56353}"/>
    <cellStyle name="Normal 9 3 3 3 2 5" xfId="11679" xr:uid="{6D8DB27C-52D2-40D8-83D9-DECA0304DF45}"/>
    <cellStyle name="Normal 9 3 3 3 3" xfId="5310" xr:uid="{00000000-0005-0000-0000-000012200000}"/>
    <cellStyle name="Normal 9 3 3 3 3 2" xfId="22193" xr:uid="{7B4779CD-D931-40BF-90C0-03BD9D045F8E}"/>
    <cellStyle name="Normal 9 3 3 3 3 3" xfId="30639" xr:uid="{BC4296A1-077B-4E69-ADA7-F773070AD653}"/>
    <cellStyle name="Normal 9 3 3 3 3 4" xfId="13752" xr:uid="{FF099F34-ED4C-4D8E-AF1F-C99DE7F07005}"/>
    <cellStyle name="Normal 9 3 3 3 4" xfId="17975" xr:uid="{381BF2FD-F683-41FE-B55A-38254E8FF01E}"/>
    <cellStyle name="Normal 9 3 3 3 5" xfId="26420" xr:uid="{EB6558A3-AAFC-4EE9-9F9F-89A16BC632BE}"/>
    <cellStyle name="Normal 9 3 3 3 6" xfId="9534" xr:uid="{B80D7D8B-089E-4642-9F6C-912726A4037C}"/>
    <cellStyle name="Normal 9 3 3 4" xfId="1415" xr:uid="{00000000-0005-0000-0000-000013200000}"/>
    <cellStyle name="Normal 9 3 3 4 2" xfId="3645" xr:uid="{00000000-0005-0000-0000-000014200000}"/>
    <cellStyle name="Normal 9 3 3 4 2 2" xfId="7868" xr:uid="{00000000-0005-0000-0000-000015200000}"/>
    <cellStyle name="Normal 9 3 3 4 2 2 2" xfId="24751" xr:uid="{7354A321-3016-4C81-815F-99EFC79DACEF}"/>
    <cellStyle name="Normal 9 3 3 4 2 2 3" xfId="33197" xr:uid="{8E24461A-2576-4E51-92D3-22F305605C62}"/>
    <cellStyle name="Normal 9 3 3 4 2 2 4" xfId="16310" xr:uid="{233552FA-3B05-4D06-9CAA-D41D57F62906}"/>
    <cellStyle name="Normal 9 3 3 4 2 3" xfId="20533" xr:uid="{C3953248-04C1-429F-A0F5-56281EE92E41}"/>
    <cellStyle name="Normal 9 3 3 4 2 4" xfId="28980" xr:uid="{CDA08BF9-3DF7-47B0-82F1-7E2A8859A2E7}"/>
    <cellStyle name="Normal 9 3 3 4 2 5" xfId="12092" xr:uid="{CF64E9EF-07EF-414C-8E8D-B1BEBE6DC119}"/>
    <cellStyle name="Normal 9 3 3 4 3" xfId="5723" xr:uid="{00000000-0005-0000-0000-000016200000}"/>
    <cellStyle name="Normal 9 3 3 4 3 2" xfId="22606" xr:uid="{0D88F415-B7FE-4AAD-8EA0-DE5D2E40529D}"/>
    <cellStyle name="Normal 9 3 3 4 3 3" xfId="31052" xr:uid="{9E96DF1B-D360-4425-ADCB-906619A01560}"/>
    <cellStyle name="Normal 9 3 3 4 3 4" xfId="14165" xr:uid="{93E6CF54-FC5C-48E2-A704-F83264CAD35D}"/>
    <cellStyle name="Normal 9 3 3 4 4" xfId="18388" xr:uid="{BAB2DBD2-FC19-43EE-84B9-9FB74649DA4A}"/>
    <cellStyle name="Normal 9 3 3 4 5" xfId="26833" xr:uid="{63D5EEB1-7725-44B8-A454-B68CD029FE0F}"/>
    <cellStyle name="Normal 9 3 3 4 6" xfId="9947" xr:uid="{E558E3E1-E59E-430E-ADDE-871C61BFF5EF}"/>
    <cellStyle name="Normal 9 3 3 5" xfId="1828" xr:uid="{00000000-0005-0000-0000-000017200000}"/>
    <cellStyle name="Normal 9 3 3 5 2" xfId="4058" xr:uid="{00000000-0005-0000-0000-000018200000}"/>
    <cellStyle name="Normal 9 3 3 5 2 2" xfId="8281" xr:uid="{00000000-0005-0000-0000-000019200000}"/>
    <cellStyle name="Normal 9 3 3 5 2 2 2" xfId="25164" xr:uid="{D5B80EC6-954E-4ED1-9823-D48E221460F3}"/>
    <cellStyle name="Normal 9 3 3 5 2 2 3" xfId="33610" xr:uid="{2CD630A4-9020-4576-81C4-14407786D6A1}"/>
    <cellStyle name="Normal 9 3 3 5 2 2 4" xfId="16723" xr:uid="{DE56C497-782F-4D72-AC76-152C53E743C5}"/>
    <cellStyle name="Normal 9 3 3 5 2 3" xfId="20946" xr:uid="{412D4B7E-19A6-4BF1-A1CF-9434FB48AFB3}"/>
    <cellStyle name="Normal 9 3 3 5 2 4" xfId="29393" xr:uid="{DBABBA5B-6122-4AFC-BB50-CE822171C7C0}"/>
    <cellStyle name="Normal 9 3 3 5 2 5" xfId="12505" xr:uid="{A6527AFD-E391-4DDA-BE77-C1EBACB3C740}"/>
    <cellStyle name="Normal 9 3 3 5 3" xfId="6136" xr:uid="{00000000-0005-0000-0000-00001A200000}"/>
    <cellStyle name="Normal 9 3 3 5 3 2" xfId="23019" xr:uid="{C570C0E6-55CD-4ADA-8923-EC49DA8E1B52}"/>
    <cellStyle name="Normal 9 3 3 5 3 3" xfId="31465" xr:uid="{38639D4D-4F20-42B7-A9D5-F61802263B9F}"/>
    <cellStyle name="Normal 9 3 3 5 3 4" xfId="14578" xr:uid="{2A4A8579-2463-4FD8-A655-8E2EAA391656}"/>
    <cellStyle name="Normal 9 3 3 5 4" xfId="18801" xr:uid="{E76BCEC5-1EE4-45A6-BE79-AD2019B526BA}"/>
    <cellStyle name="Normal 9 3 3 5 5" xfId="27246" xr:uid="{FF65F31F-030C-41E9-933A-8423AEB8D542}"/>
    <cellStyle name="Normal 9 3 3 5 6" xfId="10360" xr:uid="{CBBA563E-A501-44D6-B65D-EE85E35CC244}"/>
    <cellStyle name="Normal 9 3 3 6" xfId="2242" xr:uid="{00000000-0005-0000-0000-00001B200000}"/>
    <cellStyle name="Normal 9 3 3 6 2" xfId="4471" xr:uid="{00000000-0005-0000-0000-00001C200000}"/>
    <cellStyle name="Normal 9 3 3 6 2 2" xfId="8694" xr:uid="{00000000-0005-0000-0000-00001D200000}"/>
    <cellStyle name="Normal 9 3 3 6 2 2 2" xfId="25577" xr:uid="{28923459-9B94-410F-8958-370440D50639}"/>
    <cellStyle name="Normal 9 3 3 6 2 2 3" xfId="34023" xr:uid="{C80369DD-CBBF-45E4-A5BD-3A4086C150E3}"/>
    <cellStyle name="Normal 9 3 3 6 2 2 4" xfId="17136" xr:uid="{E85F8C06-F50E-4CF5-8C2A-EE20CA84B5A8}"/>
    <cellStyle name="Normal 9 3 3 6 2 3" xfId="21359" xr:uid="{CC08C80D-47DF-459E-982F-5314FFF3DF59}"/>
    <cellStyle name="Normal 9 3 3 6 2 4" xfId="29806" xr:uid="{FDEF63C4-BB88-4CFC-A7B7-EA5F0FD7F19E}"/>
    <cellStyle name="Normal 9 3 3 6 2 5" xfId="12918" xr:uid="{66FEE1EA-FA53-4395-8CA2-D4B0AFD9694D}"/>
    <cellStyle name="Normal 9 3 3 6 3" xfId="6549" xr:uid="{00000000-0005-0000-0000-00001E200000}"/>
    <cellStyle name="Normal 9 3 3 6 3 2" xfId="23432" xr:uid="{5F34DEC5-8A5A-4B73-B130-3D42EB02B135}"/>
    <cellStyle name="Normal 9 3 3 6 3 3" xfId="31878" xr:uid="{B2FE9030-A919-4296-90B7-29EA6AF18679}"/>
    <cellStyle name="Normal 9 3 3 6 3 4" xfId="14991" xr:uid="{F6C3127B-E1B1-4EA4-9F75-7993513A95DA}"/>
    <cellStyle name="Normal 9 3 3 6 4" xfId="19214" xr:uid="{7BD8DF75-C6E7-4B99-A762-A0CF7FB788A8}"/>
    <cellStyle name="Normal 9 3 3 6 5" xfId="27659" xr:uid="{A33A7E1A-6E72-4B07-9261-CD02511C1B9B}"/>
    <cellStyle name="Normal 9 3 3 6 6" xfId="10773" xr:uid="{C4D431DC-150F-4EDC-94C5-4810F203D514}"/>
    <cellStyle name="Normal 9 3 3 7" xfId="2678" xr:uid="{00000000-0005-0000-0000-00001F200000}"/>
    <cellStyle name="Normal 9 3 3 7 2" xfId="6962" xr:uid="{00000000-0005-0000-0000-000020200000}"/>
    <cellStyle name="Normal 9 3 3 7 2 2" xfId="23845" xr:uid="{6E4BAA67-884C-4CEF-97B9-187806E6FEF6}"/>
    <cellStyle name="Normal 9 3 3 7 2 3" xfId="32291" xr:uid="{3BEE8775-512A-483F-8224-9CE271126A4F}"/>
    <cellStyle name="Normal 9 3 3 7 2 4" xfId="15404" xr:uid="{B6E94CB2-2312-4BE6-AB20-D840AF9DBE09}"/>
    <cellStyle name="Normal 9 3 3 7 3" xfId="19627" xr:uid="{5CEBEBAE-2F4C-4A25-A08A-DBDD4A0B73F1}"/>
    <cellStyle name="Normal 9 3 3 7 4" xfId="28072" xr:uid="{EF3E10D1-F2B4-4E89-9C4C-B5A30A553AE9}"/>
    <cellStyle name="Normal 9 3 3 7 5" xfId="11186" xr:uid="{5B366166-E68B-4CFC-8B5E-D1F363A97DFC}"/>
    <cellStyle name="Normal 9 3 3 8" xfId="4897" xr:uid="{00000000-0005-0000-0000-000021200000}"/>
    <cellStyle name="Normal 9 3 3 8 2" xfId="21780" xr:uid="{C2455442-9F86-4F70-AD6D-9E9FF6F1331F}"/>
    <cellStyle name="Normal 9 3 3 8 3" xfId="30226" xr:uid="{BBA893AB-1E46-4D2E-BDE6-F66D53672215}"/>
    <cellStyle name="Normal 9 3 3 8 4" xfId="13339" xr:uid="{0431A907-DEE5-466B-8CDD-DE3A06AA18C2}"/>
    <cellStyle name="Normal 9 3 3 9" xfId="17562" xr:uid="{AEC408EF-26FD-4CE2-9D4B-CDB883C7E8F5}"/>
    <cellStyle name="Normal 9 3 4" xfId="534" xr:uid="{00000000-0005-0000-0000-000022200000}"/>
    <cellStyle name="Normal 9 3 4 10" xfId="9123" xr:uid="{7D740A96-53A0-4A0A-BAEE-2305CE8D5018}"/>
    <cellStyle name="Normal 9 3 4 2" xfId="1001" xr:uid="{00000000-0005-0000-0000-000023200000}"/>
    <cellStyle name="Normal 9 3 4 2 2" xfId="3234" xr:uid="{00000000-0005-0000-0000-000024200000}"/>
    <cellStyle name="Normal 9 3 4 2 2 2" xfId="7457" xr:uid="{00000000-0005-0000-0000-000025200000}"/>
    <cellStyle name="Normal 9 3 4 2 2 2 2" xfId="24340" xr:uid="{FF3ABD3D-2FB1-464E-853E-E057BB81CA13}"/>
    <cellStyle name="Normal 9 3 4 2 2 2 3" xfId="32786" xr:uid="{3BBF4984-8295-484B-8D71-B112A1943AFA}"/>
    <cellStyle name="Normal 9 3 4 2 2 2 4" xfId="15899" xr:uid="{BEFEFBED-226E-499D-B209-585ACDB9A733}"/>
    <cellStyle name="Normal 9 3 4 2 2 3" xfId="20122" xr:uid="{E7CDDA17-8DFD-4C9E-A2D7-09B89E88384A}"/>
    <cellStyle name="Normal 9 3 4 2 2 4" xfId="28569" xr:uid="{CB6B3C9E-BF56-4592-B78B-DF22E64289B0}"/>
    <cellStyle name="Normal 9 3 4 2 2 5" xfId="11681" xr:uid="{1466543E-C3A2-4E70-B738-5E1F6C8F2D15}"/>
    <cellStyle name="Normal 9 3 4 2 3" xfId="5312" xr:uid="{00000000-0005-0000-0000-000026200000}"/>
    <cellStyle name="Normal 9 3 4 2 3 2" xfId="22195" xr:uid="{A704C2E9-EFF0-4454-BC90-232A657289AB}"/>
    <cellStyle name="Normal 9 3 4 2 3 3" xfId="30641" xr:uid="{AA7A1DF4-3886-412D-AA6D-AAE33EA23DD8}"/>
    <cellStyle name="Normal 9 3 4 2 3 4" xfId="13754" xr:uid="{CAED5959-A35B-441A-A786-04931DE458D8}"/>
    <cellStyle name="Normal 9 3 4 2 4" xfId="17977" xr:uid="{FB60E807-E04E-4D53-8FF4-B77736756AE2}"/>
    <cellStyle name="Normal 9 3 4 2 5" xfId="26422" xr:uid="{ACE37139-56D2-4126-8B85-7275A44BCE1A}"/>
    <cellStyle name="Normal 9 3 4 2 6" xfId="9536" xr:uid="{5827004D-D441-49C4-B9C3-D7717397983C}"/>
    <cellStyle name="Normal 9 3 4 3" xfId="1417" xr:uid="{00000000-0005-0000-0000-000027200000}"/>
    <cellStyle name="Normal 9 3 4 3 2" xfId="3647" xr:uid="{00000000-0005-0000-0000-000028200000}"/>
    <cellStyle name="Normal 9 3 4 3 2 2" xfId="7870" xr:uid="{00000000-0005-0000-0000-000029200000}"/>
    <cellStyle name="Normal 9 3 4 3 2 2 2" xfId="24753" xr:uid="{9C3EDC95-762C-42C3-BCBA-1EE03B9EE44F}"/>
    <cellStyle name="Normal 9 3 4 3 2 2 3" xfId="33199" xr:uid="{32B360A7-B9BA-4FFE-907C-35F9C242F997}"/>
    <cellStyle name="Normal 9 3 4 3 2 2 4" xfId="16312" xr:uid="{8E5F10C1-90AF-4503-AD4F-F2107A93757B}"/>
    <cellStyle name="Normal 9 3 4 3 2 3" xfId="20535" xr:uid="{BA4E7598-FCF3-4D7B-A243-6CA13AF3D57A}"/>
    <cellStyle name="Normal 9 3 4 3 2 4" xfId="28982" xr:uid="{42D587F9-44F4-4040-9326-E5C5E3049D55}"/>
    <cellStyle name="Normal 9 3 4 3 2 5" xfId="12094" xr:uid="{D6634603-7282-47AE-8B4A-A72FBBBEE48F}"/>
    <cellStyle name="Normal 9 3 4 3 3" xfId="5725" xr:uid="{00000000-0005-0000-0000-00002A200000}"/>
    <cellStyle name="Normal 9 3 4 3 3 2" xfId="22608" xr:uid="{42E04059-4EE1-4635-8490-E0BFBB55F5F3}"/>
    <cellStyle name="Normal 9 3 4 3 3 3" xfId="31054" xr:uid="{CE40CEB5-2DA8-421E-B48B-CB28D4E2B676}"/>
    <cellStyle name="Normal 9 3 4 3 3 4" xfId="14167" xr:uid="{76051E8E-8A91-47BE-B39F-BAD7121D1145}"/>
    <cellStyle name="Normal 9 3 4 3 4" xfId="18390" xr:uid="{1C175F3A-F773-4212-9AA2-0F08188FD058}"/>
    <cellStyle name="Normal 9 3 4 3 5" xfId="26835" xr:uid="{3D3D7E6D-1F5A-4F84-B14B-905AAEBA4131}"/>
    <cellStyle name="Normal 9 3 4 3 6" xfId="9949" xr:uid="{2A2924AF-CD09-4A37-A5F7-A790B0A14285}"/>
    <cellStyle name="Normal 9 3 4 4" xfId="1830" xr:uid="{00000000-0005-0000-0000-00002B200000}"/>
    <cellStyle name="Normal 9 3 4 4 2" xfId="4060" xr:uid="{00000000-0005-0000-0000-00002C200000}"/>
    <cellStyle name="Normal 9 3 4 4 2 2" xfId="8283" xr:uid="{00000000-0005-0000-0000-00002D200000}"/>
    <cellStyle name="Normal 9 3 4 4 2 2 2" xfId="25166" xr:uid="{0068CBDC-BA8F-49B3-B5B0-1CB28C51ED14}"/>
    <cellStyle name="Normal 9 3 4 4 2 2 3" xfId="33612" xr:uid="{3B24DDE2-1789-4EBE-8B59-5115B6753282}"/>
    <cellStyle name="Normal 9 3 4 4 2 2 4" xfId="16725" xr:uid="{737DBE18-BD9B-4B2D-AD62-F2E4767D5515}"/>
    <cellStyle name="Normal 9 3 4 4 2 3" xfId="20948" xr:uid="{783C308D-AB7F-470F-B657-AFC5F6CE689C}"/>
    <cellStyle name="Normal 9 3 4 4 2 4" xfId="29395" xr:uid="{EA35FA57-9E83-4587-967D-74D8C7AA3EC7}"/>
    <cellStyle name="Normal 9 3 4 4 2 5" xfId="12507" xr:uid="{C5B48200-7D07-4240-9615-8692D7C54B5F}"/>
    <cellStyle name="Normal 9 3 4 4 3" xfId="6138" xr:uid="{00000000-0005-0000-0000-00002E200000}"/>
    <cellStyle name="Normal 9 3 4 4 3 2" xfId="23021" xr:uid="{AC408EE2-A2EB-439E-B996-88672E0412B1}"/>
    <cellStyle name="Normal 9 3 4 4 3 3" xfId="31467" xr:uid="{1FAF0237-BD3F-4479-9EF1-9469E0550A44}"/>
    <cellStyle name="Normal 9 3 4 4 3 4" xfId="14580" xr:uid="{1538B4A4-F395-4683-8BD2-B743E3EE0ABC}"/>
    <cellStyle name="Normal 9 3 4 4 4" xfId="18803" xr:uid="{7051982F-DA62-4165-B8D5-E753581E53D0}"/>
    <cellStyle name="Normal 9 3 4 4 5" xfId="27248" xr:uid="{8EAD9279-8870-489D-B656-BEBDC7580CAE}"/>
    <cellStyle name="Normal 9 3 4 4 6" xfId="10362" xr:uid="{940627C7-9E34-4AB6-A965-E2D127BEB440}"/>
    <cellStyle name="Normal 9 3 4 5" xfId="2244" xr:uid="{00000000-0005-0000-0000-00002F200000}"/>
    <cellStyle name="Normal 9 3 4 5 2" xfId="4473" xr:uid="{00000000-0005-0000-0000-000030200000}"/>
    <cellStyle name="Normal 9 3 4 5 2 2" xfId="8696" xr:uid="{00000000-0005-0000-0000-000031200000}"/>
    <cellStyle name="Normal 9 3 4 5 2 2 2" xfId="25579" xr:uid="{9676BD0C-B26E-45BE-ABF1-EB001606962A}"/>
    <cellStyle name="Normal 9 3 4 5 2 2 3" xfId="34025" xr:uid="{057FA95F-9796-4EC4-8D06-2479A1B72F6C}"/>
    <cellStyle name="Normal 9 3 4 5 2 2 4" xfId="17138" xr:uid="{09573E0D-45AC-498E-9BA1-7ADB85C39AE5}"/>
    <cellStyle name="Normal 9 3 4 5 2 3" xfId="21361" xr:uid="{9B4234F0-C575-491B-B54D-9E7FF3F0AE05}"/>
    <cellStyle name="Normal 9 3 4 5 2 4" xfId="29808" xr:uid="{C39C3587-50C6-41EE-90C7-D3260910A0A8}"/>
    <cellStyle name="Normal 9 3 4 5 2 5" xfId="12920" xr:uid="{2349BAC6-0833-4590-8579-2429C0F685DB}"/>
    <cellStyle name="Normal 9 3 4 5 3" xfId="6551" xr:uid="{00000000-0005-0000-0000-000032200000}"/>
    <cellStyle name="Normal 9 3 4 5 3 2" xfId="23434" xr:uid="{2876A4C4-1DA6-458B-A02D-9B4A7A930DD5}"/>
    <cellStyle name="Normal 9 3 4 5 3 3" xfId="31880" xr:uid="{0F25D964-3E4C-4183-BF9A-E8DA975F65AE}"/>
    <cellStyle name="Normal 9 3 4 5 3 4" xfId="14993" xr:uid="{F77F4D78-BB13-4AD9-B363-3DBD732B6699}"/>
    <cellStyle name="Normal 9 3 4 5 4" xfId="19216" xr:uid="{7835217F-B722-414B-BC2A-6F69C200A363}"/>
    <cellStyle name="Normal 9 3 4 5 5" xfId="27661" xr:uid="{14813A0E-5924-4D53-AC8E-8171D902E2FA}"/>
    <cellStyle name="Normal 9 3 4 5 6" xfId="10775" xr:uid="{B1DB6C12-579A-4642-814C-5B123FC3CD15}"/>
    <cellStyle name="Normal 9 3 4 6" xfId="2680" xr:uid="{00000000-0005-0000-0000-000033200000}"/>
    <cellStyle name="Normal 9 3 4 6 2" xfId="6964" xr:uid="{00000000-0005-0000-0000-000034200000}"/>
    <cellStyle name="Normal 9 3 4 6 2 2" xfId="23847" xr:uid="{0B9E41EA-604D-463C-82E3-FB40023FFBF2}"/>
    <cellStyle name="Normal 9 3 4 6 2 3" xfId="32293" xr:uid="{DA82386E-CE55-416C-BAD9-2F6CF3DC017C}"/>
    <cellStyle name="Normal 9 3 4 6 2 4" xfId="15406" xr:uid="{AD39F26C-80C2-4B9C-964F-71B6E30A1B24}"/>
    <cellStyle name="Normal 9 3 4 6 3" xfId="19629" xr:uid="{3BE78167-36A3-491A-9B94-2CAA0A794F6B}"/>
    <cellStyle name="Normal 9 3 4 6 4" xfId="28074" xr:uid="{A7585062-09A5-46D6-8947-163F25B59AA2}"/>
    <cellStyle name="Normal 9 3 4 6 5" xfId="11188" xr:uid="{81097CEC-C929-49B7-8B44-E788C536D773}"/>
    <cellStyle name="Normal 9 3 4 7" xfId="4899" xr:uid="{00000000-0005-0000-0000-000035200000}"/>
    <cellStyle name="Normal 9 3 4 7 2" xfId="21782" xr:uid="{736DC99B-6DA2-436C-830D-1D617B804275}"/>
    <cellStyle name="Normal 9 3 4 7 3" xfId="30228" xr:uid="{B73CC096-62BA-4ECB-AA8E-3AD2B5FDF7D0}"/>
    <cellStyle name="Normal 9 3 4 7 4" xfId="13341" xr:uid="{AD866C7C-49DF-4760-B759-CE8FA02CE1E4}"/>
    <cellStyle name="Normal 9 3 4 8" xfId="17564" xr:uid="{CDB1E4ED-A131-48A3-8BEB-0852100B02D4}"/>
    <cellStyle name="Normal 9 3 4 9" xfId="26009" xr:uid="{94723F42-1079-4A0E-A3A5-D06EBBECAD6D}"/>
    <cellStyle name="Normal 9 3 5" xfId="994" xr:uid="{00000000-0005-0000-0000-000036200000}"/>
    <cellStyle name="Normal 9 3 5 2" xfId="3227" xr:uid="{00000000-0005-0000-0000-000037200000}"/>
    <cellStyle name="Normal 9 3 5 2 2" xfId="7450" xr:uid="{00000000-0005-0000-0000-000038200000}"/>
    <cellStyle name="Normal 9 3 5 2 2 2" xfId="24333" xr:uid="{B94AD404-C833-4751-8AC9-A4607D0C58AA}"/>
    <cellStyle name="Normal 9 3 5 2 2 3" xfId="32779" xr:uid="{D03E1148-1E2C-41BA-99B4-88E678A3A887}"/>
    <cellStyle name="Normal 9 3 5 2 2 4" xfId="15892" xr:uid="{60BEDD64-9754-4433-AA20-AEECDF29C283}"/>
    <cellStyle name="Normal 9 3 5 2 3" xfId="20115" xr:uid="{6ABAFD29-2752-41EB-A6A7-F73F55603839}"/>
    <cellStyle name="Normal 9 3 5 2 4" xfId="28562" xr:uid="{22DFB381-A36D-4F87-AAF0-BBAF7D7B2372}"/>
    <cellStyle name="Normal 9 3 5 2 5" xfId="11674" xr:uid="{CCD73AA3-B83C-4157-9E1C-A49A9D52BF95}"/>
    <cellStyle name="Normal 9 3 5 3" xfId="5305" xr:uid="{00000000-0005-0000-0000-000039200000}"/>
    <cellStyle name="Normal 9 3 5 3 2" xfId="22188" xr:uid="{3DD3F42D-31D8-44CE-B1A3-A82639F5F8D2}"/>
    <cellStyle name="Normal 9 3 5 3 3" xfId="30634" xr:uid="{1074B187-727C-4456-9F66-C8BBB0082CC0}"/>
    <cellStyle name="Normal 9 3 5 3 4" xfId="13747" xr:uid="{1493855F-E2B9-4534-9BA2-64951F13F004}"/>
    <cellStyle name="Normal 9 3 5 4" xfId="17970" xr:uid="{DFBE3F1F-3818-456D-A720-C5E187B809DD}"/>
    <cellStyle name="Normal 9 3 5 5" xfId="26415" xr:uid="{32DA95C0-22DB-4450-A0D4-A049DA1D5758}"/>
    <cellStyle name="Normal 9 3 5 6" xfId="9529" xr:uid="{F867FD84-9C47-49A1-B22F-27E78FA512CF}"/>
    <cellStyle name="Normal 9 3 6" xfId="1410" xr:uid="{00000000-0005-0000-0000-00003A200000}"/>
    <cellStyle name="Normal 9 3 6 2" xfId="3640" xr:uid="{00000000-0005-0000-0000-00003B200000}"/>
    <cellStyle name="Normal 9 3 6 2 2" xfId="7863" xr:uid="{00000000-0005-0000-0000-00003C200000}"/>
    <cellStyle name="Normal 9 3 6 2 2 2" xfId="24746" xr:uid="{55D6A18E-EE4E-48AC-BC4C-B5A15A8A5299}"/>
    <cellStyle name="Normal 9 3 6 2 2 3" xfId="33192" xr:uid="{0A4B89AB-A9CC-4B16-B0CC-BCD2A4D66F4F}"/>
    <cellStyle name="Normal 9 3 6 2 2 4" xfId="16305" xr:uid="{9D5D32D5-F201-4606-A80D-E1A794A595F6}"/>
    <cellStyle name="Normal 9 3 6 2 3" xfId="20528" xr:uid="{52BD0DB5-04CD-4768-A63F-B6064280FE51}"/>
    <cellStyle name="Normal 9 3 6 2 4" xfId="28975" xr:uid="{24A49038-7183-4DA8-BB57-3AFD574B5F3D}"/>
    <cellStyle name="Normal 9 3 6 2 5" xfId="12087" xr:uid="{E6103C87-D63E-4A6F-8509-D494CA10E490}"/>
    <cellStyle name="Normal 9 3 6 3" xfId="5718" xr:uid="{00000000-0005-0000-0000-00003D200000}"/>
    <cellStyle name="Normal 9 3 6 3 2" xfId="22601" xr:uid="{2ABC33A0-1208-4EAF-A4ED-CAF98D994EF9}"/>
    <cellStyle name="Normal 9 3 6 3 3" xfId="31047" xr:uid="{2D2E1229-6D27-481F-ADB9-671FE0387308}"/>
    <cellStyle name="Normal 9 3 6 3 4" xfId="14160" xr:uid="{ACB94169-0522-4D86-A3E5-19718D899E6A}"/>
    <cellStyle name="Normal 9 3 6 4" xfId="18383" xr:uid="{40B4CC66-A8E7-459D-9FF8-0B956EA148C5}"/>
    <cellStyle name="Normal 9 3 6 5" xfId="26828" xr:uid="{3A19F213-AA68-4716-A50E-7CF3F56D5226}"/>
    <cellStyle name="Normal 9 3 6 6" xfId="9942" xr:uid="{0EE529F2-2ADA-4AAE-A354-5E96602A4653}"/>
    <cellStyle name="Normal 9 3 7" xfId="1823" xr:uid="{00000000-0005-0000-0000-00003E200000}"/>
    <cellStyle name="Normal 9 3 7 2" xfId="4053" xr:uid="{00000000-0005-0000-0000-00003F200000}"/>
    <cellStyle name="Normal 9 3 7 2 2" xfId="8276" xr:uid="{00000000-0005-0000-0000-000040200000}"/>
    <cellStyle name="Normal 9 3 7 2 2 2" xfId="25159" xr:uid="{EEAADEB8-FC39-46C7-AB5B-61D63CF75C84}"/>
    <cellStyle name="Normal 9 3 7 2 2 3" xfId="33605" xr:uid="{038B1CA3-3E54-48DA-BB70-AA542E27FFC1}"/>
    <cellStyle name="Normal 9 3 7 2 2 4" xfId="16718" xr:uid="{C47BC8AA-ECB4-4643-87CE-9A0081434ED4}"/>
    <cellStyle name="Normal 9 3 7 2 3" xfId="20941" xr:uid="{7B3A9606-5C5D-4347-90B8-C2D5DEC2ED83}"/>
    <cellStyle name="Normal 9 3 7 2 4" xfId="29388" xr:uid="{0295F3A8-2ECD-424A-8380-79A9FE21F066}"/>
    <cellStyle name="Normal 9 3 7 2 5" xfId="12500" xr:uid="{73EDE8B4-844F-4D8B-8975-D132CCE54605}"/>
    <cellStyle name="Normal 9 3 7 3" xfId="6131" xr:uid="{00000000-0005-0000-0000-000041200000}"/>
    <cellStyle name="Normal 9 3 7 3 2" xfId="23014" xr:uid="{E147845E-491B-41F5-9381-1DFBD7E5F8EE}"/>
    <cellStyle name="Normal 9 3 7 3 3" xfId="31460" xr:uid="{BD1F73F4-E203-4ACD-8869-56C66E3B13EB}"/>
    <cellStyle name="Normal 9 3 7 3 4" xfId="14573" xr:uid="{2AEB711F-9BB0-41CE-AD2E-D2E34D526E93}"/>
    <cellStyle name="Normal 9 3 7 4" xfId="18796" xr:uid="{595CD084-4ADF-486A-9B20-0773F6B53D21}"/>
    <cellStyle name="Normal 9 3 7 5" xfId="27241" xr:uid="{D0392959-F4E9-4B9E-8FC7-BD9BE479487D}"/>
    <cellStyle name="Normal 9 3 7 6" xfId="10355" xr:uid="{0E647A1A-2C63-4335-A7F1-E316B400848E}"/>
    <cellStyle name="Normal 9 3 8" xfId="2237" xr:uid="{00000000-0005-0000-0000-000042200000}"/>
    <cellStyle name="Normal 9 3 8 2" xfId="4466" xr:uid="{00000000-0005-0000-0000-000043200000}"/>
    <cellStyle name="Normal 9 3 8 2 2" xfId="8689" xr:uid="{00000000-0005-0000-0000-000044200000}"/>
    <cellStyle name="Normal 9 3 8 2 2 2" xfId="25572" xr:uid="{4E7C6959-8BB8-44F7-85F6-336C128BD58E}"/>
    <cellStyle name="Normal 9 3 8 2 2 3" xfId="34018" xr:uid="{C0A15D3A-8ADB-4FDF-8B9E-E45242C0F58B}"/>
    <cellStyle name="Normal 9 3 8 2 2 4" xfId="17131" xr:uid="{7BD98264-02E1-4E0F-BF26-9297BA58D310}"/>
    <cellStyle name="Normal 9 3 8 2 3" xfId="21354" xr:uid="{338CF1ED-B1FE-49BB-AEB7-54CEA9E9F05C}"/>
    <cellStyle name="Normal 9 3 8 2 4" xfId="29801" xr:uid="{D36F9DD5-CE39-45C8-BF4E-E4AC6A028271}"/>
    <cellStyle name="Normal 9 3 8 2 5" xfId="12913" xr:uid="{7C855E62-34B4-4057-849F-566230C13BA4}"/>
    <cellStyle name="Normal 9 3 8 3" xfId="6544" xr:uid="{00000000-0005-0000-0000-000045200000}"/>
    <cellStyle name="Normal 9 3 8 3 2" xfId="23427" xr:uid="{66DAB230-C8E9-40D9-ADA0-1FF4F5C896B8}"/>
    <cellStyle name="Normal 9 3 8 3 3" xfId="31873" xr:uid="{AF9514A2-1E5C-4D6D-B9DA-32467C4E52D8}"/>
    <cellStyle name="Normal 9 3 8 3 4" xfId="14986" xr:uid="{9EFC8AE4-D466-4657-BFF4-28ECA2C85CE5}"/>
    <cellStyle name="Normal 9 3 8 4" xfId="19209" xr:uid="{691F1B4D-88ED-4F3F-B5F3-CD14AD683223}"/>
    <cellStyle name="Normal 9 3 8 5" xfId="27654" xr:uid="{5E74574D-A771-49F0-B2A5-B3DEF384A28C}"/>
    <cellStyle name="Normal 9 3 8 6" xfId="10768" xr:uid="{712A0772-3D9D-45A0-9955-3F91D2B803DD}"/>
    <cellStyle name="Normal 9 3 9" xfId="2673" xr:uid="{00000000-0005-0000-0000-000046200000}"/>
    <cellStyle name="Normal 9 3 9 2" xfId="6957" xr:uid="{00000000-0005-0000-0000-000047200000}"/>
    <cellStyle name="Normal 9 3 9 2 2" xfId="23840" xr:uid="{63BA5A64-5BFB-4E3F-B49C-86B0EC6BD196}"/>
    <cellStyle name="Normal 9 3 9 2 3" xfId="32286" xr:uid="{9E78354B-1DFA-47FE-B886-7D7B91FD8A6C}"/>
    <cellStyle name="Normal 9 3 9 2 4" xfId="15399" xr:uid="{AFB2AF0A-7491-45EA-8A3B-0A995F43B77D}"/>
    <cellStyle name="Normal 9 3 9 3" xfId="19622" xr:uid="{930C4881-3512-47F3-8CCA-1006B8207C3E}"/>
    <cellStyle name="Normal 9 3 9 4" xfId="28067" xr:uid="{55D2AFB2-5F2D-48E8-8C1B-6264B5ED5EEE}"/>
    <cellStyle name="Normal 9 3 9 5" xfId="11181" xr:uid="{7996F13E-FA2B-4299-AE06-284452A4D44D}"/>
    <cellStyle name="Normal 9 4" xfId="535" xr:uid="{00000000-0005-0000-0000-000048200000}"/>
    <cellStyle name="Normal 9 4 2" xfId="1002" xr:uid="{00000000-0005-0000-0000-000049200000}"/>
    <cellStyle name="Normal 9 5" xfId="536" xr:uid="{00000000-0005-0000-0000-00004A200000}"/>
    <cellStyle name="Normal 9 5 10" xfId="26010" xr:uid="{E1B9E10A-7A31-4891-8BBF-8252E5202D7B}"/>
    <cellStyle name="Normal 9 5 11" xfId="9124" xr:uid="{F275AF9C-B501-4ABE-8BCE-7353501D3DC8}"/>
    <cellStyle name="Normal 9 5 2" xfId="537" xr:uid="{00000000-0005-0000-0000-00004B200000}"/>
    <cellStyle name="Normal 9 5 2 10" xfId="9125" xr:uid="{91396638-95A9-482F-A5B9-7A81FCAB1913}"/>
    <cellStyle name="Normal 9 5 2 2" xfId="1004" xr:uid="{00000000-0005-0000-0000-00004C200000}"/>
    <cellStyle name="Normal 9 5 2 2 2" xfId="3236" xr:uid="{00000000-0005-0000-0000-00004D200000}"/>
    <cellStyle name="Normal 9 5 2 2 2 2" xfId="7459" xr:uid="{00000000-0005-0000-0000-00004E200000}"/>
    <cellStyle name="Normal 9 5 2 2 2 2 2" xfId="24342" xr:uid="{0446B90B-4097-4B60-B7AB-742F0FC7DE27}"/>
    <cellStyle name="Normal 9 5 2 2 2 2 3" xfId="32788" xr:uid="{4188E26E-09BA-4F30-B1DC-BEB6509D0790}"/>
    <cellStyle name="Normal 9 5 2 2 2 2 4" xfId="15901" xr:uid="{00890CC8-AACF-496C-B7EC-BF36E111A70C}"/>
    <cellStyle name="Normal 9 5 2 2 2 3" xfId="20124" xr:uid="{5378B6BC-7B1B-457C-B062-931173D00D0A}"/>
    <cellStyle name="Normal 9 5 2 2 2 4" xfId="28571" xr:uid="{268EEADB-3B14-4A24-A303-70029EA2C23A}"/>
    <cellStyle name="Normal 9 5 2 2 2 5" xfId="11683" xr:uid="{39E97E93-EB42-4DD2-81D7-4C639D31E68B}"/>
    <cellStyle name="Normal 9 5 2 2 3" xfId="5314" xr:uid="{00000000-0005-0000-0000-00004F200000}"/>
    <cellStyle name="Normal 9 5 2 2 3 2" xfId="22197" xr:uid="{2686D9C9-7993-46F1-932A-B491BC7499F0}"/>
    <cellStyle name="Normal 9 5 2 2 3 3" xfId="30643" xr:uid="{8C9AFB1B-F17C-43AF-A5D5-F2E72CBEF799}"/>
    <cellStyle name="Normal 9 5 2 2 3 4" xfId="13756" xr:uid="{546C06A2-196C-46EC-897E-5DF06B51964D}"/>
    <cellStyle name="Normal 9 5 2 2 4" xfId="17979" xr:uid="{C9027E25-D978-45FD-AC46-24540127F079}"/>
    <cellStyle name="Normal 9 5 2 2 5" xfId="26424" xr:uid="{22645384-155A-405D-BFCE-D7123EC7DA7C}"/>
    <cellStyle name="Normal 9 5 2 2 6" xfId="9538" xr:uid="{B81C7626-F602-46C2-B57A-F359AED8D040}"/>
    <cellStyle name="Normal 9 5 2 3" xfId="1419" xr:uid="{00000000-0005-0000-0000-000050200000}"/>
    <cellStyle name="Normal 9 5 2 3 2" xfId="3649" xr:uid="{00000000-0005-0000-0000-000051200000}"/>
    <cellStyle name="Normal 9 5 2 3 2 2" xfId="7872" xr:uid="{00000000-0005-0000-0000-000052200000}"/>
    <cellStyle name="Normal 9 5 2 3 2 2 2" xfId="24755" xr:uid="{E3BD566C-5569-435D-AFF6-F0AB7F0DF032}"/>
    <cellStyle name="Normal 9 5 2 3 2 2 3" xfId="33201" xr:uid="{ECD91806-1834-432D-B611-5A3A8373F00D}"/>
    <cellStyle name="Normal 9 5 2 3 2 2 4" xfId="16314" xr:uid="{6483B819-08F7-4E2A-815E-B462667B934B}"/>
    <cellStyle name="Normal 9 5 2 3 2 3" xfId="20537" xr:uid="{927C3F4F-97B5-4433-9367-9EFE75324120}"/>
    <cellStyle name="Normal 9 5 2 3 2 4" xfId="28984" xr:uid="{195093DF-1CA9-4837-8F34-67C0C2A72DA7}"/>
    <cellStyle name="Normal 9 5 2 3 2 5" xfId="12096" xr:uid="{1F28373F-A004-4E60-87B8-CFA19086E7CD}"/>
    <cellStyle name="Normal 9 5 2 3 3" xfId="5727" xr:uid="{00000000-0005-0000-0000-000053200000}"/>
    <cellStyle name="Normal 9 5 2 3 3 2" xfId="22610" xr:uid="{8EC80660-89F2-441D-939F-249F2F6400F4}"/>
    <cellStyle name="Normal 9 5 2 3 3 3" xfId="31056" xr:uid="{73DBE267-DE74-48C2-952F-32DB3B7568E6}"/>
    <cellStyle name="Normal 9 5 2 3 3 4" xfId="14169" xr:uid="{1FAA949C-E98C-494F-BF91-BA5AEBF39CA9}"/>
    <cellStyle name="Normal 9 5 2 3 4" xfId="18392" xr:uid="{3969A052-C3CA-47EB-A6F4-CB52A86BEC09}"/>
    <cellStyle name="Normal 9 5 2 3 5" xfId="26837" xr:uid="{1A7ACED5-BA11-4D18-8132-F471CB6520A6}"/>
    <cellStyle name="Normal 9 5 2 3 6" xfId="9951" xr:uid="{0371454D-732E-48B7-A5B9-2A858D278219}"/>
    <cellStyle name="Normal 9 5 2 4" xfId="1832" xr:uid="{00000000-0005-0000-0000-000054200000}"/>
    <cellStyle name="Normal 9 5 2 4 2" xfId="4062" xr:uid="{00000000-0005-0000-0000-000055200000}"/>
    <cellStyle name="Normal 9 5 2 4 2 2" xfId="8285" xr:uid="{00000000-0005-0000-0000-000056200000}"/>
    <cellStyle name="Normal 9 5 2 4 2 2 2" xfId="25168" xr:uid="{8D2FFB98-BE84-45FF-B165-BEC9C916488F}"/>
    <cellStyle name="Normal 9 5 2 4 2 2 3" xfId="33614" xr:uid="{832A118F-D1C3-4B3A-BF58-A51F1532E638}"/>
    <cellStyle name="Normal 9 5 2 4 2 2 4" xfId="16727" xr:uid="{C5A99482-D936-4F93-A592-39C68908E5F2}"/>
    <cellStyle name="Normal 9 5 2 4 2 3" xfId="20950" xr:uid="{53936D23-2C37-4217-AE05-BA07E8652A44}"/>
    <cellStyle name="Normal 9 5 2 4 2 4" xfId="29397" xr:uid="{C1F8A4E5-390D-4341-B627-3DB2A280CF11}"/>
    <cellStyle name="Normal 9 5 2 4 2 5" xfId="12509" xr:uid="{C7DB0CC0-6344-4968-B4BC-37719DDE88CC}"/>
    <cellStyle name="Normal 9 5 2 4 3" xfId="6140" xr:uid="{00000000-0005-0000-0000-000057200000}"/>
    <cellStyle name="Normal 9 5 2 4 3 2" xfId="23023" xr:uid="{DD72463D-25BF-476B-86A1-24955761BB08}"/>
    <cellStyle name="Normal 9 5 2 4 3 3" xfId="31469" xr:uid="{042097FD-FC58-464F-9F73-BD84C6715460}"/>
    <cellStyle name="Normal 9 5 2 4 3 4" xfId="14582" xr:uid="{AC43F4F7-83A8-4257-A06B-9C76FDD48EF3}"/>
    <cellStyle name="Normal 9 5 2 4 4" xfId="18805" xr:uid="{EEAEF1AA-FE44-4CE9-A6ED-1AEA76E92D6C}"/>
    <cellStyle name="Normal 9 5 2 4 5" xfId="27250" xr:uid="{57D240F2-C418-4B5B-94DB-B07110A99E59}"/>
    <cellStyle name="Normal 9 5 2 4 6" xfId="10364" xr:uid="{C63AF4D0-8E5B-413E-984E-E11104D1B77B}"/>
    <cellStyle name="Normal 9 5 2 5" xfId="2246" xr:uid="{00000000-0005-0000-0000-000058200000}"/>
    <cellStyle name="Normal 9 5 2 5 2" xfId="4475" xr:uid="{00000000-0005-0000-0000-000059200000}"/>
    <cellStyle name="Normal 9 5 2 5 2 2" xfId="8698" xr:uid="{00000000-0005-0000-0000-00005A200000}"/>
    <cellStyle name="Normal 9 5 2 5 2 2 2" xfId="25581" xr:uid="{800C487D-835F-48C0-B36D-86DA83E54831}"/>
    <cellStyle name="Normal 9 5 2 5 2 2 3" xfId="34027" xr:uid="{812193B6-3455-4F26-AB12-F1F537F2F567}"/>
    <cellStyle name="Normal 9 5 2 5 2 2 4" xfId="17140" xr:uid="{9E945C0C-8D3D-4256-8242-D4BE0836A61E}"/>
    <cellStyle name="Normal 9 5 2 5 2 3" xfId="21363" xr:uid="{CAB72D22-71F2-4AC0-8C16-159BB2987FE0}"/>
    <cellStyle name="Normal 9 5 2 5 2 4" xfId="29810" xr:uid="{77264DB0-0A4A-42BE-9748-B7A81A845449}"/>
    <cellStyle name="Normal 9 5 2 5 2 5" xfId="12922" xr:uid="{97AFEF16-4273-46D5-ABF9-2FC94789CBE3}"/>
    <cellStyle name="Normal 9 5 2 5 3" xfId="6553" xr:uid="{00000000-0005-0000-0000-00005B200000}"/>
    <cellStyle name="Normal 9 5 2 5 3 2" xfId="23436" xr:uid="{45A31052-758E-47A1-AF30-CBFA577B0806}"/>
    <cellStyle name="Normal 9 5 2 5 3 3" xfId="31882" xr:uid="{901E7C75-B0CF-4166-8FDB-01CB9F5A1155}"/>
    <cellStyle name="Normal 9 5 2 5 3 4" xfId="14995" xr:uid="{1368181D-722D-4941-808F-02EEB7C7D310}"/>
    <cellStyle name="Normal 9 5 2 5 4" xfId="19218" xr:uid="{C7864CE1-879A-4879-B3CF-170BB679B440}"/>
    <cellStyle name="Normal 9 5 2 5 5" xfId="27663" xr:uid="{917197E3-AF1A-4F44-9C4A-D42C51D3F234}"/>
    <cellStyle name="Normal 9 5 2 5 6" xfId="10777" xr:uid="{A25E610D-C904-4C16-A60A-587D8AB856ED}"/>
    <cellStyle name="Normal 9 5 2 6" xfId="2682" xr:uid="{00000000-0005-0000-0000-00005C200000}"/>
    <cellStyle name="Normal 9 5 2 6 2" xfId="6966" xr:uid="{00000000-0005-0000-0000-00005D200000}"/>
    <cellStyle name="Normal 9 5 2 6 2 2" xfId="23849" xr:uid="{6D6F6156-C425-409E-B368-6C5C2CF6EAC1}"/>
    <cellStyle name="Normal 9 5 2 6 2 3" xfId="32295" xr:uid="{54D3A00C-D0B1-434B-8A16-6034CEDBCA4D}"/>
    <cellStyle name="Normal 9 5 2 6 2 4" xfId="15408" xr:uid="{749DD372-CA6E-4AFC-8247-C65162077872}"/>
    <cellStyle name="Normal 9 5 2 6 3" xfId="19631" xr:uid="{9F2E2E3E-77A5-49BD-BFC8-2B7819005909}"/>
    <cellStyle name="Normal 9 5 2 6 4" xfId="28076" xr:uid="{DC052227-EB3C-4E9E-A912-065E0E516E34}"/>
    <cellStyle name="Normal 9 5 2 6 5" xfId="11190" xr:uid="{AB4665AC-0E4F-423E-B51A-B669206E0EE4}"/>
    <cellStyle name="Normal 9 5 2 7" xfId="4901" xr:uid="{00000000-0005-0000-0000-00005E200000}"/>
    <cellStyle name="Normal 9 5 2 7 2" xfId="21784" xr:uid="{2BE6C6F2-04BA-433D-BC90-C7460D314777}"/>
    <cellStyle name="Normal 9 5 2 7 3" xfId="30230" xr:uid="{E7F0943B-1D25-4219-8C37-D8D0DEA0F6D8}"/>
    <cellStyle name="Normal 9 5 2 7 4" xfId="13343" xr:uid="{FFF41B87-4B27-4184-9578-ECEBF0346221}"/>
    <cellStyle name="Normal 9 5 2 8" xfId="17566" xr:uid="{46117973-9AF4-406C-B0D3-81899C79CF97}"/>
    <cellStyle name="Normal 9 5 2 9" xfId="26011" xr:uid="{48259144-B4B7-4D69-A32C-DFF2F2369916}"/>
    <cellStyle name="Normal 9 5 3" xfId="1003" xr:uid="{00000000-0005-0000-0000-00005F200000}"/>
    <cellStyle name="Normal 9 5 3 2" xfId="3235" xr:uid="{00000000-0005-0000-0000-000060200000}"/>
    <cellStyle name="Normal 9 5 3 2 2" xfId="7458" xr:uid="{00000000-0005-0000-0000-000061200000}"/>
    <cellStyle name="Normal 9 5 3 2 2 2" xfId="24341" xr:uid="{31B36DDB-831C-46A9-9196-161D350A4353}"/>
    <cellStyle name="Normal 9 5 3 2 2 3" xfId="32787" xr:uid="{29BE98CE-8977-43DA-B330-E097A3244473}"/>
    <cellStyle name="Normal 9 5 3 2 2 4" xfId="15900" xr:uid="{90D80848-E2CF-463A-A2EE-736F4012FEF7}"/>
    <cellStyle name="Normal 9 5 3 2 3" xfId="20123" xr:uid="{8B112A8B-0628-4B1F-8578-195ABB7EF7E7}"/>
    <cellStyle name="Normal 9 5 3 2 4" xfId="28570" xr:uid="{7F8A3A0F-8BEF-413C-9F61-2D04A9DDD87C}"/>
    <cellStyle name="Normal 9 5 3 2 5" xfId="11682" xr:uid="{65E99307-A3DE-4036-8F5C-99371F8394C8}"/>
    <cellStyle name="Normal 9 5 3 3" xfId="5313" xr:uid="{00000000-0005-0000-0000-000062200000}"/>
    <cellStyle name="Normal 9 5 3 3 2" xfId="22196" xr:uid="{F00CF9FA-87AC-4D2C-ACC9-DC2353557499}"/>
    <cellStyle name="Normal 9 5 3 3 3" xfId="30642" xr:uid="{1C303DEB-8162-4D59-968B-5A1D11BEF1C8}"/>
    <cellStyle name="Normal 9 5 3 3 4" xfId="13755" xr:uid="{31693085-F7C6-4D6B-8851-13834D024EF0}"/>
    <cellStyle name="Normal 9 5 3 4" xfId="17978" xr:uid="{762CDD55-0203-43EF-8C86-422F53396D53}"/>
    <cellStyle name="Normal 9 5 3 5" xfId="26423" xr:uid="{7026AA0C-D4B7-4258-9C4E-9448CC0497A0}"/>
    <cellStyle name="Normal 9 5 3 6" xfId="9537" xr:uid="{AE104EA2-89E7-45A2-B2E0-CC1ABF2A0E1C}"/>
    <cellStyle name="Normal 9 5 4" xfId="1418" xr:uid="{00000000-0005-0000-0000-000063200000}"/>
    <cellStyle name="Normal 9 5 4 2" xfId="3648" xr:uid="{00000000-0005-0000-0000-000064200000}"/>
    <cellStyle name="Normal 9 5 4 2 2" xfId="7871" xr:uid="{00000000-0005-0000-0000-000065200000}"/>
    <cellStyle name="Normal 9 5 4 2 2 2" xfId="24754" xr:uid="{77C5654D-10F2-4F6B-9138-3E0FA9E05321}"/>
    <cellStyle name="Normal 9 5 4 2 2 3" xfId="33200" xr:uid="{07546ADA-2879-40B6-AC34-101EE7040CE2}"/>
    <cellStyle name="Normal 9 5 4 2 2 4" xfId="16313" xr:uid="{F8AB390E-0802-4A78-A684-C197EA663F09}"/>
    <cellStyle name="Normal 9 5 4 2 3" xfId="20536" xr:uid="{82904289-A3A3-45AA-81D0-6A5C0ADBC0D8}"/>
    <cellStyle name="Normal 9 5 4 2 4" xfId="28983" xr:uid="{E42A8BC0-DFB0-4C53-82C4-730B815ABA13}"/>
    <cellStyle name="Normal 9 5 4 2 5" xfId="12095" xr:uid="{D6B943E3-2BBE-4695-9BE3-0B206F216D1A}"/>
    <cellStyle name="Normal 9 5 4 3" xfId="5726" xr:uid="{00000000-0005-0000-0000-000066200000}"/>
    <cellStyle name="Normal 9 5 4 3 2" xfId="22609" xr:uid="{725E6044-6DC3-4B45-95D5-2076CAF746A5}"/>
    <cellStyle name="Normal 9 5 4 3 3" xfId="31055" xr:uid="{0A6E5E1E-1C0F-4B8C-8017-C7BDD3EFBB09}"/>
    <cellStyle name="Normal 9 5 4 3 4" xfId="14168" xr:uid="{5717AE68-476F-46E0-9316-2818C72AD3D9}"/>
    <cellStyle name="Normal 9 5 4 4" xfId="18391" xr:uid="{52456626-6B1B-4B24-9602-9D4A9686BF94}"/>
    <cellStyle name="Normal 9 5 4 5" xfId="26836" xr:uid="{2B836E74-F4D5-42DD-943C-C8D593C6AFE4}"/>
    <cellStyle name="Normal 9 5 4 6" xfId="9950" xr:uid="{E08167B0-EC2E-4F70-A532-38C663BC9D6F}"/>
    <cellStyle name="Normal 9 5 5" xfId="1831" xr:uid="{00000000-0005-0000-0000-000067200000}"/>
    <cellStyle name="Normal 9 5 5 2" xfId="4061" xr:uid="{00000000-0005-0000-0000-000068200000}"/>
    <cellStyle name="Normal 9 5 5 2 2" xfId="8284" xr:uid="{00000000-0005-0000-0000-000069200000}"/>
    <cellStyle name="Normal 9 5 5 2 2 2" xfId="25167" xr:uid="{79E1A9FF-F9D0-483E-ABBF-9CDDCB0476F7}"/>
    <cellStyle name="Normal 9 5 5 2 2 3" xfId="33613" xr:uid="{D1E881A7-DD96-43A8-9AA7-5E8D30F22080}"/>
    <cellStyle name="Normal 9 5 5 2 2 4" xfId="16726" xr:uid="{C49D9675-12E8-4F6D-B0D9-9590BE033F8A}"/>
    <cellStyle name="Normal 9 5 5 2 3" xfId="20949" xr:uid="{C61CE10E-A5FD-418D-8E29-798823F12038}"/>
    <cellStyle name="Normal 9 5 5 2 4" xfId="29396" xr:uid="{ECE58870-6D45-4782-B2CA-D3077113F252}"/>
    <cellStyle name="Normal 9 5 5 2 5" xfId="12508" xr:uid="{911D60F7-D171-4C06-9A5B-8F0330D06DA9}"/>
    <cellStyle name="Normal 9 5 5 3" xfId="6139" xr:uid="{00000000-0005-0000-0000-00006A200000}"/>
    <cellStyle name="Normal 9 5 5 3 2" xfId="23022" xr:uid="{8B71B53E-DA47-4898-A561-38A8F9E475B3}"/>
    <cellStyle name="Normal 9 5 5 3 3" xfId="31468" xr:uid="{46FF3509-884A-470F-BC7E-95A0D4CC780A}"/>
    <cellStyle name="Normal 9 5 5 3 4" xfId="14581" xr:uid="{E8A8AD51-A0EE-43D2-BDF3-FF9535ED8584}"/>
    <cellStyle name="Normal 9 5 5 4" xfId="18804" xr:uid="{E9CD66DA-1B60-456E-8F63-41AE78E21216}"/>
    <cellStyle name="Normal 9 5 5 5" xfId="27249" xr:uid="{F46CAADC-3A0E-4436-89C5-E45BEDB91E73}"/>
    <cellStyle name="Normal 9 5 5 6" xfId="10363" xr:uid="{BFB9A3D4-6C7C-4F31-876E-30F080891EAB}"/>
    <cellStyle name="Normal 9 5 6" xfId="2245" xr:uid="{00000000-0005-0000-0000-00006B200000}"/>
    <cellStyle name="Normal 9 5 6 2" xfId="4474" xr:uid="{00000000-0005-0000-0000-00006C200000}"/>
    <cellStyle name="Normal 9 5 6 2 2" xfId="8697" xr:uid="{00000000-0005-0000-0000-00006D200000}"/>
    <cellStyle name="Normal 9 5 6 2 2 2" xfId="25580" xr:uid="{244238B1-49B0-4BF8-B271-7E25933BBDCE}"/>
    <cellStyle name="Normal 9 5 6 2 2 3" xfId="34026" xr:uid="{AA9AB26D-2F43-44A8-B863-ADD1F3F2B34D}"/>
    <cellStyle name="Normal 9 5 6 2 2 4" xfId="17139" xr:uid="{953BF1AF-26E3-4FDF-8D58-A51CDFD3587D}"/>
    <cellStyle name="Normal 9 5 6 2 3" xfId="21362" xr:uid="{B078EF37-F2F1-47A4-8FBA-47DD8E08137F}"/>
    <cellStyle name="Normal 9 5 6 2 4" xfId="29809" xr:uid="{ED7EF85F-D1B8-44B2-BB6A-1BA7E2F0875D}"/>
    <cellStyle name="Normal 9 5 6 2 5" xfId="12921" xr:uid="{1F6CA7D8-A52A-4EDC-B1A1-137EA3742D3D}"/>
    <cellStyle name="Normal 9 5 6 3" xfId="6552" xr:uid="{00000000-0005-0000-0000-00006E200000}"/>
    <cellStyle name="Normal 9 5 6 3 2" xfId="23435" xr:uid="{BA991C77-5FA1-46C5-85BD-C88F423381D4}"/>
    <cellStyle name="Normal 9 5 6 3 3" xfId="31881" xr:uid="{E177AF8F-6435-4DDA-916A-DA5A3429773F}"/>
    <cellStyle name="Normal 9 5 6 3 4" xfId="14994" xr:uid="{C7D44EDB-B588-43A1-A0CE-E553FBA7E57B}"/>
    <cellStyle name="Normal 9 5 6 4" xfId="19217" xr:uid="{1CF21A3F-E7C0-4937-86B7-8339E66F603C}"/>
    <cellStyle name="Normal 9 5 6 5" xfId="27662" xr:uid="{791CC864-B7DA-43F8-AE41-32B09A7E3163}"/>
    <cellStyle name="Normal 9 5 6 6" xfId="10776" xr:uid="{0419FE83-4C0B-40A5-8179-EEDAFE4F26E0}"/>
    <cellStyle name="Normal 9 5 7" xfId="2681" xr:uid="{00000000-0005-0000-0000-00006F200000}"/>
    <cellStyle name="Normal 9 5 7 2" xfId="6965" xr:uid="{00000000-0005-0000-0000-000070200000}"/>
    <cellStyle name="Normal 9 5 7 2 2" xfId="23848" xr:uid="{FBECE36F-7B06-4C72-B695-E31BC938FAAF}"/>
    <cellStyle name="Normal 9 5 7 2 3" xfId="32294" xr:uid="{84D790FD-980D-4088-88E5-099CA40CE176}"/>
    <cellStyle name="Normal 9 5 7 2 4" xfId="15407" xr:uid="{4FC13C4C-C553-4D4F-B1C2-7452F6CF8754}"/>
    <cellStyle name="Normal 9 5 7 3" xfId="19630" xr:uid="{CBFBEAFF-B77A-4CCA-B171-6C0444D3DB53}"/>
    <cellStyle name="Normal 9 5 7 4" xfId="28075" xr:uid="{ACC45580-791C-4891-80A4-339370324E9B}"/>
    <cellStyle name="Normal 9 5 7 5" xfId="11189" xr:uid="{15B58AB8-A6E0-45A3-BE4E-B601450707D1}"/>
    <cellStyle name="Normal 9 5 8" xfId="4900" xr:uid="{00000000-0005-0000-0000-000071200000}"/>
    <cellStyle name="Normal 9 5 8 2" xfId="21783" xr:uid="{3CF7EC63-B98A-4A1A-95F4-3B7EECB6658D}"/>
    <cellStyle name="Normal 9 5 8 3" xfId="30229" xr:uid="{F99BCBE9-A906-4D40-A3F4-EAFB42BE7B84}"/>
    <cellStyle name="Normal 9 5 8 4" xfId="13342" xr:uid="{FB510E2E-5681-4789-842D-F14600ADFD80}"/>
    <cellStyle name="Normal 9 5 9" xfId="17565" xr:uid="{59481B64-653F-44CB-8059-31041453B886}"/>
    <cellStyle name="Normal 9 6" xfId="538" xr:uid="{00000000-0005-0000-0000-000072200000}"/>
    <cellStyle name="Normal 9 6 10" xfId="9126" xr:uid="{28DDD405-7A66-498E-8E72-E5B19EA8CE57}"/>
    <cellStyle name="Normal 9 6 2" xfId="1005" xr:uid="{00000000-0005-0000-0000-000073200000}"/>
    <cellStyle name="Normal 9 6 2 2" xfId="3237" xr:uid="{00000000-0005-0000-0000-000074200000}"/>
    <cellStyle name="Normal 9 6 2 2 2" xfId="7460" xr:uid="{00000000-0005-0000-0000-000075200000}"/>
    <cellStyle name="Normal 9 6 2 2 2 2" xfId="24343" xr:uid="{A90C03EB-2707-44C7-83F9-EDEA9707C1DE}"/>
    <cellStyle name="Normal 9 6 2 2 2 3" xfId="32789" xr:uid="{EF3C1B50-E86F-466E-B689-67CD2A7EBC8E}"/>
    <cellStyle name="Normal 9 6 2 2 2 4" xfId="15902" xr:uid="{8877DF55-774D-4F74-92D7-1225A57A93C1}"/>
    <cellStyle name="Normal 9 6 2 2 3" xfId="20125" xr:uid="{097AFACB-8AA6-4795-B04A-7E603CAE2156}"/>
    <cellStyle name="Normal 9 6 2 2 4" xfId="28572" xr:uid="{6F7F3B54-8115-4A8C-A098-2CF485C758DD}"/>
    <cellStyle name="Normal 9 6 2 2 5" xfId="11684" xr:uid="{E35F6917-E012-41FC-A6C6-8BFCDAB43DAE}"/>
    <cellStyle name="Normal 9 6 2 3" xfId="5315" xr:uid="{00000000-0005-0000-0000-000076200000}"/>
    <cellStyle name="Normal 9 6 2 3 2" xfId="22198" xr:uid="{95DBD19D-00C0-4BAB-B5C8-B3EF3CBC8691}"/>
    <cellStyle name="Normal 9 6 2 3 3" xfId="30644" xr:uid="{E90BA99A-47EC-42D8-BA36-CD4086126887}"/>
    <cellStyle name="Normal 9 6 2 3 4" xfId="13757" xr:uid="{819D886E-DA4E-475F-BB45-F8E30D5942EA}"/>
    <cellStyle name="Normal 9 6 2 4" xfId="17980" xr:uid="{8E3D27BF-1976-4042-89C5-4CB9C61981B8}"/>
    <cellStyle name="Normal 9 6 2 5" xfId="26425" xr:uid="{37958FFF-0301-44B9-9C9F-71848AF98EE8}"/>
    <cellStyle name="Normal 9 6 2 6" xfId="9539" xr:uid="{E71C3B72-57E0-46F6-B58D-DD94491DF561}"/>
    <cellStyle name="Normal 9 6 3" xfId="1420" xr:uid="{00000000-0005-0000-0000-000077200000}"/>
    <cellStyle name="Normal 9 6 3 2" xfId="3650" xr:uid="{00000000-0005-0000-0000-000078200000}"/>
    <cellStyle name="Normal 9 6 3 2 2" xfId="7873" xr:uid="{00000000-0005-0000-0000-000079200000}"/>
    <cellStyle name="Normal 9 6 3 2 2 2" xfId="24756" xr:uid="{5977BB36-B3DF-45E7-9D9D-AF56E58D66DD}"/>
    <cellStyle name="Normal 9 6 3 2 2 3" xfId="33202" xr:uid="{5C83318B-BA42-411F-AB68-7426B620B5DC}"/>
    <cellStyle name="Normal 9 6 3 2 2 4" xfId="16315" xr:uid="{64433EDE-A7F3-4C94-B028-BC6C85B6CBFC}"/>
    <cellStyle name="Normal 9 6 3 2 3" xfId="20538" xr:uid="{09E11F2F-CB1B-4F9A-BA13-C5973D9FAD0A}"/>
    <cellStyle name="Normal 9 6 3 2 4" xfId="28985" xr:uid="{AE3627D9-7126-43C3-BBD6-0C3A6FA24436}"/>
    <cellStyle name="Normal 9 6 3 2 5" xfId="12097" xr:uid="{0B3C7B98-FC99-4AFA-ACA7-5E5FCA2D2F0A}"/>
    <cellStyle name="Normal 9 6 3 3" xfId="5728" xr:uid="{00000000-0005-0000-0000-00007A200000}"/>
    <cellStyle name="Normal 9 6 3 3 2" xfId="22611" xr:uid="{3C2F3F20-3806-40BC-8016-FC8BAF796D43}"/>
    <cellStyle name="Normal 9 6 3 3 3" xfId="31057" xr:uid="{1F5CFB2D-CF05-413F-ACDF-6DED170DEE33}"/>
    <cellStyle name="Normal 9 6 3 3 4" xfId="14170" xr:uid="{EF575F0C-710C-4ED5-944F-3A7C1AF9994A}"/>
    <cellStyle name="Normal 9 6 3 4" xfId="18393" xr:uid="{176ABC74-36BF-4585-B7FB-71F2751935AB}"/>
    <cellStyle name="Normal 9 6 3 5" xfId="26838" xr:uid="{C98C3E46-CFC2-48EE-B03C-2C8D6180A485}"/>
    <cellStyle name="Normal 9 6 3 6" xfId="9952" xr:uid="{654E3137-E6FB-407F-8C5C-7C5F0017D500}"/>
    <cellStyle name="Normal 9 6 4" xfId="1833" xr:uid="{00000000-0005-0000-0000-00007B200000}"/>
    <cellStyle name="Normal 9 6 4 2" xfId="4063" xr:uid="{00000000-0005-0000-0000-00007C200000}"/>
    <cellStyle name="Normal 9 6 4 2 2" xfId="8286" xr:uid="{00000000-0005-0000-0000-00007D200000}"/>
    <cellStyle name="Normal 9 6 4 2 2 2" xfId="25169" xr:uid="{B237BB34-A73A-44A0-BDB6-BB75D2F3ECCA}"/>
    <cellStyle name="Normal 9 6 4 2 2 3" xfId="33615" xr:uid="{EF8A4EFD-88EE-4508-B41A-1653CFA34C74}"/>
    <cellStyle name="Normal 9 6 4 2 2 4" xfId="16728" xr:uid="{76FC0D92-3D4B-4F10-85A0-F44CE634BDDB}"/>
    <cellStyle name="Normal 9 6 4 2 3" xfId="20951" xr:uid="{215F53F1-DC22-4511-885C-42CB0EF4F74C}"/>
    <cellStyle name="Normal 9 6 4 2 4" xfId="29398" xr:uid="{A6911266-7948-4B19-9868-E09985DDC78A}"/>
    <cellStyle name="Normal 9 6 4 2 5" xfId="12510" xr:uid="{707C810B-48C4-45B3-8A64-A81833A7FE06}"/>
    <cellStyle name="Normal 9 6 4 3" xfId="6141" xr:uid="{00000000-0005-0000-0000-00007E200000}"/>
    <cellStyle name="Normal 9 6 4 3 2" xfId="23024" xr:uid="{C53D4F93-BCEF-4191-8D9A-6D40BBC3C004}"/>
    <cellStyle name="Normal 9 6 4 3 3" xfId="31470" xr:uid="{24DB7202-BC51-4109-8C43-B1F6A175767A}"/>
    <cellStyle name="Normal 9 6 4 3 4" xfId="14583" xr:uid="{AD086003-8696-4905-B2BE-BA159C809F68}"/>
    <cellStyle name="Normal 9 6 4 4" xfId="18806" xr:uid="{6285DDBB-19B7-44E3-A827-3C3E4AB64C1C}"/>
    <cellStyle name="Normal 9 6 4 5" xfId="27251" xr:uid="{69EE4D07-2450-456C-8DE8-74D2823B8EDF}"/>
    <cellStyle name="Normal 9 6 4 6" xfId="10365" xr:uid="{AAECA84E-8ADD-45B0-BE80-231793A72399}"/>
    <cellStyle name="Normal 9 6 5" xfId="2247" xr:uid="{00000000-0005-0000-0000-00007F200000}"/>
    <cellStyle name="Normal 9 6 5 2" xfId="4476" xr:uid="{00000000-0005-0000-0000-000080200000}"/>
    <cellStyle name="Normal 9 6 5 2 2" xfId="8699" xr:uid="{00000000-0005-0000-0000-000081200000}"/>
    <cellStyle name="Normal 9 6 5 2 2 2" xfId="25582" xr:uid="{D57AED9A-EDDA-4992-9677-9D6AA2D75543}"/>
    <cellStyle name="Normal 9 6 5 2 2 3" xfId="34028" xr:uid="{27EE200B-F65E-4003-B01D-388801169335}"/>
    <cellStyle name="Normal 9 6 5 2 2 4" xfId="17141" xr:uid="{5F9526F6-3857-4E57-85E6-377471D019E6}"/>
    <cellStyle name="Normal 9 6 5 2 3" xfId="21364" xr:uid="{457F7E60-AEC4-491D-94A6-D52221B44699}"/>
    <cellStyle name="Normal 9 6 5 2 4" xfId="29811" xr:uid="{AC1EBC55-A1A8-424E-86B9-E52434ECED94}"/>
    <cellStyle name="Normal 9 6 5 2 5" xfId="12923" xr:uid="{61D9C9DF-B553-4115-8473-E747789DCEFE}"/>
    <cellStyle name="Normal 9 6 5 3" xfId="6554" xr:uid="{00000000-0005-0000-0000-000082200000}"/>
    <cellStyle name="Normal 9 6 5 3 2" xfId="23437" xr:uid="{2180907B-F5C6-482B-A874-2893DECCFEF2}"/>
    <cellStyle name="Normal 9 6 5 3 3" xfId="31883" xr:uid="{4BEBA0F8-A004-4B93-9A2D-805913089F20}"/>
    <cellStyle name="Normal 9 6 5 3 4" xfId="14996" xr:uid="{ABE0F777-A2F6-4E71-AC15-ECBAA5BD5E4B}"/>
    <cellStyle name="Normal 9 6 5 4" xfId="19219" xr:uid="{1CD8E99F-0BB9-4BE4-B5A2-111ADEB2D7EF}"/>
    <cellStyle name="Normal 9 6 5 5" xfId="27664" xr:uid="{0665878F-D3F2-49F7-85BF-889F2522AB92}"/>
    <cellStyle name="Normal 9 6 5 6" xfId="10778" xr:uid="{8606469C-4BDA-4942-AF5F-0E681B27BBC7}"/>
    <cellStyle name="Normal 9 6 6" xfId="2683" xr:uid="{00000000-0005-0000-0000-000083200000}"/>
    <cellStyle name="Normal 9 6 6 2" xfId="6967" xr:uid="{00000000-0005-0000-0000-000084200000}"/>
    <cellStyle name="Normal 9 6 6 2 2" xfId="23850" xr:uid="{45D2207E-052F-466C-B09E-D4E37BFBC5F7}"/>
    <cellStyle name="Normal 9 6 6 2 3" xfId="32296" xr:uid="{E859A569-0CAF-4D68-8391-AB773B8660FE}"/>
    <cellStyle name="Normal 9 6 6 2 4" xfId="15409" xr:uid="{E59F89FD-97A8-4A1F-A8D3-8354B7E37B1B}"/>
    <cellStyle name="Normal 9 6 6 3" xfId="19632" xr:uid="{8F09F233-DAF4-45B0-A0FF-F7A35E3CA384}"/>
    <cellStyle name="Normal 9 6 6 4" xfId="28077" xr:uid="{43E64B73-1896-416F-BAA7-5CA7929EA234}"/>
    <cellStyle name="Normal 9 6 6 5" xfId="11191" xr:uid="{1100C056-4836-43ED-8E99-C311031C5C35}"/>
    <cellStyle name="Normal 9 6 7" xfId="4902" xr:uid="{00000000-0005-0000-0000-000085200000}"/>
    <cellStyle name="Normal 9 6 7 2" xfId="21785" xr:uid="{128FA0CE-3BE5-46CF-BF82-D5B5FA9B93FB}"/>
    <cellStyle name="Normal 9 6 7 3" xfId="30231" xr:uid="{F45D00BD-4E7A-4BAA-994A-6F57765D1D24}"/>
    <cellStyle name="Normal 9 6 7 4" xfId="13344" xr:uid="{029B6E10-052F-440A-8ED5-05D41CB25D67}"/>
    <cellStyle name="Normal 9 6 8" xfId="17567" xr:uid="{7CE211A4-B978-4529-B90D-34A0FDFD7531}"/>
    <cellStyle name="Normal 9 6 9" xfId="26012" xr:uid="{70CF32AE-8FF5-4742-89C0-D0B4D7DE4385}"/>
    <cellStyle name="Normal 9 7" xfId="977" xr:uid="{00000000-0005-0000-0000-000086200000}"/>
    <cellStyle name="Normal 9 8" xfId="34189" xr:uid="{4BEDF667-467D-4801-B5A6-0FB5B1C7540D}"/>
    <cellStyle name="Normal 9_Dropdowns" xfId="34105" xr:uid="{13400525-F003-41A2-87EB-B584992D4BC7}"/>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23931" xr:uid="{386F7A79-A63F-48A4-8133-757EF8D58233}"/>
    <cellStyle name="Note 2 2 10 2 3" xfId="32377" xr:uid="{B9127525-FFCE-496E-9B9A-357B58BBECAF}"/>
    <cellStyle name="Note 2 2 10 2 4" xfId="15490" xr:uid="{FB2A8CDC-AE41-4E04-B60C-8BDCEAA74AB5}"/>
    <cellStyle name="Note 2 2 10 3" xfId="19713" xr:uid="{ECF3DB0C-C923-40D8-8CAC-16F16E57A3AA}"/>
    <cellStyle name="Note 2 2 10 4" xfId="28160" xr:uid="{C4009A42-393D-4AE2-A981-A4E4C2BE38F7}"/>
    <cellStyle name="Note 2 2 10 5" xfId="11272" xr:uid="{8AC83D7B-46E0-4598-B3A5-155A1FF54282}"/>
    <cellStyle name="Note 2 2 11" xfId="4903" xr:uid="{00000000-0005-0000-0000-000094200000}"/>
    <cellStyle name="Note 2 2 11 2" xfId="21786" xr:uid="{0B761BF4-F7C2-4515-8199-1DD5A21B6663}"/>
    <cellStyle name="Note 2 2 11 3" xfId="30232" xr:uid="{23ED2CCC-0A58-4B03-880F-339A194065E3}"/>
    <cellStyle name="Note 2 2 11 4" xfId="13345" xr:uid="{B91D65AF-CB4F-4031-9D34-442DB521AEAA}"/>
    <cellStyle name="Note 2 2 12" xfId="17568" xr:uid="{CC68A22E-554D-49B8-B30E-C4933A12D8E5}"/>
    <cellStyle name="Note 2 2 13" xfId="26013" xr:uid="{A1C3A80E-8022-480A-BA4A-C15ACE8DFF32}"/>
    <cellStyle name="Note 2 2 14" xfId="9127" xr:uid="{855E596F-D213-4413-B1E7-00A1567032AF}"/>
    <cellStyle name="Note 2 2 2" xfId="546" xr:uid="{00000000-0005-0000-0000-000095200000}"/>
    <cellStyle name="Note 2 2 2 10" xfId="4904" xr:uid="{00000000-0005-0000-0000-000096200000}"/>
    <cellStyle name="Note 2 2 2 10 2" xfId="21787" xr:uid="{2B3E2713-1C0A-4323-9E1B-AA2FE1C9E53C}"/>
    <cellStyle name="Note 2 2 2 10 3" xfId="30233" xr:uid="{D7ABFAA8-7B5F-4489-855C-B59841A850A2}"/>
    <cellStyle name="Note 2 2 2 10 4" xfId="13346" xr:uid="{0E7F184E-B80A-47A7-AC5B-0A37B9B51C6D}"/>
    <cellStyle name="Note 2 2 2 11" xfId="17569" xr:uid="{CECAF1AD-A54A-43CB-A9F3-E4B6A8A5344B}"/>
    <cellStyle name="Note 2 2 2 12" xfId="26014" xr:uid="{1A93D20A-96BD-428C-BD31-6B3CE3964F8E}"/>
    <cellStyle name="Note 2 2 2 13" xfId="9128" xr:uid="{12A1FE12-D965-4E4A-90EB-DD9104309B9E}"/>
    <cellStyle name="Note 2 2 2 2" xfId="547" xr:uid="{00000000-0005-0000-0000-000097200000}"/>
    <cellStyle name="Note 2 2 2 2 10" xfId="17570" xr:uid="{6FA03845-7C67-45F1-9578-2D58CDA0FAC9}"/>
    <cellStyle name="Note 2 2 2 2 11" xfId="26015" xr:uid="{BA44F163-A976-4205-98CA-8198AF0EBB47}"/>
    <cellStyle name="Note 2 2 2 2 12" xfId="9129" xr:uid="{926901B2-9980-4D23-BD4C-262E939E553D}"/>
    <cellStyle name="Note 2 2 2 2 2" xfId="1008" xr:uid="{00000000-0005-0000-0000-000098200000}"/>
    <cellStyle name="Note 2 2 2 2 2 2" xfId="3240" xr:uid="{00000000-0005-0000-0000-000099200000}"/>
    <cellStyle name="Note 2 2 2 2 2 2 2" xfId="7463" xr:uid="{00000000-0005-0000-0000-00009A200000}"/>
    <cellStyle name="Note 2 2 2 2 2 2 2 2" xfId="24346" xr:uid="{0C4046C2-1C25-41ED-B517-9582291A496F}"/>
    <cellStyle name="Note 2 2 2 2 2 2 2 3" xfId="32792" xr:uid="{46D6FC38-7A39-4944-BFCB-C6F449D187BE}"/>
    <cellStyle name="Note 2 2 2 2 2 2 2 4" xfId="15905" xr:uid="{728BFC16-E1C4-4A1D-9ECB-1341C95C2C39}"/>
    <cellStyle name="Note 2 2 2 2 2 2 3" xfId="20128" xr:uid="{FB9CC080-5E59-4391-B42A-AFC074EEE8D9}"/>
    <cellStyle name="Note 2 2 2 2 2 2 4" xfId="28575" xr:uid="{3D75C0A3-9605-4103-B73A-A09A9E6DBC29}"/>
    <cellStyle name="Note 2 2 2 2 2 2 5" xfId="11687" xr:uid="{32131F7C-BAC4-48B5-94BE-401EBF176A3D}"/>
    <cellStyle name="Note 2 2 2 2 2 3" xfId="5318" xr:uid="{00000000-0005-0000-0000-00009B200000}"/>
    <cellStyle name="Note 2 2 2 2 2 3 2" xfId="22201" xr:uid="{50D58EC6-3607-430D-8D81-ECE42BB92A6F}"/>
    <cellStyle name="Note 2 2 2 2 2 3 3" xfId="30647" xr:uid="{F3E37AFB-B134-42B9-8080-DBC55F709B78}"/>
    <cellStyle name="Note 2 2 2 2 2 3 4" xfId="13760" xr:uid="{8D3CA045-8E8D-408A-B655-41D47EAD1E96}"/>
    <cellStyle name="Note 2 2 2 2 2 4" xfId="17983" xr:uid="{51DA221B-15B7-4EA5-9F25-80CD9B976B4F}"/>
    <cellStyle name="Note 2 2 2 2 2 5" xfId="26428" xr:uid="{3EAF7EA9-FB53-48EC-AEB9-2ECF4FCC0722}"/>
    <cellStyle name="Note 2 2 2 2 2 6" xfId="9542" xr:uid="{FB5288A5-5623-47F4-BA0D-A75037EDBBB8}"/>
    <cellStyle name="Note 2 2 2 2 3" xfId="1423" xr:uid="{00000000-0005-0000-0000-00009C200000}"/>
    <cellStyle name="Note 2 2 2 2 3 2" xfId="3653" xr:uid="{00000000-0005-0000-0000-00009D200000}"/>
    <cellStyle name="Note 2 2 2 2 3 2 2" xfId="7876" xr:uid="{00000000-0005-0000-0000-00009E200000}"/>
    <cellStyle name="Note 2 2 2 2 3 2 2 2" xfId="24759" xr:uid="{B958AA97-D786-46D0-B579-65D752650C89}"/>
    <cellStyle name="Note 2 2 2 2 3 2 2 3" xfId="33205" xr:uid="{873BE0E9-A852-4822-9C21-3FF96FD41153}"/>
    <cellStyle name="Note 2 2 2 2 3 2 2 4" xfId="16318" xr:uid="{FAB01FDC-211A-4466-AB23-D3A18E5B4F49}"/>
    <cellStyle name="Note 2 2 2 2 3 2 3" xfId="20541" xr:uid="{F4C1410E-6D52-43DE-946C-01E606DC8257}"/>
    <cellStyle name="Note 2 2 2 2 3 2 4" xfId="28988" xr:uid="{7DAFA73D-D7D3-42D3-B74B-E53B909B7A5F}"/>
    <cellStyle name="Note 2 2 2 2 3 2 5" xfId="12100" xr:uid="{4C6F3BA1-9AE0-4A54-9DBA-C4897D275A85}"/>
    <cellStyle name="Note 2 2 2 2 3 3" xfId="5731" xr:uid="{00000000-0005-0000-0000-00009F200000}"/>
    <cellStyle name="Note 2 2 2 2 3 3 2" xfId="22614" xr:uid="{A260F6F0-C1EF-4879-8397-A6DCC8EB9483}"/>
    <cellStyle name="Note 2 2 2 2 3 3 3" xfId="31060" xr:uid="{FCAF429A-1E62-4914-AD5B-650D6CE0D798}"/>
    <cellStyle name="Note 2 2 2 2 3 3 4" xfId="14173" xr:uid="{0D8A6F31-B4B4-4F4F-A264-D7E5B50E5C6D}"/>
    <cellStyle name="Note 2 2 2 2 3 4" xfId="18396" xr:uid="{6D0AA3A9-A492-4067-8185-90F148E17E96}"/>
    <cellStyle name="Note 2 2 2 2 3 5" xfId="26841" xr:uid="{CE795964-69CA-4BD0-A491-98BAAEBA4361}"/>
    <cellStyle name="Note 2 2 2 2 3 6" xfId="9955" xr:uid="{40390FD5-902B-4EF6-909C-1F664469593A}"/>
    <cellStyle name="Note 2 2 2 2 4" xfId="1837" xr:uid="{00000000-0005-0000-0000-0000A0200000}"/>
    <cellStyle name="Note 2 2 2 2 4 2" xfId="4066" xr:uid="{00000000-0005-0000-0000-0000A1200000}"/>
    <cellStyle name="Note 2 2 2 2 4 2 2" xfId="8289" xr:uid="{00000000-0005-0000-0000-0000A2200000}"/>
    <cellStyle name="Note 2 2 2 2 4 2 2 2" xfId="25172" xr:uid="{343C67B4-26E5-4494-BE3D-6BD17337EF5A}"/>
    <cellStyle name="Note 2 2 2 2 4 2 2 3" xfId="33618" xr:uid="{7BCE9FEC-B2C1-4680-AADF-3ECB32E64FB4}"/>
    <cellStyle name="Note 2 2 2 2 4 2 2 4" xfId="16731" xr:uid="{BE304BF1-A091-4320-858F-9045646F3A6A}"/>
    <cellStyle name="Note 2 2 2 2 4 2 3" xfId="20954" xr:uid="{C1333A43-C91C-44A4-8A1D-B5C4D603717B}"/>
    <cellStyle name="Note 2 2 2 2 4 2 4" xfId="29401" xr:uid="{5A7CBB99-FFB8-4118-ADAF-26609435D11B}"/>
    <cellStyle name="Note 2 2 2 2 4 2 5" xfId="12513" xr:uid="{BA35019D-FF73-467E-8D56-3B327A194600}"/>
    <cellStyle name="Note 2 2 2 2 4 3" xfId="6144" xr:uid="{00000000-0005-0000-0000-0000A3200000}"/>
    <cellStyle name="Note 2 2 2 2 4 3 2" xfId="23027" xr:uid="{2030D33F-13BC-4084-A4A9-4EE629BEDAA5}"/>
    <cellStyle name="Note 2 2 2 2 4 3 3" xfId="31473" xr:uid="{8A0ADD5D-F56F-4577-A868-C31743765C7E}"/>
    <cellStyle name="Note 2 2 2 2 4 3 4" xfId="14586" xr:uid="{2B009B85-3788-4DA4-A8BD-67DBBAD225A4}"/>
    <cellStyle name="Note 2 2 2 2 4 4" xfId="18809" xr:uid="{47D1CC7C-AB94-45C8-9791-E261C162C057}"/>
    <cellStyle name="Note 2 2 2 2 4 5" xfId="27254" xr:uid="{12795829-AB18-4B99-B957-9922CDCEBA60}"/>
    <cellStyle name="Note 2 2 2 2 4 6" xfId="10368" xr:uid="{D8A3DFBB-653F-4DC8-8AB2-D7EE1450F1D2}"/>
    <cellStyle name="Note 2 2 2 2 5" xfId="2250" xr:uid="{00000000-0005-0000-0000-0000A4200000}"/>
    <cellStyle name="Note 2 2 2 2 5 2" xfId="4479" xr:uid="{00000000-0005-0000-0000-0000A5200000}"/>
    <cellStyle name="Note 2 2 2 2 5 2 2" xfId="8702" xr:uid="{00000000-0005-0000-0000-0000A6200000}"/>
    <cellStyle name="Note 2 2 2 2 5 2 2 2" xfId="25585" xr:uid="{4987B876-EA7C-4938-A1DC-DC16999C2264}"/>
    <cellStyle name="Note 2 2 2 2 5 2 2 3" xfId="34031" xr:uid="{7E31E77D-D097-4EAE-9EEF-F01C03595BB6}"/>
    <cellStyle name="Note 2 2 2 2 5 2 2 4" xfId="17144" xr:uid="{6EDF05E2-E706-417E-8714-0D6A78028698}"/>
    <cellStyle name="Note 2 2 2 2 5 2 3" xfId="21367" xr:uid="{B4FF5D8D-3F97-486A-BD1E-D41BEAB9E041}"/>
    <cellStyle name="Note 2 2 2 2 5 2 4" xfId="29814" xr:uid="{5BB91FAD-3203-4DC1-BD0E-630532B7BD10}"/>
    <cellStyle name="Note 2 2 2 2 5 2 5" xfId="12926" xr:uid="{A44B357D-B4E5-4060-8FB2-91B56FA9D19A}"/>
    <cellStyle name="Note 2 2 2 2 5 3" xfId="6557" xr:uid="{00000000-0005-0000-0000-0000A7200000}"/>
    <cellStyle name="Note 2 2 2 2 5 3 2" xfId="23440" xr:uid="{B8BEE726-079A-4B0A-A5AB-40AD5ADAC37D}"/>
    <cellStyle name="Note 2 2 2 2 5 3 3" xfId="31886" xr:uid="{CA04BC30-AA2A-4B63-A579-D8F12874F1F7}"/>
    <cellStyle name="Note 2 2 2 2 5 3 4" xfId="14999" xr:uid="{7EF3A34C-29B0-4FB5-A7FC-7A6DF8C88A34}"/>
    <cellStyle name="Note 2 2 2 2 5 4" xfId="19222" xr:uid="{AA472DE0-1285-4354-ACE2-7AFB3DAB7CDC}"/>
    <cellStyle name="Note 2 2 2 2 5 5" xfId="27667" xr:uid="{AD585559-2C6D-4151-AEDB-9CDFA9A91F14}"/>
    <cellStyle name="Note 2 2 2 2 5 6" xfId="10781" xr:uid="{4241305B-30E8-4E30-87EC-C025D0E47CE8}"/>
    <cellStyle name="Note 2 2 2 2 6" xfId="2686" xr:uid="{00000000-0005-0000-0000-0000A8200000}"/>
    <cellStyle name="Note 2 2 2 2 6 2" xfId="6970" xr:uid="{00000000-0005-0000-0000-0000A9200000}"/>
    <cellStyle name="Note 2 2 2 2 6 2 2" xfId="23853" xr:uid="{8A43D516-42DA-4A2A-BFC6-FCDAE78D258D}"/>
    <cellStyle name="Note 2 2 2 2 6 2 3" xfId="32299" xr:uid="{A2715B9F-1BC1-4D09-9C84-A6C2130E274F}"/>
    <cellStyle name="Note 2 2 2 2 6 2 4" xfId="15412" xr:uid="{0FDC7BAE-1C3E-4E95-941A-5781FEEF1B25}"/>
    <cellStyle name="Note 2 2 2 2 6 3" xfId="19635" xr:uid="{DAAF5DAF-99CD-44D5-A2A3-773603CD9909}"/>
    <cellStyle name="Note 2 2 2 2 6 4" xfId="28080" xr:uid="{C8EDB628-3777-49E2-BC10-5D5C77EA19AC}"/>
    <cellStyle name="Note 2 2 2 2 6 5" xfId="11194" xr:uid="{A56D38B7-19AA-476B-A88C-4082E1201458}"/>
    <cellStyle name="Note 2 2 2 2 7" xfId="2745" xr:uid="{00000000-0005-0000-0000-0000AA200000}"/>
    <cellStyle name="Note 2 2 2 2 8" xfId="2826" xr:uid="{00000000-0005-0000-0000-0000AB200000}"/>
    <cellStyle name="Note 2 2 2 2 8 2" xfId="7050" xr:uid="{00000000-0005-0000-0000-0000AC200000}"/>
    <cellStyle name="Note 2 2 2 2 8 2 2" xfId="23933" xr:uid="{F344E80C-570F-4D48-95C7-1EF49E26BA4E}"/>
    <cellStyle name="Note 2 2 2 2 8 2 3" xfId="32379" xr:uid="{2B9E1A95-9E7F-42AB-99ED-0A572B7B3A5F}"/>
    <cellStyle name="Note 2 2 2 2 8 2 4" xfId="15492" xr:uid="{C061997D-9824-46F4-89DD-D33818EDC230}"/>
    <cellStyle name="Note 2 2 2 2 8 3" xfId="19715" xr:uid="{481A61CD-9F7A-430A-B633-E4C416F72EF9}"/>
    <cellStyle name="Note 2 2 2 2 8 4" xfId="28162" xr:uid="{C6B53809-A278-420B-BA7C-871EE0CEB7CD}"/>
    <cellStyle name="Note 2 2 2 2 8 5" xfId="11274" xr:uid="{200F79DA-D711-4D37-B7B4-C1DDBE5FBEE2}"/>
    <cellStyle name="Note 2 2 2 2 9" xfId="4905" xr:uid="{00000000-0005-0000-0000-0000AD200000}"/>
    <cellStyle name="Note 2 2 2 2 9 2" xfId="21788" xr:uid="{8345AE5C-A1FF-48A3-8FC8-24CBC439ED37}"/>
    <cellStyle name="Note 2 2 2 2 9 3" xfId="30234" xr:uid="{61944CE8-E71E-4267-91F3-08BC84CD6DA2}"/>
    <cellStyle name="Note 2 2 2 2 9 4" xfId="13347" xr:uid="{D4F79955-A82D-4F20-B2E0-0E15F9119FC6}"/>
    <cellStyle name="Note 2 2 2 3" xfId="1007" xr:uid="{00000000-0005-0000-0000-0000AE200000}"/>
    <cellStyle name="Note 2 2 2 3 2" xfId="3239" xr:uid="{00000000-0005-0000-0000-0000AF200000}"/>
    <cellStyle name="Note 2 2 2 3 2 2" xfId="7462" xr:uid="{00000000-0005-0000-0000-0000B0200000}"/>
    <cellStyle name="Note 2 2 2 3 2 2 2" xfId="24345" xr:uid="{A165F211-537A-4BAC-8E04-6F472327CAD9}"/>
    <cellStyle name="Note 2 2 2 3 2 2 3" xfId="32791" xr:uid="{18288371-90F3-423F-9919-68FD4364B3E2}"/>
    <cellStyle name="Note 2 2 2 3 2 2 4" xfId="15904" xr:uid="{B61C9B7A-C95F-4307-B69E-B8ABB677E947}"/>
    <cellStyle name="Note 2 2 2 3 2 3" xfId="20127" xr:uid="{00049143-0F70-43DE-B0A9-8D85E43D8B74}"/>
    <cellStyle name="Note 2 2 2 3 2 4" xfId="28574" xr:uid="{ABFBF9B8-5A40-4D22-ABFF-187BA201E069}"/>
    <cellStyle name="Note 2 2 2 3 2 5" xfId="11686" xr:uid="{C2B9187C-C21F-480E-A513-66561DB4D663}"/>
    <cellStyle name="Note 2 2 2 3 3" xfId="5317" xr:uid="{00000000-0005-0000-0000-0000B1200000}"/>
    <cellStyle name="Note 2 2 2 3 3 2" xfId="22200" xr:uid="{47CE0769-EE54-457B-8BF6-B174CF7A8D13}"/>
    <cellStyle name="Note 2 2 2 3 3 3" xfId="30646" xr:uid="{00E6A8BE-B86C-4B88-98AE-8D5F38D1776C}"/>
    <cellStyle name="Note 2 2 2 3 3 4" xfId="13759" xr:uid="{9C000CD8-8E57-454D-A46B-AFCDC130CA3D}"/>
    <cellStyle name="Note 2 2 2 3 4" xfId="17982" xr:uid="{AEF39D19-B904-4382-AD34-B2F1CD0BD31A}"/>
    <cellStyle name="Note 2 2 2 3 5" xfId="26427" xr:uid="{3DBC0AB5-5551-4110-A44B-BBEC8930374B}"/>
    <cellStyle name="Note 2 2 2 3 6" xfId="9541" xr:uid="{F9D13086-7353-4A80-9D48-BDB34395611F}"/>
    <cellStyle name="Note 2 2 2 4" xfId="1422" xr:uid="{00000000-0005-0000-0000-0000B2200000}"/>
    <cellStyle name="Note 2 2 2 4 2" xfId="3652" xr:uid="{00000000-0005-0000-0000-0000B3200000}"/>
    <cellStyle name="Note 2 2 2 4 2 2" xfId="7875" xr:uid="{00000000-0005-0000-0000-0000B4200000}"/>
    <cellStyle name="Note 2 2 2 4 2 2 2" xfId="24758" xr:uid="{AE5AEAA5-7C8C-464A-9957-4996A974E58F}"/>
    <cellStyle name="Note 2 2 2 4 2 2 3" xfId="33204" xr:uid="{9AD89A46-3484-408A-A0B2-0B442983466B}"/>
    <cellStyle name="Note 2 2 2 4 2 2 4" xfId="16317" xr:uid="{2B4FFBA4-F3B8-4219-B0D0-9C7867D14FDB}"/>
    <cellStyle name="Note 2 2 2 4 2 3" xfId="20540" xr:uid="{07A98F37-6645-4700-A3F4-71C71B933A6F}"/>
    <cellStyle name="Note 2 2 2 4 2 4" xfId="28987" xr:uid="{65205CD5-DA16-4508-A1F3-17F2A6EFB690}"/>
    <cellStyle name="Note 2 2 2 4 2 5" xfId="12099" xr:uid="{3019FAD4-1CEB-4661-AAB9-018C0A0B41EA}"/>
    <cellStyle name="Note 2 2 2 4 3" xfId="5730" xr:uid="{00000000-0005-0000-0000-0000B5200000}"/>
    <cellStyle name="Note 2 2 2 4 3 2" xfId="22613" xr:uid="{E8101580-01F3-42B9-83FD-139F0BDD7113}"/>
    <cellStyle name="Note 2 2 2 4 3 3" xfId="31059" xr:uid="{78A89368-38EB-43F1-9ADD-CE14789F9ED5}"/>
    <cellStyle name="Note 2 2 2 4 3 4" xfId="14172" xr:uid="{43DAD054-B1DE-49D9-A7B6-41C9571DC1A0}"/>
    <cellStyle name="Note 2 2 2 4 4" xfId="18395" xr:uid="{5C59C952-D23C-4607-BF7E-32190239FFD9}"/>
    <cellStyle name="Note 2 2 2 4 5" xfId="26840" xr:uid="{64109FDE-E6A8-4B47-9F54-CECBB485F652}"/>
    <cellStyle name="Note 2 2 2 4 6" xfId="9954" xr:uid="{953CFF75-DCDC-4CDD-AC6C-07B141B89A5C}"/>
    <cellStyle name="Note 2 2 2 5" xfId="1836" xr:uid="{00000000-0005-0000-0000-0000B6200000}"/>
    <cellStyle name="Note 2 2 2 5 2" xfId="4065" xr:uid="{00000000-0005-0000-0000-0000B7200000}"/>
    <cellStyle name="Note 2 2 2 5 2 2" xfId="8288" xr:uid="{00000000-0005-0000-0000-0000B8200000}"/>
    <cellStyle name="Note 2 2 2 5 2 2 2" xfId="25171" xr:uid="{28F90B5A-13AC-4564-AEC0-8F992BB488EA}"/>
    <cellStyle name="Note 2 2 2 5 2 2 3" xfId="33617" xr:uid="{B576D0F7-D60D-4CC9-904F-8ECDEE0CD2EE}"/>
    <cellStyle name="Note 2 2 2 5 2 2 4" xfId="16730" xr:uid="{C791F323-8BD9-4174-BBB6-E84CB8088931}"/>
    <cellStyle name="Note 2 2 2 5 2 3" xfId="20953" xr:uid="{38F32ECD-84A5-45EC-AF8E-44AF04899323}"/>
    <cellStyle name="Note 2 2 2 5 2 4" xfId="29400" xr:uid="{25E68185-63D9-47F0-8271-C008496203FF}"/>
    <cellStyle name="Note 2 2 2 5 2 5" xfId="12512" xr:uid="{1784B714-1888-4356-A62A-62630305D47B}"/>
    <cellStyle name="Note 2 2 2 5 3" xfId="6143" xr:uid="{00000000-0005-0000-0000-0000B9200000}"/>
    <cellStyle name="Note 2 2 2 5 3 2" xfId="23026" xr:uid="{570BF850-E172-4562-8BB6-433303DE8FC7}"/>
    <cellStyle name="Note 2 2 2 5 3 3" xfId="31472" xr:uid="{A224087F-6A62-48EA-BE27-299AEB9467EF}"/>
    <cellStyle name="Note 2 2 2 5 3 4" xfId="14585" xr:uid="{225D18B8-4472-4B2B-8486-F66B7DBD5F07}"/>
    <cellStyle name="Note 2 2 2 5 4" xfId="18808" xr:uid="{DB6F72B9-7676-4D04-84EF-603EDAD2D34E}"/>
    <cellStyle name="Note 2 2 2 5 5" xfId="27253" xr:uid="{78904455-D846-41D1-8252-69DDE524CFC5}"/>
    <cellStyle name="Note 2 2 2 5 6" xfId="10367" xr:uid="{A3B29BE5-0517-4BCC-8226-8152422DEC72}"/>
    <cellStyle name="Note 2 2 2 6" xfId="2249" xr:uid="{00000000-0005-0000-0000-0000BA200000}"/>
    <cellStyle name="Note 2 2 2 6 2" xfId="4478" xr:uid="{00000000-0005-0000-0000-0000BB200000}"/>
    <cellStyle name="Note 2 2 2 6 2 2" xfId="8701" xr:uid="{00000000-0005-0000-0000-0000BC200000}"/>
    <cellStyle name="Note 2 2 2 6 2 2 2" xfId="25584" xr:uid="{1B515019-4F22-4B46-AC20-4AD2098ED33D}"/>
    <cellStyle name="Note 2 2 2 6 2 2 3" xfId="34030" xr:uid="{3E3B339D-2D51-4C73-BFF3-292A98E6A563}"/>
    <cellStyle name="Note 2 2 2 6 2 2 4" xfId="17143" xr:uid="{47D3FC96-6755-4F22-8CCC-931C234FF7A0}"/>
    <cellStyle name="Note 2 2 2 6 2 3" xfId="21366" xr:uid="{43E31450-9014-468D-A84F-C6AEC340CE9C}"/>
    <cellStyle name="Note 2 2 2 6 2 4" xfId="29813" xr:uid="{D334D747-D7FA-4E13-BA72-08644390AAB4}"/>
    <cellStyle name="Note 2 2 2 6 2 5" xfId="12925" xr:uid="{CD69ECBF-4F4C-4421-8E39-88E8F3947218}"/>
    <cellStyle name="Note 2 2 2 6 3" xfId="6556" xr:uid="{00000000-0005-0000-0000-0000BD200000}"/>
    <cellStyle name="Note 2 2 2 6 3 2" xfId="23439" xr:uid="{91FB60EA-BEC0-48EB-8F48-14E34D9D09EC}"/>
    <cellStyle name="Note 2 2 2 6 3 3" xfId="31885" xr:uid="{DD8AAB40-B392-470D-838F-B60320970A2A}"/>
    <cellStyle name="Note 2 2 2 6 3 4" xfId="14998" xr:uid="{1238A3C6-8EC2-431A-A2AD-42277A48EE53}"/>
    <cellStyle name="Note 2 2 2 6 4" xfId="19221" xr:uid="{1ECFAADA-42E2-4BC8-9685-BC68DAAD0252}"/>
    <cellStyle name="Note 2 2 2 6 5" xfId="27666" xr:uid="{FCEEE288-1450-435F-B354-BA3E9D770410}"/>
    <cellStyle name="Note 2 2 2 6 6" xfId="10780" xr:uid="{987F5FAC-5D34-4E73-AB5F-6532D0F63E21}"/>
    <cellStyle name="Note 2 2 2 7" xfId="2685" xr:uid="{00000000-0005-0000-0000-0000BE200000}"/>
    <cellStyle name="Note 2 2 2 7 2" xfId="6969" xr:uid="{00000000-0005-0000-0000-0000BF200000}"/>
    <cellStyle name="Note 2 2 2 7 2 2" xfId="23852" xr:uid="{B9FC93FF-6577-4C8E-A041-A172266FBE17}"/>
    <cellStyle name="Note 2 2 2 7 2 3" xfId="32298" xr:uid="{C3226AE6-E307-489D-8527-7594F267711B}"/>
    <cellStyle name="Note 2 2 2 7 2 4" xfId="15411" xr:uid="{50218075-2F36-4E4A-A4A7-F749DF3329AE}"/>
    <cellStyle name="Note 2 2 2 7 3" xfId="19634" xr:uid="{06D59179-5B52-4203-AE1B-0FDB91BF2304}"/>
    <cellStyle name="Note 2 2 2 7 4" xfId="28079" xr:uid="{178D433B-E13D-4029-81E5-8609D0068F10}"/>
    <cellStyle name="Note 2 2 2 7 5" xfId="11193" xr:uid="{D63B86CF-7296-456B-BA0B-6EF61E6C5AB7}"/>
    <cellStyle name="Note 2 2 2 8" xfId="2744" xr:uid="{00000000-0005-0000-0000-0000C0200000}"/>
    <cellStyle name="Note 2 2 2 9" xfId="2825" xr:uid="{00000000-0005-0000-0000-0000C1200000}"/>
    <cellStyle name="Note 2 2 2 9 2" xfId="7049" xr:uid="{00000000-0005-0000-0000-0000C2200000}"/>
    <cellStyle name="Note 2 2 2 9 2 2" xfId="23932" xr:uid="{414E2351-4DCF-45E5-9B65-0236B362FA8D}"/>
    <cellStyle name="Note 2 2 2 9 2 3" xfId="32378" xr:uid="{BD3B4B5D-3357-44F5-B3E5-1A36B65B1603}"/>
    <cellStyle name="Note 2 2 2 9 2 4" xfId="15491" xr:uid="{C77D2D49-FC0C-4017-AA99-D9AC512EE8D9}"/>
    <cellStyle name="Note 2 2 2 9 3" xfId="19714" xr:uid="{A055EB97-5093-4B97-BA7B-D615762092A8}"/>
    <cellStyle name="Note 2 2 2 9 4" xfId="28161" xr:uid="{08125B2A-838D-43AC-BDFA-43365768D38C}"/>
    <cellStyle name="Note 2 2 2 9 5" xfId="11273" xr:uid="{24B70774-2804-47E2-8EC0-E50DDE37BA22}"/>
    <cellStyle name="Note 2 2 3" xfId="548" xr:uid="{00000000-0005-0000-0000-0000C3200000}"/>
    <cellStyle name="Note 2 2 3 10" xfId="17571" xr:uid="{1E1B90E7-A39A-469C-B599-C760A95F2AC1}"/>
    <cellStyle name="Note 2 2 3 11" xfId="26016" xr:uid="{11E35C13-21C8-4554-84B5-B5D363843B8C}"/>
    <cellStyle name="Note 2 2 3 12" xfId="9130" xr:uid="{4F8EECCE-DD84-436A-8816-4F630FAD75B5}"/>
    <cellStyle name="Note 2 2 3 2" xfId="1009" xr:uid="{00000000-0005-0000-0000-0000C4200000}"/>
    <cellStyle name="Note 2 2 3 2 2" xfId="3241" xr:uid="{00000000-0005-0000-0000-0000C5200000}"/>
    <cellStyle name="Note 2 2 3 2 2 2" xfId="7464" xr:uid="{00000000-0005-0000-0000-0000C6200000}"/>
    <cellStyle name="Note 2 2 3 2 2 2 2" xfId="24347" xr:uid="{3D16A804-2695-43C6-A0EB-DD4C7E1A30FE}"/>
    <cellStyle name="Note 2 2 3 2 2 2 3" xfId="32793" xr:uid="{8C85CB11-9104-4CDE-A1A8-74B679A01AA9}"/>
    <cellStyle name="Note 2 2 3 2 2 2 4" xfId="15906" xr:uid="{ADF68438-62FD-4BE3-A622-CFC6D77BB131}"/>
    <cellStyle name="Note 2 2 3 2 2 3" xfId="20129" xr:uid="{CCDE9571-E464-4243-BAC6-78F66A74E354}"/>
    <cellStyle name="Note 2 2 3 2 2 4" xfId="28576" xr:uid="{AC49C2CD-2415-4C8D-BCA0-AE0226D28402}"/>
    <cellStyle name="Note 2 2 3 2 2 5" xfId="11688" xr:uid="{FE165C77-2ED0-49F8-8DBC-92D98D30A1EE}"/>
    <cellStyle name="Note 2 2 3 2 3" xfId="5319" xr:uid="{00000000-0005-0000-0000-0000C7200000}"/>
    <cellStyle name="Note 2 2 3 2 3 2" xfId="22202" xr:uid="{9B24B095-9248-4304-899E-88C4726360C6}"/>
    <cellStyle name="Note 2 2 3 2 3 3" xfId="30648" xr:uid="{C99A4480-1F8F-426D-94F3-D9C15BBF79EA}"/>
    <cellStyle name="Note 2 2 3 2 3 4" xfId="13761" xr:uid="{42AD51AD-B433-40CD-AC83-5E7EA73161CE}"/>
    <cellStyle name="Note 2 2 3 2 4" xfId="17984" xr:uid="{186A0B30-17EE-4324-BB37-43B8E63A83D6}"/>
    <cellStyle name="Note 2 2 3 2 5" xfId="26429" xr:uid="{368C5B51-296A-40C7-8EEF-39C745B443DD}"/>
    <cellStyle name="Note 2 2 3 2 6" xfId="9543" xr:uid="{DE8FBE6D-029C-4F86-933C-CED32D132058}"/>
    <cellStyle name="Note 2 2 3 3" xfId="1424" xr:uid="{00000000-0005-0000-0000-0000C8200000}"/>
    <cellStyle name="Note 2 2 3 3 2" xfId="3654" xr:uid="{00000000-0005-0000-0000-0000C9200000}"/>
    <cellStyle name="Note 2 2 3 3 2 2" xfId="7877" xr:uid="{00000000-0005-0000-0000-0000CA200000}"/>
    <cellStyle name="Note 2 2 3 3 2 2 2" xfId="24760" xr:uid="{B9C0E3FD-18ED-4870-9386-041486AB1886}"/>
    <cellStyle name="Note 2 2 3 3 2 2 3" xfId="33206" xr:uid="{1B89152C-B8DA-4A10-828D-0687B4529A0B}"/>
    <cellStyle name="Note 2 2 3 3 2 2 4" xfId="16319" xr:uid="{567982A3-30B7-4D2D-88CB-DB6EBF52AD84}"/>
    <cellStyle name="Note 2 2 3 3 2 3" xfId="20542" xr:uid="{7E333F9E-0DC0-4359-930E-6FC03EA8BEA6}"/>
    <cellStyle name="Note 2 2 3 3 2 4" xfId="28989" xr:uid="{3E00E6A4-0DA0-4B13-B9D6-6A8DB165F6E5}"/>
    <cellStyle name="Note 2 2 3 3 2 5" xfId="12101" xr:uid="{45B5FC10-DF90-43AB-9ABC-688B3D2C29C3}"/>
    <cellStyle name="Note 2 2 3 3 3" xfId="5732" xr:uid="{00000000-0005-0000-0000-0000CB200000}"/>
    <cellStyle name="Note 2 2 3 3 3 2" xfId="22615" xr:uid="{C89A7FE9-75E1-43F8-80E1-1538EED92F22}"/>
    <cellStyle name="Note 2 2 3 3 3 3" xfId="31061" xr:uid="{5E088549-BCD0-4433-8FBD-BB6AD949A984}"/>
    <cellStyle name="Note 2 2 3 3 3 4" xfId="14174" xr:uid="{C551C2CC-B01A-4243-A253-0839F4FDBE65}"/>
    <cellStyle name="Note 2 2 3 3 4" xfId="18397" xr:uid="{1A4366FB-394B-4E9F-B0DF-D0B3F341F06D}"/>
    <cellStyle name="Note 2 2 3 3 5" xfId="26842" xr:uid="{B5509D8B-85B6-43C7-A6A4-421010C276C8}"/>
    <cellStyle name="Note 2 2 3 3 6" xfId="9956" xr:uid="{7163444C-794C-4EE8-B300-DE765F34B9A9}"/>
    <cellStyle name="Note 2 2 3 4" xfId="1838" xr:uid="{00000000-0005-0000-0000-0000CC200000}"/>
    <cellStyle name="Note 2 2 3 4 2" xfId="4067" xr:uid="{00000000-0005-0000-0000-0000CD200000}"/>
    <cellStyle name="Note 2 2 3 4 2 2" xfId="8290" xr:uid="{00000000-0005-0000-0000-0000CE200000}"/>
    <cellStyle name="Note 2 2 3 4 2 2 2" xfId="25173" xr:uid="{C690B4DF-4EEB-4FBF-B927-FD02CD3215B9}"/>
    <cellStyle name="Note 2 2 3 4 2 2 3" xfId="33619" xr:uid="{519213B7-EFAC-4D4D-AB0F-215139500DEE}"/>
    <cellStyle name="Note 2 2 3 4 2 2 4" xfId="16732" xr:uid="{D46853EC-4867-4E31-8F9B-77B05AD89625}"/>
    <cellStyle name="Note 2 2 3 4 2 3" xfId="20955" xr:uid="{27DAF12B-94DF-4EB4-8281-00E500ACAC74}"/>
    <cellStyle name="Note 2 2 3 4 2 4" xfId="29402" xr:uid="{6A65DC2D-A6AF-46D9-A94F-FD1F63A6945E}"/>
    <cellStyle name="Note 2 2 3 4 2 5" xfId="12514" xr:uid="{3078C621-7B85-415A-812B-C79C3593FF77}"/>
    <cellStyle name="Note 2 2 3 4 3" xfId="6145" xr:uid="{00000000-0005-0000-0000-0000CF200000}"/>
    <cellStyle name="Note 2 2 3 4 3 2" xfId="23028" xr:uid="{663D4C27-383D-4D33-BDA5-8D6FCFE813AD}"/>
    <cellStyle name="Note 2 2 3 4 3 3" xfId="31474" xr:uid="{80E6BA9C-865B-411F-B557-0B02A2DAFD86}"/>
    <cellStyle name="Note 2 2 3 4 3 4" xfId="14587" xr:uid="{BC7F3D55-3497-4FB2-BDF7-9A077266CF3C}"/>
    <cellStyle name="Note 2 2 3 4 4" xfId="18810" xr:uid="{EA2559FA-A6C0-4D5F-B95C-2D9C08ECBFA0}"/>
    <cellStyle name="Note 2 2 3 4 5" xfId="27255" xr:uid="{A2C57EFA-5D2A-472A-960E-3CA94C2FD3D1}"/>
    <cellStyle name="Note 2 2 3 4 6" xfId="10369" xr:uid="{E145758E-AD94-4B2C-94A1-43A94B011377}"/>
    <cellStyle name="Note 2 2 3 5" xfId="2251" xr:uid="{00000000-0005-0000-0000-0000D0200000}"/>
    <cellStyle name="Note 2 2 3 5 2" xfId="4480" xr:uid="{00000000-0005-0000-0000-0000D1200000}"/>
    <cellStyle name="Note 2 2 3 5 2 2" xfId="8703" xr:uid="{00000000-0005-0000-0000-0000D2200000}"/>
    <cellStyle name="Note 2 2 3 5 2 2 2" xfId="25586" xr:uid="{72DAE38C-3E3C-4BE4-8466-A3CEAD250F14}"/>
    <cellStyle name="Note 2 2 3 5 2 2 3" xfId="34032" xr:uid="{FD5D9385-CC51-42BF-967F-FCCA5AD5BB5C}"/>
    <cellStyle name="Note 2 2 3 5 2 2 4" xfId="17145" xr:uid="{915156E7-93B1-4F6B-B65B-2D9EBFE1824B}"/>
    <cellStyle name="Note 2 2 3 5 2 3" xfId="21368" xr:uid="{C246EB96-E524-4E96-9CED-5E2A974D9AB6}"/>
    <cellStyle name="Note 2 2 3 5 2 4" xfId="29815" xr:uid="{E18EB5B1-EB6F-4E69-87A9-A5FFDEBEF9AB}"/>
    <cellStyle name="Note 2 2 3 5 2 5" xfId="12927" xr:uid="{6E17305B-E358-4F53-A8BB-F91AC5182040}"/>
    <cellStyle name="Note 2 2 3 5 3" xfId="6558" xr:uid="{00000000-0005-0000-0000-0000D3200000}"/>
    <cellStyle name="Note 2 2 3 5 3 2" xfId="23441" xr:uid="{74F291B7-B785-45DC-A94C-1AE7A93932C6}"/>
    <cellStyle name="Note 2 2 3 5 3 3" xfId="31887" xr:uid="{355D50C2-B41B-45A4-9C6D-50C1B67377A1}"/>
    <cellStyle name="Note 2 2 3 5 3 4" xfId="15000" xr:uid="{4B248118-8472-469F-B1A7-BB54BCB2165A}"/>
    <cellStyle name="Note 2 2 3 5 4" xfId="19223" xr:uid="{53ADABB8-6750-4E78-A339-5BA2086BF55D}"/>
    <cellStyle name="Note 2 2 3 5 5" xfId="27668" xr:uid="{CBE8DC51-67CE-4CD0-A57A-31F2D008EA75}"/>
    <cellStyle name="Note 2 2 3 5 6" xfId="10782" xr:uid="{DF62ACC6-7DC9-46FD-97D2-D68396912EEE}"/>
    <cellStyle name="Note 2 2 3 6" xfId="2687" xr:uid="{00000000-0005-0000-0000-0000D4200000}"/>
    <cellStyle name="Note 2 2 3 6 2" xfId="6971" xr:uid="{00000000-0005-0000-0000-0000D5200000}"/>
    <cellStyle name="Note 2 2 3 6 2 2" xfId="23854" xr:uid="{18CFFE1C-535B-4862-B18E-40E2030CDDAB}"/>
    <cellStyle name="Note 2 2 3 6 2 3" xfId="32300" xr:uid="{FEE51F2E-8812-4787-915D-42A989066F1B}"/>
    <cellStyle name="Note 2 2 3 6 2 4" xfId="15413" xr:uid="{8EFCBFB3-486A-4012-8EAC-336DEF2211B2}"/>
    <cellStyle name="Note 2 2 3 6 3" xfId="19636" xr:uid="{1B045CA8-4E81-4F3F-8B10-8E01B40E1256}"/>
    <cellStyle name="Note 2 2 3 6 4" xfId="28081" xr:uid="{CA48B6DC-4A46-4866-9921-FB4A57300AB9}"/>
    <cellStyle name="Note 2 2 3 6 5" xfId="11195" xr:uid="{B0E720F7-97C4-4E68-BE92-3A9E0964F3B8}"/>
    <cellStyle name="Note 2 2 3 7" xfId="2746" xr:uid="{00000000-0005-0000-0000-0000D6200000}"/>
    <cellStyle name="Note 2 2 3 8" xfId="2827" xr:uid="{00000000-0005-0000-0000-0000D7200000}"/>
    <cellStyle name="Note 2 2 3 8 2" xfId="7051" xr:uid="{00000000-0005-0000-0000-0000D8200000}"/>
    <cellStyle name="Note 2 2 3 8 2 2" xfId="23934" xr:uid="{375CB6D5-1552-4624-8BB5-AC8623E8587A}"/>
    <cellStyle name="Note 2 2 3 8 2 3" xfId="32380" xr:uid="{50F00387-F3B1-460B-BC20-97A6D522EE9B}"/>
    <cellStyle name="Note 2 2 3 8 2 4" xfId="15493" xr:uid="{A7AA57A1-1A5D-40F9-A2F6-5C0F5DF6F1BA}"/>
    <cellStyle name="Note 2 2 3 8 3" xfId="19716" xr:uid="{5237A9A6-52FD-40D7-86F0-260D5E189BC8}"/>
    <cellStyle name="Note 2 2 3 8 4" xfId="28163" xr:uid="{23199836-831E-4E98-BD26-F9337119A2EE}"/>
    <cellStyle name="Note 2 2 3 8 5" xfId="11275" xr:uid="{26E14805-A1B0-4009-A967-71E6EA065473}"/>
    <cellStyle name="Note 2 2 3 9" xfId="4906" xr:uid="{00000000-0005-0000-0000-0000D9200000}"/>
    <cellStyle name="Note 2 2 3 9 2" xfId="21789" xr:uid="{C7D30913-3697-410C-A855-709B69DBA0AB}"/>
    <cellStyle name="Note 2 2 3 9 3" xfId="30235" xr:uid="{568B8F5C-A32B-4F2C-8605-6AD76E0166B4}"/>
    <cellStyle name="Note 2 2 3 9 4" xfId="13348" xr:uid="{C000D461-5985-4C86-917F-A115EDB96A84}"/>
    <cellStyle name="Note 2 2 4" xfId="1006" xr:uid="{00000000-0005-0000-0000-0000DA200000}"/>
    <cellStyle name="Note 2 2 4 2" xfId="3238" xr:uid="{00000000-0005-0000-0000-0000DB200000}"/>
    <cellStyle name="Note 2 2 4 2 2" xfId="7461" xr:uid="{00000000-0005-0000-0000-0000DC200000}"/>
    <cellStyle name="Note 2 2 4 2 2 2" xfId="24344" xr:uid="{78A3C6FC-0474-44B1-8636-13364888608D}"/>
    <cellStyle name="Note 2 2 4 2 2 3" xfId="32790" xr:uid="{C9B59980-F877-444B-94C8-94789E717366}"/>
    <cellStyle name="Note 2 2 4 2 2 4" xfId="15903" xr:uid="{F4AC4471-0E0E-415A-9CA9-CE451CB0B8E7}"/>
    <cellStyle name="Note 2 2 4 2 3" xfId="20126" xr:uid="{C1E8E41A-BDB6-4348-B2F0-6AAB39A6AEC1}"/>
    <cellStyle name="Note 2 2 4 2 4" xfId="28573" xr:uid="{05539031-AFE0-4A42-8F62-1564EFAD2A43}"/>
    <cellStyle name="Note 2 2 4 2 5" xfId="11685" xr:uid="{0B6ED906-3368-4E04-A711-4C0D2EF08E70}"/>
    <cellStyle name="Note 2 2 4 3" xfId="5316" xr:uid="{00000000-0005-0000-0000-0000DD200000}"/>
    <cellStyle name="Note 2 2 4 3 2" xfId="22199" xr:uid="{947F7575-E543-44D8-99C9-4EA39AC20B9C}"/>
    <cellStyle name="Note 2 2 4 3 3" xfId="30645" xr:uid="{9AA8A80C-5595-48DF-BD7A-87B8F148EE54}"/>
    <cellStyle name="Note 2 2 4 3 4" xfId="13758" xr:uid="{F6CF4F9C-3E2C-4729-8690-CC85871584DC}"/>
    <cellStyle name="Note 2 2 4 4" xfId="17981" xr:uid="{3367FB6A-1CD0-4A42-9EC2-120DE11469CA}"/>
    <cellStyle name="Note 2 2 4 5" xfId="26426" xr:uid="{1C94019B-14CB-4330-9ED0-17EED32C65FA}"/>
    <cellStyle name="Note 2 2 4 6" xfId="9540" xr:uid="{3498F6AD-CF42-4E27-B74E-B407BED3461E}"/>
    <cellStyle name="Note 2 2 5" xfId="1421" xr:uid="{00000000-0005-0000-0000-0000DE200000}"/>
    <cellStyle name="Note 2 2 5 2" xfId="3651" xr:uid="{00000000-0005-0000-0000-0000DF200000}"/>
    <cellStyle name="Note 2 2 5 2 2" xfId="7874" xr:uid="{00000000-0005-0000-0000-0000E0200000}"/>
    <cellStyle name="Note 2 2 5 2 2 2" xfId="24757" xr:uid="{0E5590DE-24E2-490C-B57C-4A4861C7E619}"/>
    <cellStyle name="Note 2 2 5 2 2 3" xfId="33203" xr:uid="{E500C44E-1BCF-4938-AB3D-63831B31B87A}"/>
    <cellStyle name="Note 2 2 5 2 2 4" xfId="16316" xr:uid="{7994E12E-75CC-4ABD-8E4F-AE6DB7C7476A}"/>
    <cellStyle name="Note 2 2 5 2 3" xfId="20539" xr:uid="{5CB05FD7-28CE-4FD2-9C38-2BFCEA47B313}"/>
    <cellStyle name="Note 2 2 5 2 4" xfId="28986" xr:uid="{13319AA4-BE85-4161-9572-5C049EC442C7}"/>
    <cellStyle name="Note 2 2 5 2 5" xfId="12098" xr:uid="{3DFC7ABB-D642-498B-9479-F5EF02AC7CE9}"/>
    <cellStyle name="Note 2 2 5 3" xfId="5729" xr:uid="{00000000-0005-0000-0000-0000E1200000}"/>
    <cellStyle name="Note 2 2 5 3 2" xfId="22612" xr:uid="{4BEC83C9-E04A-4013-874E-EEAE691F1CCA}"/>
    <cellStyle name="Note 2 2 5 3 3" xfId="31058" xr:uid="{FC16FA52-628E-49DE-8D27-8E9E93AED343}"/>
    <cellStyle name="Note 2 2 5 3 4" xfId="14171" xr:uid="{6FBCD80D-5815-411B-9516-BB2081389CE8}"/>
    <cellStyle name="Note 2 2 5 4" xfId="18394" xr:uid="{DE481438-2EA2-4B49-9386-A623D67AF647}"/>
    <cellStyle name="Note 2 2 5 5" xfId="26839" xr:uid="{7955F694-0FB8-4ACC-A49A-105179A529BD}"/>
    <cellStyle name="Note 2 2 5 6" xfId="9953" xr:uid="{F761072F-6CDB-4810-BB56-901088CE5B47}"/>
    <cellStyle name="Note 2 2 6" xfId="1835" xr:uid="{00000000-0005-0000-0000-0000E2200000}"/>
    <cellStyle name="Note 2 2 6 2" xfId="4064" xr:uid="{00000000-0005-0000-0000-0000E3200000}"/>
    <cellStyle name="Note 2 2 6 2 2" xfId="8287" xr:uid="{00000000-0005-0000-0000-0000E4200000}"/>
    <cellStyle name="Note 2 2 6 2 2 2" xfId="25170" xr:uid="{5FCFD62E-249B-4D49-8CB9-325FC44F790C}"/>
    <cellStyle name="Note 2 2 6 2 2 3" xfId="33616" xr:uid="{758A9E92-DBD5-45BD-8681-EC712301C16B}"/>
    <cellStyle name="Note 2 2 6 2 2 4" xfId="16729" xr:uid="{399FE046-EAF0-4C50-A598-35462F4F35F9}"/>
    <cellStyle name="Note 2 2 6 2 3" xfId="20952" xr:uid="{65C521C1-DBA5-4679-8FEA-5B711ECB5149}"/>
    <cellStyle name="Note 2 2 6 2 4" xfId="29399" xr:uid="{D6ABA2A9-88EA-4C56-A1C4-F9254A70F99F}"/>
    <cellStyle name="Note 2 2 6 2 5" xfId="12511" xr:uid="{3231DA87-5B50-4E9B-980A-5B976275995D}"/>
    <cellStyle name="Note 2 2 6 3" xfId="6142" xr:uid="{00000000-0005-0000-0000-0000E5200000}"/>
    <cellStyle name="Note 2 2 6 3 2" xfId="23025" xr:uid="{EA0C7D93-1651-4083-8387-C1BCA6788D15}"/>
    <cellStyle name="Note 2 2 6 3 3" xfId="31471" xr:uid="{5380969A-DEEB-49C9-B419-B4FDA9C973E2}"/>
    <cellStyle name="Note 2 2 6 3 4" xfId="14584" xr:uid="{A5B1E569-C9CC-4BAC-B330-DAB08C027F37}"/>
    <cellStyle name="Note 2 2 6 4" xfId="18807" xr:uid="{E2919EB3-8DD6-4866-91B4-F106B5F6B39E}"/>
    <cellStyle name="Note 2 2 6 5" xfId="27252" xr:uid="{1D3B4001-DB0B-43C8-B8D7-DC8D501C54AA}"/>
    <cellStyle name="Note 2 2 6 6" xfId="10366" xr:uid="{3873BBC3-4E2B-4F99-91D5-7BCCB3BE9B20}"/>
    <cellStyle name="Note 2 2 7" xfId="2248" xr:uid="{00000000-0005-0000-0000-0000E6200000}"/>
    <cellStyle name="Note 2 2 7 2" xfId="4477" xr:uid="{00000000-0005-0000-0000-0000E7200000}"/>
    <cellStyle name="Note 2 2 7 2 2" xfId="8700" xr:uid="{00000000-0005-0000-0000-0000E8200000}"/>
    <cellStyle name="Note 2 2 7 2 2 2" xfId="25583" xr:uid="{C65D50B6-6559-49B5-BAAD-8EF7BC0E566B}"/>
    <cellStyle name="Note 2 2 7 2 2 3" xfId="34029" xr:uid="{BF9D299E-A12E-4B3E-ACA0-C9577FAB011D}"/>
    <cellStyle name="Note 2 2 7 2 2 4" xfId="17142" xr:uid="{ABB153CF-DBB4-456D-9B44-D1D76312B223}"/>
    <cellStyle name="Note 2 2 7 2 3" xfId="21365" xr:uid="{B4C622CB-067E-4221-9004-9E3FF5517B2D}"/>
    <cellStyle name="Note 2 2 7 2 4" xfId="29812" xr:uid="{35D9D8E9-135F-45D4-8D13-3804F80E7B49}"/>
    <cellStyle name="Note 2 2 7 2 5" xfId="12924" xr:uid="{3A7D9AA8-0E65-4950-9531-D5C16D921F1D}"/>
    <cellStyle name="Note 2 2 7 3" xfId="6555" xr:uid="{00000000-0005-0000-0000-0000E9200000}"/>
    <cellStyle name="Note 2 2 7 3 2" xfId="23438" xr:uid="{92105BEF-23DA-4372-8881-3C2BF75B4FC3}"/>
    <cellStyle name="Note 2 2 7 3 3" xfId="31884" xr:uid="{07EE2D0E-EC77-4110-92F9-3B4517EC1E6C}"/>
    <cellStyle name="Note 2 2 7 3 4" xfId="14997" xr:uid="{A754D186-D68B-43CC-A295-2E22CB52508E}"/>
    <cellStyle name="Note 2 2 7 4" xfId="19220" xr:uid="{EC5AD75A-EE57-4B98-8544-34EF6E843F85}"/>
    <cellStyle name="Note 2 2 7 5" xfId="27665" xr:uid="{EA50206D-9FDE-46EB-9798-6A5286983474}"/>
    <cellStyle name="Note 2 2 7 6" xfId="10779" xr:uid="{0EAFB5BB-6AFB-4756-841F-A0E4B329D189}"/>
    <cellStyle name="Note 2 2 8" xfId="2684" xr:uid="{00000000-0005-0000-0000-0000EA200000}"/>
    <cellStyle name="Note 2 2 8 2" xfId="6968" xr:uid="{00000000-0005-0000-0000-0000EB200000}"/>
    <cellStyle name="Note 2 2 8 2 2" xfId="23851" xr:uid="{A3404173-17E3-4CA0-8153-EA8EFAC6BDD5}"/>
    <cellStyle name="Note 2 2 8 2 3" xfId="32297" xr:uid="{105564FE-B5BD-40C9-86E0-C37E484785E7}"/>
    <cellStyle name="Note 2 2 8 2 4" xfId="15410" xr:uid="{03332266-63BB-44F8-B61E-E3BAF15B7A5F}"/>
    <cellStyle name="Note 2 2 8 3" xfId="19633" xr:uid="{3B2C5577-B653-4337-86DD-B9AD303208C4}"/>
    <cellStyle name="Note 2 2 8 4" xfId="28078" xr:uid="{83AA20A2-8DD2-4D7E-B41E-008595243C5B}"/>
    <cellStyle name="Note 2 2 8 5" xfId="11192" xr:uid="{B9CC624B-6CC0-4609-BC0F-30BC7ADEF79E}"/>
    <cellStyle name="Note 2 2 9" xfId="2743" xr:uid="{00000000-0005-0000-0000-0000EC200000}"/>
    <cellStyle name="Note 2 3" xfId="549" xr:uid="{00000000-0005-0000-0000-0000ED200000}"/>
    <cellStyle name="Note 2 3 10" xfId="4907" xr:uid="{00000000-0005-0000-0000-0000EE200000}"/>
    <cellStyle name="Note 2 3 10 2" xfId="21790" xr:uid="{DE28CC79-78F2-45DA-A0D0-531AC86473AD}"/>
    <cellStyle name="Note 2 3 10 3" xfId="30236" xr:uid="{D6F344EC-DDEA-41A0-BFBF-A060BEC19907}"/>
    <cellStyle name="Note 2 3 10 4" xfId="13349" xr:uid="{265FB7C6-CDE4-4258-9A60-7FD9797C3EBC}"/>
    <cellStyle name="Note 2 3 11" xfId="17572" xr:uid="{7E359603-73E8-4951-BD1E-691883327714}"/>
    <cellStyle name="Note 2 3 12" xfId="26017" xr:uid="{2A87B2B1-29E5-4FF5-ACF6-0D7F90CE1742}"/>
    <cellStyle name="Note 2 3 13" xfId="9131" xr:uid="{049170DB-A63A-4071-B3D1-CC0509FA23FF}"/>
    <cellStyle name="Note 2 3 2" xfId="550" xr:uid="{00000000-0005-0000-0000-0000EF200000}"/>
    <cellStyle name="Note 2 3 2 10" xfId="17573" xr:uid="{362ACB3E-397F-478E-A864-CD7F31768D6E}"/>
    <cellStyle name="Note 2 3 2 11" xfId="26018" xr:uid="{0A3D7AAF-262C-416A-B600-9AB144B13187}"/>
    <cellStyle name="Note 2 3 2 12" xfId="9132" xr:uid="{8721C476-1591-4E58-A7FE-B21CEFF329CF}"/>
    <cellStyle name="Note 2 3 2 2" xfId="1011" xr:uid="{00000000-0005-0000-0000-0000F0200000}"/>
    <cellStyle name="Note 2 3 2 2 2" xfId="3243" xr:uid="{00000000-0005-0000-0000-0000F1200000}"/>
    <cellStyle name="Note 2 3 2 2 2 2" xfId="7466" xr:uid="{00000000-0005-0000-0000-0000F2200000}"/>
    <cellStyle name="Note 2 3 2 2 2 2 2" xfId="24349" xr:uid="{DCA03795-FD20-4D9A-9D1D-9CFB13ACF41E}"/>
    <cellStyle name="Note 2 3 2 2 2 2 3" xfId="32795" xr:uid="{75DCEE8A-A93A-4B92-A95B-59E24BF75C1D}"/>
    <cellStyle name="Note 2 3 2 2 2 2 4" xfId="15908" xr:uid="{CC7F0A45-B833-4DE8-8637-0F3095584A85}"/>
    <cellStyle name="Note 2 3 2 2 2 3" xfId="20131" xr:uid="{486F1632-8A6D-4ABC-93B8-994CB463D7E4}"/>
    <cellStyle name="Note 2 3 2 2 2 4" xfId="28578" xr:uid="{976977A8-AE25-45E8-B6F0-532CFB12FD8D}"/>
    <cellStyle name="Note 2 3 2 2 2 5" xfId="11690" xr:uid="{5C41426B-5202-4FE3-BB94-4F74009D31C2}"/>
    <cellStyle name="Note 2 3 2 2 3" xfId="5321" xr:uid="{00000000-0005-0000-0000-0000F3200000}"/>
    <cellStyle name="Note 2 3 2 2 3 2" xfId="22204" xr:uid="{F3129079-147E-4243-AB67-FB54887E042D}"/>
    <cellStyle name="Note 2 3 2 2 3 3" xfId="30650" xr:uid="{7CF94AF2-BE5E-432A-9307-579BD34FC691}"/>
    <cellStyle name="Note 2 3 2 2 3 4" xfId="13763" xr:uid="{F18AD810-7470-4057-B167-CE56666B52CD}"/>
    <cellStyle name="Note 2 3 2 2 4" xfId="17986" xr:uid="{178BF431-1531-4AC1-BE7F-C5B379924FD4}"/>
    <cellStyle name="Note 2 3 2 2 5" xfId="26431" xr:uid="{8255E346-FF0C-4920-BE9B-4A9FFD142B12}"/>
    <cellStyle name="Note 2 3 2 2 6" xfId="9545" xr:uid="{825A1D80-1697-4E89-AEE1-B789C0170C24}"/>
    <cellStyle name="Note 2 3 2 3" xfId="1426" xr:uid="{00000000-0005-0000-0000-0000F4200000}"/>
    <cellStyle name="Note 2 3 2 3 2" xfId="3656" xr:uid="{00000000-0005-0000-0000-0000F5200000}"/>
    <cellStyle name="Note 2 3 2 3 2 2" xfId="7879" xr:uid="{00000000-0005-0000-0000-0000F6200000}"/>
    <cellStyle name="Note 2 3 2 3 2 2 2" xfId="24762" xr:uid="{55DA951E-DD6C-45DD-88D9-A526E3F37249}"/>
    <cellStyle name="Note 2 3 2 3 2 2 3" xfId="33208" xr:uid="{780557D1-1341-4FFB-9CE1-AF91C0F12CC9}"/>
    <cellStyle name="Note 2 3 2 3 2 2 4" xfId="16321" xr:uid="{D5F7D265-0EB5-40AF-99AE-44138B03AED4}"/>
    <cellStyle name="Note 2 3 2 3 2 3" xfId="20544" xr:uid="{BFB1CB1F-B098-4388-82C5-F10A960DE5FB}"/>
    <cellStyle name="Note 2 3 2 3 2 4" xfId="28991" xr:uid="{FB50C1DE-AF0F-439B-91EE-4A347FB00773}"/>
    <cellStyle name="Note 2 3 2 3 2 5" xfId="12103" xr:uid="{13E25B2A-2AB7-4A3A-87B0-67E3E4678EFE}"/>
    <cellStyle name="Note 2 3 2 3 3" xfId="5734" xr:uid="{00000000-0005-0000-0000-0000F7200000}"/>
    <cellStyle name="Note 2 3 2 3 3 2" xfId="22617" xr:uid="{AAAD6954-1944-4187-8437-60CE8D28707C}"/>
    <cellStyle name="Note 2 3 2 3 3 3" xfId="31063" xr:uid="{70F46233-EE6C-45DC-9B4D-0777638C125B}"/>
    <cellStyle name="Note 2 3 2 3 3 4" xfId="14176" xr:uid="{410A8CA3-A30B-4568-94EF-D9611F137D1F}"/>
    <cellStyle name="Note 2 3 2 3 4" xfId="18399" xr:uid="{93A6E6F1-AEA6-423D-A15C-E7B8836B1C1D}"/>
    <cellStyle name="Note 2 3 2 3 5" xfId="26844" xr:uid="{0DF1176B-7566-4D96-9FB3-F4458134B50B}"/>
    <cellStyle name="Note 2 3 2 3 6" xfId="9958" xr:uid="{45F3A844-9471-420B-9B69-32DE385F5BD3}"/>
    <cellStyle name="Note 2 3 2 4" xfId="1840" xr:uid="{00000000-0005-0000-0000-0000F8200000}"/>
    <cellStyle name="Note 2 3 2 4 2" xfId="4069" xr:uid="{00000000-0005-0000-0000-0000F9200000}"/>
    <cellStyle name="Note 2 3 2 4 2 2" xfId="8292" xr:uid="{00000000-0005-0000-0000-0000FA200000}"/>
    <cellStyle name="Note 2 3 2 4 2 2 2" xfId="25175" xr:uid="{11F6F721-117A-49F3-B27F-44CACBEFF443}"/>
    <cellStyle name="Note 2 3 2 4 2 2 3" xfId="33621" xr:uid="{7898D022-40D6-450E-B41B-B34E26FDD077}"/>
    <cellStyle name="Note 2 3 2 4 2 2 4" xfId="16734" xr:uid="{AF431D45-8586-4860-B355-7723730E023F}"/>
    <cellStyle name="Note 2 3 2 4 2 3" xfId="20957" xr:uid="{BC41557E-3210-42AC-99CD-20E4D92E78BE}"/>
    <cellStyle name="Note 2 3 2 4 2 4" xfId="29404" xr:uid="{394435BC-2A71-463B-874E-EC261E828C53}"/>
    <cellStyle name="Note 2 3 2 4 2 5" xfId="12516" xr:uid="{EDDAB673-C91F-4B81-84CB-576DDB37BFEC}"/>
    <cellStyle name="Note 2 3 2 4 3" xfId="6147" xr:uid="{00000000-0005-0000-0000-0000FB200000}"/>
    <cellStyle name="Note 2 3 2 4 3 2" xfId="23030" xr:uid="{084A8A4A-227A-4DAF-8A17-744541DC66AF}"/>
    <cellStyle name="Note 2 3 2 4 3 3" xfId="31476" xr:uid="{6C76D947-C81D-48DD-B922-90B3648271BF}"/>
    <cellStyle name="Note 2 3 2 4 3 4" xfId="14589" xr:uid="{33D16172-6977-4C8B-8C6D-6908ECCFA4D3}"/>
    <cellStyle name="Note 2 3 2 4 4" xfId="18812" xr:uid="{3DFDE57C-F6BC-41A8-8E3C-A3C9641A8924}"/>
    <cellStyle name="Note 2 3 2 4 5" xfId="27257" xr:uid="{A4D84BDB-5DCA-440C-8E68-C1273ADBCDC3}"/>
    <cellStyle name="Note 2 3 2 4 6" xfId="10371" xr:uid="{32B1E770-BFDA-437D-93BE-295D4370E222}"/>
    <cellStyle name="Note 2 3 2 5" xfId="2253" xr:uid="{00000000-0005-0000-0000-0000FC200000}"/>
    <cellStyle name="Note 2 3 2 5 2" xfId="4482" xr:uid="{00000000-0005-0000-0000-0000FD200000}"/>
    <cellStyle name="Note 2 3 2 5 2 2" xfId="8705" xr:uid="{00000000-0005-0000-0000-0000FE200000}"/>
    <cellStyle name="Note 2 3 2 5 2 2 2" xfId="25588" xr:uid="{C32BA335-A5C9-4A93-ADFF-1DF0CD4C7976}"/>
    <cellStyle name="Note 2 3 2 5 2 2 3" xfId="34034" xr:uid="{16584E66-3337-46C8-B73C-870BA820D60D}"/>
    <cellStyle name="Note 2 3 2 5 2 2 4" xfId="17147" xr:uid="{7D82DE7D-C240-4986-A694-31BBC112A58C}"/>
    <cellStyle name="Note 2 3 2 5 2 3" xfId="21370" xr:uid="{82A4DCF9-3122-4A8C-9D7C-62F3C0447317}"/>
    <cellStyle name="Note 2 3 2 5 2 4" xfId="29817" xr:uid="{7BDADE3E-E530-4F1A-BC9F-D1AFEF100484}"/>
    <cellStyle name="Note 2 3 2 5 2 5" xfId="12929" xr:uid="{45A24A59-1787-42CA-9FAD-4BC8E1E8E0F0}"/>
    <cellStyle name="Note 2 3 2 5 3" xfId="6560" xr:uid="{00000000-0005-0000-0000-0000FF200000}"/>
    <cellStyle name="Note 2 3 2 5 3 2" xfId="23443" xr:uid="{BFD65D33-020D-48F0-ACB0-CDAA7EDC7C0F}"/>
    <cellStyle name="Note 2 3 2 5 3 3" xfId="31889" xr:uid="{B177B5BD-4C73-4B36-BCCD-B9104F291142}"/>
    <cellStyle name="Note 2 3 2 5 3 4" xfId="15002" xr:uid="{68BC6321-14C6-42C5-9898-CC9B0290897E}"/>
    <cellStyle name="Note 2 3 2 5 4" xfId="19225" xr:uid="{C5D00B1E-20AA-4FD4-881A-BF3CC692B341}"/>
    <cellStyle name="Note 2 3 2 5 5" xfId="27670" xr:uid="{88591C2D-9CD3-4C36-9E75-C915EE81E7E6}"/>
    <cellStyle name="Note 2 3 2 5 6" xfId="10784" xr:uid="{A6460FC8-DA2F-470C-9122-E3D38F311C41}"/>
    <cellStyle name="Note 2 3 2 6" xfId="2689" xr:uid="{00000000-0005-0000-0000-000000210000}"/>
    <cellStyle name="Note 2 3 2 6 2" xfId="6973" xr:uid="{00000000-0005-0000-0000-000001210000}"/>
    <cellStyle name="Note 2 3 2 6 2 2" xfId="23856" xr:uid="{8C9B2445-800A-4B74-93C6-626115DCE7DC}"/>
    <cellStyle name="Note 2 3 2 6 2 3" xfId="32302" xr:uid="{9B8D9DE0-6ADC-4A7E-ABA0-82167F72A120}"/>
    <cellStyle name="Note 2 3 2 6 2 4" xfId="15415" xr:uid="{37276EFC-A49F-46EE-97C2-3B297C80511D}"/>
    <cellStyle name="Note 2 3 2 6 3" xfId="19638" xr:uid="{AF15CE7A-8141-43EC-9DD6-86A80646E52E}"/>
    <cellStyle name="Note 2 3 2 6 4" xfId="28083" xr:uid="{23E7D820-46C6-4E41-9ED7-71D2392776D7}"/>
    <cellStyle name="Note 2 3 2 6 5" xfId="11197" xr:uid="{D62F34E5-FA45-4A99-BD5C-0602EFBEE92E}"/>
    <cellStyle name="Note 2 3 2 7" xfId="2748" xr:uid="{00000000-0005-0000-0000-000002210000}"/>
    <cellStyle name="Note 2 3 2 8" xfId="2829" xr:uid="{00000000-0005-0000-0000-000003210000}"/>
    <cellStyle name="Note 2 3 2 8 2" xfId="7053" xr:uid="{00000000-0005-0000-0000-000004210000}"/>
    <cellStyle name="Note 2 3 2 8 2 2" xfId="23936" xr:uid="{1380B5EF-191A-4489-B319-4CB8EBD8C6E4}"/>
    <cellStyle name="Note 2 3 2 8 2 3" xfId="32382" xr:uid="{B5F76597-5067-4C1E-A9C8-4C51137485B5}"/>
    <cellStyle name="Note 2 3 2 8 2 4" xfId="15495" xr:uid="{7A5315C7-55F1-4824-AC8E-A5AA9E696830}"/>
    <cellStyle name="Note 2 3 2 8 3" xfId="19718" xr:uid="{AAF6FB3A-2DDF-4D43-ADFB-A54916FF9985}"/>
    <cellStyle name="Note 2 3 2 8 4" xfId="28165" xr:uid="{30089988-7990-43D7-B350-10BADD5E32D7}"/>
    <cellStyle name="Note 2 3 2 8 5" xfId="11277" xr:uid="{91E9FB38-243D-41BA-ADF4-AD0285128D07}"/>
    <cellStyle name="Note 2 3 2 9" xfId="4908" xr:uid="{00000000-0005-0000-0000-000005210000}"/>
    <cellStyle name="Note 2 3 2 9 2" xfId="21791" xr:uid="{C750FB86-89E7-4FB3-8CF2-B00B50E58B3D}"/>
    <cellStyle name="Note 2 3 2 9 3" xfId="30237" xr:uid="{2806D844-57CF-46E7-8BB3-78C87F8160E9}"/>
    <cellStyle name="Note 2 3 2 9 4" xfId="13350" xr:uid="{AFCE8CAA-CFC5-44AC-9BAE-9646B4C42341}"/>
    <cellStyle name="Note 2 3 3" xfId="1010" xr:uid="{00000000-0005-0000-0000-000006210000}"/>
    <cellStyle name="Note 2 3 3 2" xfId="3242" xr:uid="{00000000-0005-0000-0000-000007210000}"/>
    <cellStyle name="Note 2 3 3 2 2" xfId="7465" xr:uid="{00000000-0005-0000-0000-000008210000}"/>
    <cellStyle name="Note 2 3 3 2 2 2" xfId="24348" xr:uid="{34AFF6F1-EA2B-4F0C-8AA6-55D9DDA80529}"/>
    <cellStyle name="Note 2 3 3 2 2 3" xfId="32794" xr:uid="{AF00352E-976F-47F7-9987-ACF71EF293B2}"/>
    <cellStyle name="Note 2 3 3 2 2 4" xfId="15907" xr:uid="{8D640951-B810-406B-BB38-ED4870BEF4FA}"/>
    <cellStyle name="Note 2 3 3 2 3" xfId="20130" xr:uid="{9A38EFB6-65E4-4814-9F0C-A62FEDEF4D2A}"/>
    <cellStyle name="Note 2 3 3 2 4" xfId="28577" xr:uid="{B4AED2CF-7D63-404E-AF54-F1D1187F5369}"/>
    <cellStyle name="Note 2 3 3 2 5" xfId="11689" xr:uid="{3370C000-8FED-45EA-9CDA-2408136E26AC}"/>
    <cellStyle name="Note 2 3 3 3" xfId="5320" xr:uid="{00000000-0005-0000-0000-000009210000}"/>
    <cellStyle name="Note 2 3 3 3 2" xfId="22203" xr:uid="{D9573C55-CC9B-4E99-B02A-9465A11B59F3}"/>
    <cellStyle name="Note 2 3 3 3 3" xfId="30649" xr:uid="{478A7B5E-0E3E-4F3C-B12B-5B4DA474C900}"/>
    <cellStyle name="Note 2 3 3 3 4" xfId="13762" xr:uid="{9BD9B1E3-5B9F-4134-857C-EFCCC653B91B}"/>
    <cellStyle name="Note 2 3 3 4" xfId="17985" xr:uid="{EAE34548-3174-4E86-94FB-D83DF5DCC000}"/>
    <cellStyle name="Note 2 3 3 5" xfId="26430" xr:uid="{742A2A43-4F20-4B81-9184-31F20C68833C}"/>
    <cellStyle name="Note 2 3 3 6" xfId="9544" xr:uid="{D074EB4E-6637-498C-9A97-8474975E084C}"/>
    <cellStyle name="Note 2 3 4" xfId="1425" xr:uid="{00000000-0005-0000-0000-00000A210000}"/>
    <cellStyle name="Note 2 3 4 2" xfId="3655" xr:uid="{00000000-0005-0000-0000-00000B210000}"/>
    <cellStyle name="Note 2 3 4 2 2" xfId="7878" xr:uid="{00000000-0005-0000-0000-00000C210000}"/>
    <cellStyle name="Note 2 3 4 2 2 2" xfId="24761" xr:uid="{8655CEB8-9F17-412E-A9C6-BBEE8BADF0D7}"/>
    <cellStyle name="Note 2 3 4 2 2 3" xfId="33207" xr:uid="{C3DCCCF0-B43A-4A3C-BCE7-A26F653661E2}"/>
    <cellStyle name="Note 2 3 4 2 2 4" xfId="16320" xr:uid="{78D25611-EE30-4DC7-BD4D-BE47F6679559}"/>
    <cellStyle name="Note 2 3 4 2 3" xfId="20543" xr:uid="{B4D6404F-A08C-43CE-A566-9ED89078D57C}"/>
    <cellStyle name="Note 2 3 4 2 4" xfId="28990" xr:uid="{0ABAB40C-42F3-418E-B100-2D8CA9D0B11B}"/>
    <cellStyle name="Note 2 3 4 2 5" xfId="12102" xr:uid="{B1F79DBD-BDCB-4C26-B0BA-94A8F7D1DAF6}"/>
    <cellStyle name="Note 2 3 4 3" xfId="5733" xr:uid="{00000000-0005-0000-0000-00000D210000}"/>
    <cellStyle name="Note 2 3 4 3 2" xfId="22616" xr:uid="{9D9E83C0-760B-419D-BA5F-A432816F06F7}"/>
    <cellStyle name="Note 2 3 4 3 3" xfId="31062" xr:uid="{9141FDFF-F1EE-47CA-B488-76B92A937FDC}"/>
    <cellStyle name="Note 2 3 4 3 4" xfId="14175" xr:uid="{FBFF6F62-8477-459B-AAAA-5FA227B2B7C6}"/>
    <cellStyle name="Note 2 3 4 4" xfId="18398" xr:uid="{F641338F-60EE-42FF-8285-A1CF986D9DA5}"/>
    <cellStyle name="Note 2 3 4 5" xfId="26843" xr:uid="{2B207F11-6858-438A-A4E6-368287E26ADA}"/>
    <cellStyle name="Note 2 3 4 6" xfId="9957" xr:uid="{ED0CA0F5-4424-44C1-9E9E-558D785728B8}"/>
    <cellStyle name="Note 2 3 5" xfId="1839" xr:uid="{00000000-0005-0000-0000-00000E210000}"/>
    <cellStyle name="Note 2 3 5 2" xfId="4068" xr:uid="{00000000-0005-0000-0000-00000F210000}"/>
    <cellStyle name="Note 2 3 5 2 2" xfId="8291" xr:uid="{00000000-0005-0000-0000-000010210000}"/>
    <cellStyle name="Note 2 3 5 2 2 2" xfId="25174" xr:uid="{4865361D-14CE-487B-9D48-171A14233EBC}"/>
    <cellStyle name="Note 2 3 5 2 2 3" xfId="33620" xr:uid="{00A8DAEB-8833-4892-B78A-EF55A904832C}"/>
    <cellStyle name="Note 2 3 5 2 2 4" xfId="16733" xr:uid="{90C24764-84BB-49DC-BC1C-BD6D3F79BB8F}"/>
    <cellStyle name="Note 2 3 5 2 3" xfId="20956" xr:uid="{E2678391-10C5-4631-9CEE-4F08A7B8AB9E}"/>
    <cellStyle name="Note 2 3 5 2 4" xfId="29403" xr:uid="{FDED6ADF-85F1-4084-ADF9-15420EA060F1}"/>
    <cellStyle name="Note 2 3 5 2 5" xfId="12515" xr:uid="{F9652196-0161-42B6-BD69-4E9A50258352}"/>
    <cellStyle name="Note 2 3 5 3" xfId="6146" xr:uid="{00000000-0005-0000-0000-000011210000}"/>
    <cellStyle name="Note 2 3 5 3 2" xfId="23029" xr:uid="{D018D9EA-4AF8-4E54-9B40-2C5C3426689F}"/>
    <cellStyle name="Note 2 3 5 3 3" xfId="31475" xr:uid="{674D786F-0F1A-4F6D-9D68-BDADB2D7EBB5}"/>
    <cellStyle name="Note 2 3 5 3 4" xfId="14588" xr:uid="{5C9ABA53-ACFF-4042-9839-F5D7B48BABDC}"/>
    <cellStyle name="Note 2 3 5 4" xfId="18811" xr:uid="{489061B5-1821-4C3B-ABE3-1FAD9C440C25}"/>
    <cellStyle name="Note 2 3 5 5" xfId="27256" xr:uid="{E1F02ECC-6B73-4F21-B344-2CEC412B02C3}"/>
    <cellStyle name="Note 2 3 5 6" xfId="10370" xr:uid="{FD01A43F-D7E0-4646-B078-741FECB6C72F}"/>
    <cellStyle name="Note 2 3 6" xfId="2252" xr:uid="{00000000-0005-0000-0000-000012210000}"/>
    <cellStyle name="Note 2 3 6 2" xfId="4481" xr:uid="{00000000-0005-0000-0000-000013210000}"/>
    <cellStyle name="Note 2 3 6 2 2" xfId="8704" xr:uid="{00000000-0005-0000-0000-000014210000}"/>
    <cellStyle name="Note 2 3 6 2 2 2" xfId="25587" xr:uid="{7662C27A-F0ED-4D4A-9827-3CD9225EAF33}"/>
    <cellStyle name="Note 2 3 6 2 2 3" xfId="34033" xr:uid="{43D9A332-0434-4733-B670-6953DA7C1517}"/>
    <cellStyle name="Note 2 3 6 2 2 4" xfId="17146" xr:uid="{10490781-C2B7-4AA4-B38A-4A0D2B6180E3}"/>
    <cellStyle name="Note 2 3 6 2 3" xfId="21369" xr:uid="{CDB30188-9789-4540-B8D3-F7BD9EE048B3}"/>
    <cellStyle name="Note 2 3 6 2 4" xfId="29816" xr:uid="{581B4407-DBD7-4648-8363-CEA8E6D16A2C}"/>
    <cellStyle name="Note 2 3 6 2 5" xfId="12928" xr:uid="{410389EA-4B9E-4BE2-99E3-874C511149EB}"/>
    <cellStyle name="Note 2 3 6 3" xfId="6559" xr:uid="{00000000-0005-0000-0000-000015210000}"/>
    <cellStyle name="Note 2 3 6 3 2" xfId="23442" xr:uid="{04C39048-E526-47A7-9539-A1538DA980A4}"/>
    <cellStyle name="Note 2 3 6 3 3" xfId="31888" xr:uid="{21BFD3BD-EA86-4DE4-9AF9-5DE0FFB54C39}"/>
    <cellStyle name="Note 2 3 6 3 4" xfId="15001" xr:uid="{9ED9FFBB-B7B2-415A-B9A5-3B44194A1646}"/>
    <cellStyle name="Note 2 3 6 4" xfId="19224" xr:uid="{75BFB8D8-90AF-4102-926A-707178362DBA}"/>
    <cellStyle name="Note 2 3 6 5" xfId="27669" xr:uid="{DE7D7F27-114D-42F6-BD0A-3BF85C6E1530}"/>
    <cellStyle name="Note 2 3 6 6" xfId="10783" xr:uid="{2BA509E0-6488-4526-BE51-B28CA56F66D5}"/>
    <cellStyle name="Note 2 3 7" xfId="2688" xr:uid="{00000000-0005-0000-0000-000016210000}"/>
    <cellStyle name="Note 2 3 7 2" xfId="6972" xr:uid="{00000000-0005-0000-0000-000017210000}"/>
    <cellStyle name="Note 2 3 7 2 2" xfId="23855" xr:uid="{CE0637DB-394F-4930-8FD6-D105665946E9}"/>
    <cellStyle name="Note 2 3 7 2 3" xfId="32301" xr:uid="{CC6FE98B-BB42-4F08-B8F0-A829E139BC13}"/>
    <cellStyle name="Note 2 3 7 2 4" xfId="15414" xr:uid="{0C1B7C89-FC28-4B4B-AFB4-1DEA7CF48583}"/>
    <cellStyle name="Note 2 3 7 3" xfId="19637" xr:uid="{3658FBB4-5D59-4DE4-8BD8-684B64499334}"/>
    <cellStyle name="Note 2 3 7 4" xfId="28082" xr:uid="{57407895-F6C3-4E23-AC5B-E61745A11023}"/>
    <cellStyle name="Note 2 3 7 5" xfId="11196" xr:uid="{3FF50F0D-831B-4490-9B78-4BCEAE0130AF}"/>
    <cellStyle name="Note 2 3 8" xfId="2747" xr:uid="{00000000-0005-0000-0000-000018210000}"/>
    <cellStyle name="Note 2 3 9" xfId="2828" xr:uid="{00000000-0005-0000-0000-000019210000}"/>
    <cellStyle name="Note 2 3 9 2" xfId="7052" xr:uid="{00000000-0005-0000-0000-00001A210000}"/>
    <cellStyle name="Note 2 3 9 2 2" xfId="23935" xr:uid="{09305467-AE7A-4E82-9B11-9C367CFAAEF4}"/>
    <cellStyle name="Note 2 3 9 2 3" xfId="32381" xr:uid="{612167E1-E2E1-46C0-A456-80B1296843F9}"/>
    <cellStyle name="Note 2 3 9 2 4" xfId="15494" xr:uid="{E588A851-654E-423B-A32C-2C8D31408654}"/>
    <cellStyle name="Note 2 3 9 3" xfId="19717" xr:uid="{ACA87380-E49D-460E-9B29-2937017AA30C}"/>
    <cellStyle name="Note 2 3 9 4" xfId="28164" xr:uid="{BCFD9247-87D3-43D4-B51D-386AB873FBF0}"/>
    <cellStyle name="Note 2 3 9 5" xfId="11276" xr:uid="{6C5E10C7-9992-4A43-9D68-194C8EB9180A}"/>
    <cellStyle name="Note 2 4" xfId="551" xr:uid="{00000000-0005-0000-0000-00001B210000}"/>
    <cellStyle name="Note 2 4 10" xfId="17574" xr:uid="{95F3F12B-15A1-4C02-8FA3-58CAAB2768A0}"/>
    <cellStyle name="Note 2 4 11" xfId="26019" xr:uid="{7AF2B4C4-F657-4DCE-87C4-DB222F4636CD}"/>
    <cellStyle name="Note 2 4 12" xfId="9133" xr:uid="{39A23A11-8424-4D6D-865F-B65840297734}"/>
    <cellStyle name="Note 2 4 2" xfId="1012" xr:uid="{00000000-0005-0000-0000-00001C210000}"/>
    <cellStyle name="Note 2 4 2 2" xfId="3244" xr:uid="{00000000-0005-0000-0000-00001D210000}"/>
    <cellStyle name="Note 2 4 2 2 2" xfId="7467" xr:uid="{00000000-0005-0000-0000-00001E210000}"/>
    <cellStyle name="Note 2 4 2 2 2 2" xfId="24350" xr:uid="{67AE7B0A-0B8D-44C8-B618-F743B9E5FB30}"/>
    <cellStyle name="Note 2 4 2 2 2 3" xfId="32796" xr:uid="{845BE24E-B92C-4AF5-A7D4-AEFC830BEB73}"/>
    <cellStyle name="Note 2 4 2 2 2 4" xfId="15909" xr:uid="{19BFCE22-AE61-4BB6-A808-DA244FDE4AFA}"/>
    <cellStyle name="Note 2 4 2 2 3" xfId="20132" xr:uid="{041AF6F6-11A1-4718-98FD-FC53E207D891}"/>
    <cellStyle name="Note 2 4 2 2 4" xfId="28579" xr:uid="{1380CD82-7B73-4933-8675-E4F08DE10730}"/>
    <cellStyle name="Note 2 4 2 2 5" xfId="11691" xr:uid="{EE5B470C-945D-4D7F-9202-324B79F1AD98}"/>
    <cellStyle name="Note 2 4 2 3" xfId="5322" xr:uid="{00000000-0005-0000-0000-00001F210000}"/>
    <cellStyle name="Note 2 4 2 3 2" xfId="22205" xr:uid="{C7875328-79D3-49C1-96BE-F0EFE96435F0}"/>
    <cellStyle name="Note 2 4 2 3 3" xfId="30651" xr:uid="{8015F07A-F6C8-4766-9841-557C32E201D1}"/>
    <cellStyle name="Note 2 4 2 3 4" xfId="13764" xr:uid="{FF61FC74-A728-49B6-869E-8C3572BC9329}"/>
    <cellStyle name="Note 2 4 2 4" xfId="17987" xr:uid="{2D53BB05-9947-48B7-8310-0A68897BC6EB}"/>
    <cellStyle name="Note 2 4 2 5" xfId="26432" xr:uid="{29F5322A-B910-4B88-A03C-463EF4B5FCAD}"/>
    <cellStyle name="Note 2 4 2 6" xfId="9546" xr:uid="{4A4E0C01-CCE5-41E9-A6D3-8A07ACF29BBB}"/>
    <cellStyle name="Note 2 4 3" xfId="1427" xr:uid="{00000000-0005-0000-0000-000020210000}"/>
    <cellStyle name="Note 2 4 3 2" xfId="3657" xr:uid="{00000000-0005-0000-0000-000021210000}"/>
    <cellStyle name="Note 2 4 3 2 2" xfId="7880" xr:uid="{00000000-0005-0000-0000-000022210000}"/>
    <cellStyle name="Note 2 4 3 2 2 2" xfId="24763" xr:uid="{686FF762-1FB4-40C8-B314-E20F2C57BAAD}"/>
    <cellStyle name="Note 2 4 3 2 2 3" xfId="33209" xr:uid="{F66AC20C-F8D5-4ABC-9587-E662DC251EE8}"/>
    <cellStyle name="Note 2 4 3 2 2 4" xfId="16322" xr:uid="{F2C47C74-F1D5-4AB8-9682-8B9EEAA52D94}"/>
    <cellStyle name="Note 2 4 3 2 3" xfId="20545" xr:uid="{7FD3786A-133F-47A5-B26A-572A237D2E49}"/>
    <cellStyle name="Note 2 4 3 2 4" xfId="28992" xr:uid="{CFBFB657-25A2-4A5D-9162-A049561DB916}"/>
    <cellStyle name="Note 2 4 3 2 5" xfId="12104" xr:uid="{56DF0B0F-77C0-4EC3-A3A8-3D73BE1944FE}"/>
    <cellStyle name="Note 2 4 3 3" xfId="5735" xr:uid="{00000000-0005-0000-0000-000023210000}"/>
    <cellStyle name="Note 2 4 3 3 2" xfId="22618" xr:uid="{12BDCACB-0DE2-45CD-87EE-73B25C9F3371}"/>
    <cellStyle name="Note 2 4 3 3 3" xfId="31064" xr:uid="{74B99124-99EF-41D1-A6B0-FA58F2251646}"/>
    <cellStyle name="Note 2 4 3 3 4" xfId="14177" xr:uid="{4327A19C-81C6-4ED3-9474-5DBB78642C2C}"/>
    <cellStyle name="Note 2 4 3 4" xfId="18400" xr:uid="{7B708B1A-9BA9-47DA-B920-BB52740A2A65}"/>
    <cellStyle name="Note 2 4 3 5" xfId="26845" xr:uid="{9AF4A9BE-5A7E-4D55-8F22-2414589C6722}"/>
    <cellStyle name="Note 2 4 3 6" xfId="9959" xr:uid="{000F7590-3972-4E48-842D-37CC4FC85912}"/>
    <cellStyle name="Note 2 4 4" xfId="1841" xr:uid="{00000000-0005-0000-0000-000024210000}"/>
    <cellStyle name="Note 2 4 4 2" xfId="4070" xr:uid="{00000000-0005-0000-0000-000025210000}"/>
    <cellStyle name="Note 2 4 4 2 2" xfId="8293" xr:uid="{00000000-0005-0000-0000-000026210000}"/>
    <cellStyle name="Note 2 4 4 2 2 2" xfId="25176" xr:uid="{EE09B1BA-FFB7-454A-9C88-76C3DA945C5C}"/>
    <cellStyle name="Note 2 4 4 2 2 3" xfId="33622" xr:uid="{E2FBB850-0897-4C52-8709-334D0E4937DD}"/>
    <cellStyle name="Note 2 4 4 2 2 4" xfId="16735" xr:uid="{9540C33F-CBD1-4532-9D6E-EBEFA4DC7BB5}"/>
    <cellStyle name="Note 2 4 4 2 3" xfId="20958" xr:uid="{217043A7-80AB-4DF9-954A-4A1C25373B52}"/>
    <cellStyle name="Note 2 4 4 2 4" xfId="29405" xr:uid="{4534EB52-C854-4C93-9737-C17FEA76A3D6}"/>
    <cellStyle name="Note 2 4 4 2 5" xfId="12517" xr:uid="{C98C3001-5190-4822-8B5D-A1973B9AF469}"/>
    <cellStyle name="Note 2 4 4 3" xfId="6148" xr:uid="{00000000-0005-0000-0000-000027210000}"/>
    <cellStyle name="Note 2 4 4 3 2" xfId="23031" xr:uid="{B53C7975-68E2-45AE-9333-6C3532ACA507}"/>
    <cellStyle name="Note 2 4 4 3 3" xfId="31477" xr:uid="{020DD3E2-A666-4A0D-BA57-91193F990508}"/>
    <cellStyle name="Note 2 4 4 3 4" xfId="14590" xr:uid="{9674F007-9394-47EC-B30D-4F6B824A2CF3}"/>
    <cellStyle name="Note 2 4 4 4" xfId="18813" xr:uid="{208712B2-E45C-46B6-AC10-A2DB740E5BBB}"/>
    <cellStyle name="Note 2 4 4 5" xfId="27258" xr:uid="{CD9C0BB9-125E-4688-91ED-ED8147CBB8C4}"/>
    <cellStyle name="Note 2 4 4 6" xfId="10372" xr:uid="{E0CAC581-E906-42F3-96A7-BE54B6C05515}"/>
    <cellStyle name="Note 2 4 5" xfId="2254" xr:uid="{00000000-0005-0000-0000-000028210000}"/>
    <cellStyle name="Note 2 4 5 2" xfId="4483" xr:uid="{00000000-0005-0000-0000-000029210000}"/>
    <cellStyle name="Note 2 4 5 2 2" xfId="8706" xr:uid="{00000000-0005-0000-0000-00002A210000}"/>
    <cellStyle name="Note 2 4 5 2 2 2" xfId="25589" xr:uid="{06D31BAC-CE15-452A-9672-DB34F18EF50F}"/>
    <cellStyle name="Note 2 4 5 2 2 3" xfId="34035" xr:uid="{05BFB86A-4E34-4C55-9E30-45631C5083BA}"/>
    <cellStyle name="Note 2 4 5 2 2 4" xfId="17148" xr:uid="{2C0DA0F3-58C0-4832-8215-4B92FEC40AB7}"/>
    <cellStyle name="Note 2 4 5 2 3" xfId="21371" xr:uid="{63D17D15-69EB-406F-A96D-A063265658A3}"/>
    <cellStyle name="Note 2 4 5 2 4" xfId="29818" xr:uid="{482045D3-FE10-4CD6-99C4-648289A458D7}"/>
    <cellStyle name="Note 2 4 5 2 5" xfId="12930" xr:uid="{A78D2675-DCDF-4DBB-83D4-C36C451E7C9F}"/>
    <cellStyle name="Note 2 4 5 3" xfId="6561" xr:uid="{00000000-0005-0000-0000-00002B210000}"/>
    <cellStyle name="Note 2 4 5 3 2" xfId="23444" xr:uid="{15DA57A0-36FB-4802-9DA5-34BBA4F567E9}"/>
    <cellStyle name="Note 2 4 5 3 3" xfId="31890" xr:uid="{91EFF8DB-6A0E-44F2-B001-F4FB6B111700}"/>
    <cellStyle name="Note 2 4 5 3 4" xfId="15003" xr:uid="{4D874403-CBA5-4F64-BB21-52CB0AD69667}"/>
    <cellStyle name="Note 2 4 5 4" xfId="19226" xr:uid="{58879CCD-D787-4D71-8D9F-ACC9B33898BD}"/>
    <cellStyle name="Note 2 4 5 5" xfId="27671" xr:uid="{9F059450-2FC1-4DE4-BABA-1D14758B68A5}"/>
    <cellStyle name="Note 2 4 5 6" xfId="10785" xr:uid="{BB50961B-6C98-44E9-A0A2-0E9F60050123}"/>
    <cellStyle name="Note 2 4 6" xfId="2690" xr:uid="{00000000-0005-0000-0000-00002C210000}"/>
    <cellStyle name="Note 2 4 6 2" xfId="6974" xr:uid="{00000000-0005-0000-0000-00002D210000}"/>
    <cellStyle name="Note 2 4 6 2 2" xfId="23857" xr:uid="{37BBC7FC-F56A-4955-8D1A-E3CC45164A7E}"/>
    <cellStyle name="Note 2 4 6 2 3" xfId="32303" xr:uid="{5931D0D8-C7D6-4ADE-B0F4-7530441EA5BD}"/>
    <cellStyle name="Note 2 4 6 2 4" xfId="15416" xr:uid="{908E6953-477A-40E0-8328-2EA5F785776D}"/>
    <cellStyle name="Note 2 4 6 3" xfId="19639" xr:uid="{15EB9C13-47D4-4857-A7C9-3A2CCE981A7A}"/>
    <cellStyle name="Note 2 4 6 4" xfId="28084" xr:uid="{4A94B48D-8F4D-499A-88FE-48C7275D9BD7}"/>
    <cellStyle name="Note 2 4 6 5" xfId="11198" xr:uid="{B7E70599-E91F-4695-8C36-0E7F8247AA4D}"/>
    <cellStyle name="Note 2 4 7" xfId="2749" xr:uid="{00000000-0005-0000-0000-00002E210000}"/>
    <cellStyle name="Note 2 4 8" xfId="2830" xr:uid="{00000000-0005-0000-0000-00002F210000}"/>
    <cellStyle name="Note 2 4 8 2" xfId="7054" xr:uid="{00000000-0005-0000-0000-000030210000}"/>
    <cellStyle name="Note 2 4 8 2 2" xfId="23937" xr:uid="{73993155-6536-48BB-92B3-6EF8A3FFEB7D}"/>
    <cellStyle name="Note 2 4 8 2 3" xfId="32383" xr:uid="{52045D9A-3748-4ECF-A9E9-B7FC64C0E5DA}"/>
    <cellStyle name="Note 2 4 8 2 4" xfId="15496" xr:uid="{FE6316FB-2415-4043-82DA-26021030A4C2}"/>
    <cellStyle name="Note 2 4 8 3" xfId="19719" xr:uid="{6C36F555-4994-42D2-9CBB-2C25DDC930AC}"/>
    <cellStyle name="Note 2 4 8 4" xfId="28166" xr:uid="{71AF78AC-9166-4860-BEAE-3A44612AA745}"/>
    <cellStyle name="Note 2 4 8 5" xfId="11278" xr:uid="{A882DA61-AB2F-4522-BDE3-E848DAC5404E}"/>
    <cellStyle name="Note 2 4 9" xfId="4909" xr:uid="{00000000-0005-0000-0000-000031210000}"/>
    <cellStyle name="Note 2 4 9 2" xfId="21792" xr:uid="{4A49DC72-C79C-4E8E-A345-01A8587537FB}"/>
    <cellStyle name="Note 2 4 9 3" xfId="30238" xr:uid="{C7F5B535-0056-4764-AE86-F056018C7ACE}"/>
    <cellStyle name="Note 2 4 9 4" xfId="13351" xr:uid="{7B934398-1566-441A-A754-DBA4EDDD5BD8}"/>
    <cellStyle name="Note 2 5" xfId="552" xr:uid="{00000000-0005-0000-0000-000032210000}"/>
    <cellStyle name="Note 2 5 10" xfId="17575" xr:uid="{65D1A159-B429-4CB9-80B6-5F29D377B77C}"/>
    <cellStyle name="Note 2 5 11" xfId="26020" xr:uid="{3F94EA55-7253-4CF6-9CDC-62097E0B98A6}"/>
    <cellStyle name="Note 2 5 12" xfId="9134" xr:uid="{CCEF74B8-F61C-410A-94EF-8A72BFA2D1CF}"/>
    <cellStyle name="Note 2 5 2" xfId="1013" xr:uid="{00000000-0005-0000-0000-000033210000}"/>
    <cellStyle name="Note 2 5 2 2" xfId="3245" xr:uid="{00000000-0005-0000-0000-000034210000}"/>
    <cellStyle name="Note 2 5 2 2 2" xfId="7468" xr:uid="{00000000-0005-0000-0000-000035210000}"/>
    <cellStyle name="Note 2 5 2 2 2 2" xfId="24351" xr:uid="{20575147-1AF6-4991-B91C-B754E0A26BC3}"/>
    <cellStyle name="Note 2 5 2 2 2 3" xfId="32797" xr:uid="{B522CEEB-D3EE-49A4-99D1-CF0E93DA43EF}"/>
    <cellStyle name="Note 2 5 2 2 2 4" xfId="15910" xr:uid="{CE6B748E-6AC7-4FDA-A1A9-6FC5630C5920}"/>
    <cellStyle name="Note 2 5 2 2 3" xfId="20133" xr:uid="{CC55015F-1538-4FA6-8A0F-B9B9A4261614}"/>
    <cellStyle name="Note 2 5 2 2 4" xfId="28580" xr:uid="{B30605E6-80B8-4DD6-8A96-45F6903BF1DA}"/>
    <cellStyle name="Note 2 5 2 2 5" xfId="11692" xr:uid="{5D675D9E-56D7-4A70-94AE-C2440C7E4100}"/>
    <cellStyle name="Note 2 5 2 3" xfId="5323" xr:uid="{00000000-0005-0000-0000-000036210000}"/>
    <cellStyle name="Note 2 5 2 3 2" xfId="22206" xr:uid="{9D141174-648D-4C54-849F-F0CBDDEB28A5}"/>
    <cellStyle name="Note 2 5 2 3 3" xfId="30652" xr:uid="{5A5D56A3-1D45-4CDB-BA7E-3F4F9F0343F3}"/>
    <cellStyle name="Note 2 5 2 3 4" xfId="13765" xr:uid="{3B8E1F1E-F605-4EC0-A543-70DCD7A7C38E}"/>
    <cellStyle name="Note 2 5 2 4" xfId="17988" xr:uid="{27AE9BBE-9019-4A65-AFD1-74DE05929549}"/>
    <cellStyle name="Note 2 5 2 5" xfId="26433" xr:uid="{03894980-9E7F-40D4-8A24-476391F7F87F}"/>
    <cellStyle name="Note 2 5 2 6" xfId="9547" xr:uid="{34F66982-774A-48B5-BF7B-31AF52F91EF2}"/>
    <cellStyle name="Note 2 5 3" xfId="1428" xr:uid="{00000000-0005-0000-0000-000037210000}"/>
    <cellStyle name="Note 2 5 3 2" xfId="3658" xr:uid="{00000000-0005-0000-0000-000038210000}"/>
    <cellStyle name="Note 2 5 3 2 2" xfId="7881" xr:uid="{00000000-0005-0000-0000-000039210000}"/>
    <cellStyle name="Note 2 5 3 2 2 2" xfId="24764" xr:uid="{7A372001-DDB5-44EF-9B35-499DD21959A1}"/>
    <cellStyle name="Note 2 5 3 2 2 3" xfId="33210" xr:uid="{EEA7C849-FD6E-4334-8B52-5C6FA83C375F}"/>
    <cellStyle name="Note 2 5 3 2 2 4" xfId="16323" xr:uid="{4175F17B-165D-4471-8554-7FC3344A777F}"/>
    <cellStyle name="Note 2 5 3 2 3" xfId="20546" xr:uid="{30768AE2-24A9-4E10-B93D-EEF769B647D6}"/>
    <cellStyle name="Note 2 5 3 2 4" xfId="28993" xr:uid="{8947302D-24B5-4A3A-BD21-62120B65F4B8}"/>
    <cellStyle name="Note 2 5 3 2 5" xfId="12105" xr:uid="{E0862C4E-5C2C-413A-A59F-0D72BDF45DC6}"/>
    <cellStyle name="Note 2 5 3 3" xfId="5736" xr:uid="{00000000-0005-0000-0000-00003A210000}"/>
    <cellStyle name="Note 2 5 3 3 2" xfId="22619" xr:uid="{8E57D98E-E7E8-4483-9362-BC76127355A7}"/>
    <cellStyle name="Note 2 5 3 3 3" xfId="31065" xr:uid="{70B10487-9F19-4BAD-970E-4318B32B8CF6}"/>
    <cellStyle name="Note 2 5 3 3 4" xfId="14178" xr:uid="{B64FBC4C-414E-46E2-A802-CCC50C93CD61}"/>
    <cellStyle name="Note 2 5 3 4" xfId="18401" xr:uid="{45C5E1DB-E9CE-4492-9CE7-6E2D3BFC70C7}"/>
    <cellStyle name="Note 2 5 3 5" xfId="26846" xr:uid="{FA621BD3-DA1F-416E-8AE6-4C1AAC3069C8}"/>
    <cellStyle name="Note 2 5 3 6" xfId="9960" xr:uid="{C65C432F-AF17-47F8-B1A1-A5CA6A7E08C6}"/>
    <cellStyle name="Note 2 5 4" xfId="1842" xr:uid="{00000000-0005-0000-0000-00003B210000}"/>
    <cellStyle name="Note 2 5 4 2" xfId="4071" xr:uid="{00000000-0005-0000-0000-00003C210000}"/>
    <cellStyle name="Note 2 5 4 2 2" xfId="8294" xr:uid="{00000000-0005-0000-0000-00003D210000}"/>
    <cellStyle name="Note 2 5 4 2 2 2" xfId="25177" xr:uid="{E1EB5729-179B-4486-A625-84D0E8145983}"/>
    <cellStyle name="Note 2 5 4 2 2 3" xfId="33623" xr:uid="{C18855B3-F285-44A8-B44B-3A765EB65838}"/>
    <cellStyle name="Note 2 5 4 2 2 4" xfId="16736" xr:uid="{BF5B9465-17A7-4010-B3B9-95805E6F73ED}"/>
    <cellStyle name="Note 2 5 4 2 3" xfId="20959" xr:uid="{5869C8DB-969D-4ACC-9F5E-70D0B603E86D}"/>
    <cellStyle name="Note 2 5 4 2 4" xfId="29406" xr:uid="{8E96BF21-8B3D-4236-8747-2579A9AA46F5}"/>
    <cellStyle name="Note 2 5 4 2 5" xfId="12518" xr:uid="{A012EEFE-111F-4C28-B22F-1CE13FE984F8}"/>
    <cellStyle name="Note 2 5 4 3" xfId="6149" xr:uid="{00000000-0005-0000-0000-00003E210000}"/>
    <cellStyle name="Note 2 5 4 3 2" xfId="23032" xr:uid="{D6019AF3-C665-479C-994B-7CA14D3E2A16}"/>
    <cellStyle name="Note 2 5 4 3 3" xfId="31478" xr:uid="{D18A3C5F-8A14-4D2E-9BF3-CFA8866733D0}"/>
    <cellStyle name="Note 2 5 4 3 4" xfId="14591" xr:uid="{1775285E-FD41-4611-8DD5-77B9F42E197B}"/>
    <cellStyle name="Note 2 5 4 4" xfId="18814" xr:uid="{1CEE8D38-C5AA-4338-825E-9C908BC612C2}"/>
    <cellStyle name="Note 2 5 4 5" xfId="27259" xr:uid="{76ED17A9-E63E-45F6-BCDB-910E94CF4AA6}"/>
    <cellStyle name="Note 2 5 4 6" xfId="10373" xr:uid="{D4A273BC-E3B0-4F47-812D-D5720D903855}"/>
    <cellStyle name="Note 2 5 5" xfId="2255" xr:uid="{00000000-0005-0000-0000-00003F210000}"/>
    <cellStyle name="Note 2 5 5 2" xfId="4484" xr:uid="{00000000-0005-0000-0000-000040210000}"/>
    <cellStyle name="Note 2 5 5 2 2" xfId="8707" xr:uid="{00000000-0005-0000-0000-000041210000}"/>
    <cellStyle name="Note 2 5 5 2 2 2" xfId="25590" xr:uid="{1781E482-0801-4A64-9587-B45ACD6C8A10}"/>
    <cellStyle name="Note 2 5 5 2 2 3" xfId="34036" xr:uid="{9D89773C-7EAD-4C9B-8393-BAE29A21648B}"/>
    <cellStyle name="Note 2 5 5 2 2 4" xfId="17149" xr:uid="{710D2F98-6FDD-4FF9-9A9F-342FEA82A280}"/>
    <cellStyle name="Note 2 5 5 2 3" xfId="21372" xr:uid="{F0115BB0-B7DA-48FC-AA85-669B6615107D}"/>
    <cellStyle name="Note 2 5 5 2 4" xfId="29819" xr:uid="{81383637-87C9-41A9-863E-B4E22DD490FA}"/>
    <cellStyle name="Note 2 5 5 2 5" xfId="12931" xr:uid="{FE1879C3-9DAB-4C0C-B1C9-C0B45522BEFB}"/>
    <cellStyle name="Note 2 5 5 3" xfId="6562" xr:uid="{00000000-0005-0000-0000-000042210000}"/>
    <cellStyle name="Note 2 5 5 3 2" xfId="23445" xr:uid="{6EAD7854-9A30-4DF8-91A9-5AD5340AC5F4}"/>
    <cellStyle name="Note 2 5 5 3 3" xfId="31891" xr:uid="{A0B98646-C644-4F8A-9962-3C90EC8D7E15}"/>
    <cellStyle name="Note 2 5 5 3 4" xfId="15004" xr:uid="{0A51791D-0C99-49ED-A25C-91A486EC8690}"/>
    <cellStyle name="Note 2 5 5 4" xfId="19227" xr:uid="{1250775D-2B44-4D33-8E8E-14EDF6EE48B0}"/>
    <cellStyle name="Note 2 5 5 5" xfId="27672" xr:uid="{A526EA03-CBB6-4FE9-B9B4-2E687ABCFBDC}"/>
    <cellStyle name="Note 2 5 5 6" xfId="10786" xr:uid="{DCDA9583-1B6E-429C-98F5-36CA752A935F}"/>
    <cellStyle name="Note 2 5 6" xfId="2691" xr:uid="{00000000-0005-0000-0000-000043210000}"/>
    <cellStyle name="Note 2 5 6 2" xfId="6975" xr:uid="{00000000-0005-0000-0000-000044210000}"/>
    <cellStyle name="Note 2 5 6 2 2" xfId="23858" xr:uid="{8B5E0EC3-A60E-4C51-B9D6-42BDB4485B23}"/>
    <cellStyle name="Note 2 5 6 2 3" xfId="32304" xr:uid="{2D261892-15DC-460B-9374-4A2F5E2B83D4}"/>
    <cellStyle name="Note 2 5 6 2 4" xfId="15417" xr:uid="{451D2D9D-C3B2-4A40-B830-8B1DBD811543}"/>
    <cellStyle name="Note 2 5 6 3" xfId="19640" xr:uid="{41CCB896-1B82-4919-B6B8-9EBC81675793}"/>
    <cellStyle name="Note 2 5 6 4" xfId="28085" xr:uid="{D1632C54-DB26-494B-8FD7-35EBA1E719BE}"/>
    <cellStyle name="Note 2 5 6 5" xfId="11199" xr:uid="{0FCA719B-3926-48F5-A2E3-F2F4C61F7ACB}"/>
    <cellStyle name="Note 2 5 7" xfId="2750" xr:uid="{00000000-0005-0000-0000-000045210000}"/>
    <cellStyle name="Note 2 5 8" xfId="2831" xr:uid="{00000000-0005-0000-0000-000046210000}"/>
    <cellStyle name="Note 2 5 8 2" xfId="7055" xr:uid="{00000000-0005-0000-0000-000047210000}"/>
    <cellStyle name="Note 2 5 8 2 2" xfId="23938" xr:uid="{5256563D-1D42-48EB-B95D-4915380F9988}"/>
    <cellStyle name="Note 2 5 8 2 3" xfId="32384" xr:uid="{D3343B73-1A33-40B1-8A47-5C1F828EB3CC}"/>
    <cellStyle name="Note 2 5 8 2 4" xfId="15497" xr:uid="{A46F3696-A417-4A34-8299-BF047816B483}"/>
    <cellStyle name="Note 2 5 8 3" xfId="19720" xr:uid="{EDEE76AE-32EF-4DC5-88F8-C00961D606E4}"/>
    <cellStyle name="Note 2 5 8 4" xfId="28167" xr:uid="{B0743DAD-B38D-46E2-B8A3-527F5E63F617}"/>
    <cellStyle name="Note 2 5 8 5" xfId="11279" xr:uid="{0AE86902-FF18-45EB-85CE-CB4A01CCEFA1}"/>
    <cellStyle name="Note 2 5 9" xfId="4910" xr:uid="{00000000-0005-0000-0000-000048210000}"/>
    <cellStyle name="Note 2 5 9 2" xfId="21793" xr:uid="{D3E31A8F-98B1-46D8-B9E3-1E678FF7DF33}"/>
    <cellStyle name="Note 2 5 9 3" xfId="30239" xr:uid="{65461ECF-E245-4171-8D95-D4DDE8DE8850}"/>
    <cellStyle name="Note 2 5 9 4" xfId="13352" xr:uid="{4A9A789D-8AB6-410B-A884-25233A3860A7}"/>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23939" xr:uid="{169A932B-E502-4645-8653-27810D4DC651}"/>
    <cellStyle name="Note 3 2 10 2 3" xfId="32385" xr:uid="{3469DAAF-A02A-4D89-A34C-17EB59C6A162}"/>
    <cellStyle name="Note 3 2 10 2 4" xfId="15498" xr:uid="{30865B3B-0164-4263-8B41-ADB7FF39C72B}"/>
    <cellStyle name="Note 3 2 10 3" xfId="19721" xr:uid="{EBFA0953-F30C-480C-8C32-0A789637C6F2}"/>
    <cellStyle name="Note 3 2 10 4" xfId="28168" xr:uid="{355F48DC-79D3-48B1-9B3D-4C9B7FE21519}"/>
    <cellStyle name="Note 3 2 10 5" xfId="11280" xr:uid="{34AF908F-F0F6-4EAC-8F09-16311FC1197A}"/>
    <cellStyle name="Note 3 2 11" xfId="4911" xr:uid="{00000000-0005-0000-0000-00004D210000}"/>
    <cellStyle name="Note 3 2 11 2" xfId="21794" xr:uid="{93A0A38C-7AB0-4897-AFE2-482C13F948C4}"/>
    <cellStyle name="Note 3 2 11 3" xfId="30240" xr:uid="{7C8B2B02-137A-474E-80F6-E3404F0D6E8B}"/>
    <cellStyle name="Note 3 2 11 4" xfId="13353" xr:uid="{4023D6A0-E443-4737-8BCC-C11A11BBEAC7}"/>
    <cellStyle name="Note 3 2 12" xfId="17576" xr:uid="{36F84EDB-D9E1-48AA-B69C-6B2D9DDD2F9B}"/>
    <cellStyle name="Note 3 2 13" xfId="26021" xr:uid="{29F5ADB4-6459-41F2-B921-E61ED641B30F}"/>
    <cellStyle name="Note 3 2 14" xfId="9135" xr:uid="{849B9B03-4C8D-403D-9A5A-79C855426EBB}"/>
    <cellStyle name="Note 3 2 2" xfId="555" xr:uid="{00000000-0005-0000-0000-00004E210000}"/>
    <cellStyle name="Note 3 2 2 10" xfId="4912" xr:uid="{00000000-0005-0000-0000-00004F210000}"/>
    <cellStyle name="Note 3 2 2 10 2" xfId="21795" xr:uid="{4317E6A8-BC0D-4216-9DDE-11A6FEE8BD67}"/>
    <cellStyle name="Note 3 2 2 10 3" xfId="30241" xr:uid="{EF0DDA79-8CAD-4683-ACAB-9FCDADD3E495}"/>
    <cellStyle name="Note 3 2 2 10 4" xfId="13354" xr:uid="{4A668666-06DD-498E-8E29-4C47C920BD37}"/>
    <cellStyle name="Note 3 2 2 11" xfId="17577" xr:uid="{C1D395E7-901E-4B9D-A14D-47F5332AD9F0}"/>
    <cellStyle name="Note 3 2 2 12" xfId="26022" xr:uid="{13E6C675-D72C-466B-87D3-44AF5F7A40B4}"/>
    <cellStyle name="Note 3 2 2 13" xfId="9136" xr:uid="{68AE4E5F-A6D1-4B10-9B8D-990936F5A08E}"/>
    <cellStyle name="Note 3 2 2 2" xfId="556" xr:uid="{00000000-0005-0000-0000-000050210000}"/>
    <cellStyle name="Note 3 2 2 2 10" xfId="17578" xr:uid="{C35EB71A-ECDA-4B1C-8363-CE95718186D9}"/>
    <cellStyle name="Note 3 2 2 2 11" xfId="26023" xr:uid="{6D2445A6-DDAB-4553-B9D2-A60326F95708}"/>
    <cellStyle name="Note 3 2 2 2 12" xfId="9137" xr:uid="{DFC6A884-AC4B-442F-8E66-3305FCC6A4EA}"/>
    <cellStyle name="Note 3 2 2 2 2" xfId="1016" xr:uid="{00000000-0005-0000-0000-000051210000}"/>
    <cellStyle name="Note 3 2 2 2 2 2" xfId="3248" xr:uid="{00000000-0005-0000-0000-000052210000}"/>
    <cellStyle name="Note 3 2 2 2 2 2 2" xfId="7471" xr:uid="{00000000-0005-0000-0000-000053210000}"/>
    <cellStyle name="Note 3 2 2 2 2 2 2 2" xfId="24354" xr:uid="{4ED89483-04A9-4B08-8716-5B3031A22D7B}"/>
    <cellStyle name="Note 3 2 2 2 2 2 2 3" xfId="32800" xr:uid="{8B00FD51-8F6F-44E4-9446-F7FF29F869EC}"/>
    <cellStyle name="Note 3 2 2 2 2 2 2 4" xfId="15913" xr:uid="{7DB600A6-C19F-4DA6-869D-D5878A567C81}"/>
    <cellStyle name="Note 3 2 2 2 2 2 3" xfId="20136" xr:uid="{0C3279E8-9BBC-45F7-B083-16206EF0A8A0}"/>
    <cellStyle name="Note 3 2 2 2 2 2 4" xfId="28583" xr:uid="{D3E77098-B268-42D8-A155-3EB00F1B0BF7}"/>
    <cellStyle name="Note 3 2 2 2 2 2 5" xfId="11695" xr:uid="{5B6C6C36-60F1-407C-A582-B35124B6FB6F}"/>
    <cellStyle name="Note 3 2 2 2 2 3" xfId="5326" xr:uid="{00000000-0005-0000-0000-000054210000}"/>
    <cellStyle name="Note 3 2 2 2 2 3 2" xfId="22209" xr:uid="{F1CA5DD6-8544-4201-A85D-FA425D28E09D}"/>
    <cellStyle name="Note 3 2 2 2 2 3 3" xfId="30655" xr:uid="{353305F2-5DC2-4319-85FE-0C8F0EBC8C3D}"/>
    <cellStyle name="Note 3 2 2 2 2 3 4" xfId="13768" xr:uid="{4CBADB67-C294-4DE2-AD3B-8163453B90FB}"/>
    <cellStyle name="Note 3 2 2 2 2 4" xfId="17991" xr:uid="{13751419-0C4D-4B61-99B1-77C6A81D9D49}"/>
    <cellStyle name="Note 3 2 2 2 2 5" xfId="26436" xr:uid="{558ABA20-6151-4A82-BCA2-859D9753FB1C}"/>
    <cellStyle name="Note 3 2 2 2 2 6" xfId="9550" xr:uid="{5C7C0079-C8D7-4C39-AEC1-38BDC70DF5A1}"/>
    <cellStyle name="Note 3 2 2 2 3" xfId="1431" xr:uid="{00000000-0005-0000-0000-000055210000}"/>
    <cellStyle name="Note 3 2 2 2 3 2" xfId="3661" xr:uid="{00000000-0005-0000-0000-000056210000}"/>
    <cellStyle name="Note 3 2 2 2 3 2 2" xfId="7884" xr:uid="{00000000-0005-0000-0000-000057210000}"/>
    <cellStyle name="Note 3 2 2 2 3 2 2 2" xfId="24767" xr:uid="{277EF8AE-7C24-4C8C-B6F0-91B44BD27020}"/>
    <cellStyle name="Note 3 2 2 2 3 2 2 3" xfId="33213" xr:uid="{0099DA14-259E-41E3-BC00-75078FFBA97F}"/>
    <cellStyle name="Note 3 2 2 2 3 2 2 4" xfId="16326" xr:uid="{FC3C4157-5E51-47EB-90FE-7DEB71C78583}"/>
    <cellStyle name="Note 3 2 2 2 3 2 3" xfId="20549" xr:uid="{0084CCBF-597E-418B-8B8D-911BDD2D27E2}"/>
    <cellStyle name="Note 3 2 2 2 3 2 4" xfId="28996" xr:uid="{A9E25352-DF5C-43A0-9637-678A818A77FD}"/>
    <cellStyle name="Note 3 2 2 2 3 2 5" xfId="12108" xr:uid="{71A1AE2B-CC5C-4298-830F-2F6258DBE590}"/>
    <cellStyle name="Note 3 2 2 2 3 3" xfId="5739" xr:uid="{00000000-0005-0000-0000-000058210000}"/>
    <cellStyle name="Note 3 2 2 2 3 3 2" xfId="22622" xr:uid="{1528756D-FC52-48C2-AE55-27A983F36561}"/>
    <cellStyle name="Note 3 2 2 2 3 3 3" xfId="31068" xr:uid="{89143C9D-B8CB-477E-BE46-2B71DF88C48E}"/>
    <cellStyle name="Note 3 2 2 2 3 3 4" xfId="14181" xr:uid="{CE175AD0-EEF5-421E-8D34-33FCC2E66DAF}"/>
    <cellStyle name="Note 3 2 2 2 3 4" xfId="18404" xr:uid="{D0E7D478-B5C7-467F-985B-ABD72AFE48EF}"/>
    <cellStyle name="Note 3 2 2 2 3 5" xfId="26849" xr:uid="{35AB89DB-EA57-4BE2-8640-228374C8F7F8}"/>
    <cellStyle name="Note 3 2 2 2 3 6" xfId="9963" xr:uid="{F006E7AF-2C5F-4411-9BC6-BE19FFD62D2B}"/>
    <cellStyle name="Note 3 2 2 2 4" xfId="1845" xr:uid="{00000000-0005-0000-0000-000059210000}"/>
    <cellStyle name="Note 3 2 2 2 4 2" xfId="4074" xr:uid="{00000000-0005-0000-0000-00005A210000}"/>
    <cellStyle name="Note 3 2 2 2 4 2 2" xfId="8297" xr:uid="{00000000-0005-0000-0000-00005B210000}"/>
    <cellStyle name="Note 3 2 2 2 4 2 2 2" xfId="25180" xr:uid="{1DA3A1A8-3DD4-43D3-B01A-DF43AA0A92B2}"/>
    <cellStyle name="Note 3 2 2 2 4 2 2 3" xfId="33626" xr:uid="{54948CEF-ED2E-4AAF-9B9F-B7164B9E5A6C}"/>
    <cellStyle name="Note 3 2 2 2 4 2 2 4" xfId="16739" xr:uid="{4A4D4FE3-2072-4D8B-8E86-D888697ED6E3}"/>
    <cellStyle name="Note 3 2 2 2 4 2 3" xfId="20962" xr:uid="{F6D7196C-E975-4D30-91B3-FDB9BDC73EF1}"/>
    <cellStyle name="Note 3 2 2 2 4 2 4" xfId="29409" xr:uid="{8CB82FB6-FC4A-494C-B292-5D63666468AF}"/>
    <cellStyle name="Note 3 2 2 2 4 2 5" xfId="12521" xr:uid="{CE9705A8-B924-4414-A6DE-57FB72BE067B}"/>
    <cellStyle name="Note 3 2 2 2 4 3" xfId="6152" xr:uid="{00000000-0005-0000-0000-00005C210000}"/>
    <cellStyle name="Note 3 2 2 2 4 3 2" xfId="23035" xr:uid="{3101E158-DFDE-4614-BDD8-090684E6C6CC}"/>
    <cellStyle name="Note 3 2 2 2 4 3 3" xfId="31481" xr:uid="{2600BD94-91CB-4422-B37C-630CA537316E}"/>
    <cellStyle name="Note 3 2 2 2 4 3 4" xfId="14594" xr:uid="{9B365BF6-6B76-4CB8-A26B-2F334121237D}"/>
    <cellStyle name="Note 3 2 2 2 4 4" xfId="18817" xr:uid="{6A587617-96D1-4D38-9AE7-D41C55E97A3E}"/>
    <cellStyle name="Note 3 2 2 2 4 5" xfId="27262" xr:uid="{548B5C76-219A-4150-9C1F-52443CB7860C}"/>
    <cellStyle name="Note 3 2 2 2 4 6" xfId="10376" xr:uid="{D074F249-82CC-42BE-9BEF-BAC0160133D9}"/>
    <cellStyle name="Note 3 2 2 2 5" xfId="2258" xr:uid="{00000000-0005-0000-0000-00005D210000}"/>
    <cellStyle name="Note 3 2 2 2 5 2" xfId="4487" xr:uid="{00000000-0005-0000-0000-00005E210000}"/>
    <cellStyle name="Note 3 2 2 2 5 2 2" xfId="8710" xr:uid="{00000000-0005-0000-0000-00005F210000}"/>
    <cellStyle name="Note 3 2 2 2 5 2 2 2" xfId="25593" xr:uid="{4389204A-DBE2-4FEE-8CFE-3CD87261B114}"/>
    <cellStyle name="Note 3 2 2 2 5 2 2 3" xfId="34039" xr:uid="{677D7BF5-410B-4333-A176-A90D43BE1932}"/>
    <cellStyle name="Note 3 2 2 2 5 2 2 4" xfId="17152" xr:uid="{67EDE415-E839-4656-9BB2-19F65C8D9229}"/>
    <cellStyle name="Note 3 2 2 2 5 2 3" xfId="21375" xr:uid="{E86DF4BF-0E61-4749-BA3E-A1807249B352}"/>
    <cellStyle name="Note 3 2 2 2 5 2 4" xfId="29822" xr:uid="{47A3D55C-F1F6-451D-829E-4E83BC1F1703}"/>
    <cellStyle name="Note 3 2 2 2 5 2 5" xfId="12934" xr:uid="{D8C62BE0-7033-44C0-9CC8-79BF6E251D4E}"/>
    <cellStyle name="Note 3 2 2 2 5 3" xfId="6565" xr:uid="{00000000-0005-0000-0000-000060210000}"/>
    <cellStyle name="Note 3 2 2 2 5 3 2" xfId="23448" xr:uid="{6356E4DB-17F3-4622-BDC1-399E0579CCC0}"/>
    <cellStyle name="Note 3 2 2 2 5 3 3" xfId="31894" xr:uid="{D128E7EE-50E6-4F7E-8B05-655001D00C43}"/>
    <cellStyle name="Note 3 2 2 2 5 3 4" xfId="15007" xr:uid="{B5F7EC83-8D5B-4C77-A45B-A32648E1402A}"/>
    <cellStyle name="Note 3 2 2 2 5 4" xfId="19230" xr:uid="{BE4ACA93-FB66-44AE-AF88-68AB323BBC7F}"/>
    <cellStyle name="Note 3 2 2 2 5 5" xfId="27675" xr:uid="{70551657-8E51-4AF8-B177-1E8FAAA41BF6}"/>
    <cellStyle name="Note 3 2 2 2 5 6" xfId="10789" xr:uid="{2E63C7F7-B21F-42B1-8EF9-A2CB8D8532BE}"/>
    <cellStyle name="Note 3 2 2 2 6" xfId="2694" xr:uid="{00000000-0005-0000-0000-000061210000}"/>
    <cellStyle name="Note 3 2 2 2 6 2" xfId="6978" xr:uid="{00000000-0005-0000-0000-000062210000}"/>
    <cellStyle name="Note 3 2 2 2 6 2 2" xfId="23861" xr:uid="{C886D45B-2724-464F-9C88-6C9574D0E4D6}"/>
    <cellStyle name="Note 3 2 2 2 6 2 3" xfId="32307" xr:uid="{AD51D79B-266C-4BEA-9005-370958680E90}"/>
    <cellStyle name="Note 3 2 2 2 6 2 4" xfId="15420" xr:uid="{D9E7C747-4F3E-419E-8148-CD4CCE10615A}"/>
    <cellStyle name="Note 3 2 2 2 6 3" xfId="19643" xr:uid="{F98E4903-7B5A-41BC-B606-14CDC85BEEEE}"/>
    <cellStyle name="Note 3 2 2 2 6 4" xfId="28088" xr:uid="{8479C7AC-3A5F-4D8C-9EE3-EFA8DCBE6803}"/>
    <cellStyle name="Note 3 2 2 2 6 5" xfId="11202" xr:uid="{1FD32ED9-AF7A-4126-B7E7-103F9D48A7CB}"/>
    <cellStyle name="Note 3 2 2 2 7" xfId="2753" xr:uid="{00000000-0005-0000-0000-000063210000}"/>
    <cellStyle name="Note 3 2 2 2 8" xfId="2834" xr:uid="{00000000-0005-0000-0000-000064210000}"/>
    <cellStyle name="Note 3 2 2 2 8 2" xfId="7058" xr:uid="{00000000-0005-0000-0000-000065210000}"/>
    <cellStyle name="Note 3 2 2 2 8 2 2" xfId="23941" xr:uid="{21E1C5CD-DA93-4EB5-B933-2EFAE85C5C70}"/>
    <cellStyle name="Note 3 2 2 2 8 2 3" xfId="32387" xr:uid="{2FC4323B-11E9-4FB3-8ACF-C61D56E685BC}"/>
    <cellStyle name="Note 3 2 2 2 8 2 4" xfId="15500" xr:uid="{01281052-6588-4B7D-96D1-E86EA2EB1535}"/>
    <cellStyle name="Note 3 2 2 2 8 3" xfId="19723" xr:uid="{12E1DE77-7D0D-4987-83C9-1D04BFED08F5}"/>
    <cellStyle name="Note 3 2 2 2 8 4" xfId="28170" xr:uid="{1AA6DF11-E867-4B3D-95D6-84B58CDAFD7E}"/>
    <cellStyle name="Note 3 2 2 2 8 5" xfId="11282" xr:uid="{B46A583D-0E87-4AB5-8415-D4EAC1CFCBF8}"/>
    <cellStyle name="Note 3 2 2 2 9" xfId="4913" xr:uid="{00000000-0005-0000-0000-000066210000}"/>
    <cellStyle name="Note 3 2 2 2 9 2" xfId="21796" xr:uid="{7D9C297F-1E76-4763-9345-5B7105A99979}"/>
    <cellStyle name="Note 3 2 2 2 9 3" xfId="30242" xr:uid="{8CD8074D-9B6B-4C79-9515-ABFC003A63C9}"/>
    <cellStyle name="Note 3 2 2 2 9 4" xfId="13355" xr:uid="{7FB73980-E1A0-4554-A847-BB2746527367}"/>
    <cellStyle name="Note 3 2 2 3" xfId="1015" xr:uid="{00000000-0005-0000-0000-000067210000}"/>
    <cellStyle name="Note 3 2 2 3 2" xfId="3247" xr:uid="{00000000-0005-0000-0000-000068210000}"/>
    <cellStyle name="Note 3 2 2 3 2 2" xfId="7470" xr:uid="{00000000-0005-0000-0000-000069210000}"/>
    <cellStyle name="Note 3 2 2 3 2 2 2" xfId="24353" xr:uid="{A257723A-E6C5-48A7-868D-297B02F9A560}"/>
    <cellStyle name="Note 3 2 2 3 2 2 3" xfId="32799" xr:uid="{E8AD80C7-9B58-4468-A313-391F427FD6A3}"/>
    <cellStyle name="Note 3 2 2 3 2 2 4" xfId="15912" xr:uid="{949ED514-F38B-4838-8F22-9CD06454BD2F}"/>
    <cellStyle name="Note 3 2 2 3 2 3" xfId="20135" xr:uid="{DE13307F-5E38-4D8E-B450-12CE8975FAFB}"/>
    <cellStyle name="Note 3 2 2 3 2 4" xfId="28582" xr:uid="{49777350-0FAF-4D92-B78E-431D86A10463}"/>
    <cellStyle name="Note 3 2 2 3 2 5" xfId="11694" xr:uid="{A97F84D3-A033-476C-89DB-7E0B5FA204BD}"/>
    <cellStyle name="Note 3 2 2 3 3" xfId="5325" xr:uid="{00000000-0005-0000-0000-00006A210000}"/>
    <cellStyle name="Note 3 2 2 3 3 2" xfId="22208" xr:uid="{770DA543-A0A4-4F6C-AC1A-BE20DB43AAFC}"/>
    <cellStyle name="Note 3 2 2 3 3 3" xfId="30654" xr:uid="{E568A446-8DF0-49E7-BA0F-EB33401F786B}"/>
    <cellStyle name="Note 3 2 2 3 3 4" xfId="13767" xr:uid="{9D54296A-5099-4F4E-A39A-DF876F1355D9}"/>
    <cellStyle name="Note 3 2 2 3 4" xfId="17990" xr:uid="{36B55068-7790-4727-B4A9-DF901CC9A51A}"/>
    <cellStyle name="Note 3 2 2 3 5" xfId="26435" xr:uid="{4ECF322A-A86B-4AF1-8503-BB0BD3274053}"/>
    <cellStyle name="Note 3 2 2 3 6" xfId="9549" xr:uid="{58C87E9A-E3E1-4C54-839D-B32594BA5482}"/>
    <cellStyle name="Note 3 2 2 4" xfId="1430" xr:uid="{00000000-0005-0000-0000-00006B210000}"/>
    <cellStyle name="Note 3 2 2 4 2" xfId="3660" xr:uid="{00000000-0005-0000-0000-00006C210000}"/>
    <cellStyle name="Note 3 2 2 4 2 2" xfId="7883" xr:uid="{00000000-0005-0000-0000-00006D210000}"/>
    <cellStyle name="Note 3 2 2 4 2 2 2" xfId="24766" xr:uid="{421B1465-654E-4B8C-8A05-B9E786949887}"/>
    <cellStyle name="Note 3 2 2 4 2 2 3" xfId="33212" xr:uid="{1E5FB003-08B6-4A7D-BDCB-31DBA6E1E47D}"/>
    <cellStyle name="Note 3 2 2 4 2 2 4" xfId="16325" xr:uid="{531D2C94-11BC-40E1-8C60-8A9832387E96}"/>
    <cellStyle name="Note 3 2 2 4 2 3" xfId="20548" xr:uid="{199C24D2-0998-4394-BFFC-33F7AC57E40E}"/>
    <cellStyle name="Note 3 2 2 4 2 4" xfId="28995" xr:uid="{90D52541-85DB-429D-8B30-78DAB555AB50}"/>
    <cellStyle name="Note 3 2 2 4 2 5" xfId="12107" xr:uid="{E395882F-0F3B-4BA2-B546-5467645B3FEF}"/>
    <cellStyle name="Note 3 2 2 4 3" xfId="5738" xr:uid="{00000000-0005-0000-0000-00006E210000}"/>
    <cellStyle name="Note 3 2 2 4 3 2" xfId="22621" xr:uid="{B4D1ECB5-45DE-491C-9159-63884BDA6C0B}"/>
    <cellStyle name="Note 3 2 2 4 3 3" xfId="31067" xr:uid="{1D005C8E-C0A8-44AA-9A81-912660736A82}"/>
    <cellStyle name="Note 3 2 2 4 3 4" xfId="14180" xr:uid="{47B842AD-0B20-416E-8665-7489905AFAC9}"/>
    <cellStyle name="Note 3 2 2 4 4" xfId="18403" xr:uid="{496E0330-53DC-49ED-9BEC-EB124358F971}"/>
    <cellStyle name="Note 3 2 2 4 5" xfId="26848" xr:uid="{4BECC9BF-7CFB-4DFA-8415-CF9E957E1ED4}"/>
    <cellStyle name="Note 3 2 2 4 6" xfId="9962" xr:uid="{5BEB3E6A-669E-4D3F-B546-8A7350CF11E9}"/>
    <cellStyle name="Note 3 2 2 5" xfId="1844" xr:uid="{00000000-0005-0000-0000-00006F210000}"/>
    <cellStyle name="Note 3 2 2 5 2" xfId="4073" xr:uid="{00000000-0005-0000-0000-000070210000}"/>
    <cellStyle name="Note 3 2 2 5 2 2" xfId="8296" xr:uid="{00000000-0005-0000-0000-000071210000}"/>
    <cellStyle name="Note 3 2 2 5 2 2 2" xfId="25179" xr:uid="{DF4A70F3-8BBC-47D9-A724-48231E6E2126}"/>
    <cellStyle name="Note 3 2 2 5 2 2 3" xfId="33625" xr:uid="{B3AA88B3-04F8-43B2-87C5-A2E0E0C95CF2}"/>
    <cellStyle name="Note 3 2 2 5 2 2 4" xfId="16738" xr:uid="{2420F746-55AC-43E9-92E9-742AEC0121F5}"/>
    <cellStyle name="Note 3 2 2 5 2 3" xfId="20961" xr:uid="{16D08434-3DFB-4853-9CA3-63E5D2EA8B76}"/>
    <cellStyle name="Note 3 2 2 5 2 4" xfId="29408" xr:uid="{A87EDAC7-A6F6-4F5D-8D89-B569D9DF0BC8}"/>
    <cellStyle name="Note 3 2 2 5 2 5" xfId="12520" xr:uid="{6DEE0E18-7811-48D0-920F-448B81F30F3C}"/>
    <cellStyle name="Note 3 2 2 5 3" xfId="6151" xr:uid="{00000000-0005-0000-0000-000072210000}"/>
    <cellStyle name="Note 3 2 2 5 3 2" xfId="23034" xr:uid="{30F84B0C-1927-4AF1-B988-8DC88556564F}"/>
    <cellStyle name="Note 3 2 2 5 3 3" xfId="31480" xr:uid="{3A761505-1CFC-46D2-B5EE-C97CB74BCC97}"/>
    <cellStyle name="Note 3 2 2 5 3 4" xfId="14593" xr:uid="{B76A3A53-3DD1-4F29-AC53-DB9DF3B4792A}"/>
    <cellStyle name="Note 3 2 2 5 4" xfId="18816" xr:uid="{31DE7915-0219-466F-A8E7-9E7EC31E5CA1}"/>
    <cellStyle name="Note 3 2 2 5 5" xfId="27261" xr:uid="{D37A9A64-1685-4F4A-9C3F-D699DDC985FA}"/>
    <cellStyle name="Note 3 2 2 5 6" xfId="10375" xr:uid="{1A3D4ECF-ACB7-4BE9-B73D-531D2E890DAA}"/>
    <cellStyle name="Note 3 2 2 6" xfId="2257" xr:uid="{00000000-0005-0000-0000-000073210000}"/>
    <cellStyle name="Note 3 2 2 6 2" xfId="4486" xr:uid="{00000000-0005-0000-0000-000074210000}"/>
    <cellStyle name="Note 3 2 2 6 2 2" xfId="8709" xr:uid="{00000000-0005-0000-0000-000075210000}"/>
    <cellStyle name="Note 3 2 2 6 2 2 2" xfId="25592" xr:uid="{E99D59F2-254B-4C64-B844-FF57F3D3CA08}"/>
    <cellStyle name="Note 3 2 2 6 2 2 3" xfId="34038" xr:uid="{CEDE5D29-AD71-411B-A4D4-79C04D6345EC}"/>
    <cellStyle name="Note 3 2 2 6 2 2 4" xfId="17151" xr:uid="{8D41193B-C62F-4622-B7AA-E58AE22AF5A5}"/>
    <cellStyle name="Note 3 2 2 6 2 3" xfId="21374" xr:uid="{E3ECEF7D-1807-4042-9113-E10D737F0036}"/>
    <cellStyle name="Note 3 2 2 6 2 4" xfId="29821" xr:uid="{FA1506B0-5207-4F15-85EE-E5EECA0C3A13}"/>
    <cellStyle name="Note 3 2 2 6 2 5" xfId="12933" xr:uid="{924D3142-7EB8-43FF-ADA2-DD3C2AD5E108}"/>
    <cellStyle name="Note 3 2 2 6 3" xfId="6564" xr:uid="{00000000-0005-0000-0000-000076210000}"/>
    <cellStyle name="Note 3 2 2 6 3 2" xfId="23447" xr:uid="{1F019600-22C9-4BCE-9C28-8F59C43F7EAE}"/>
    <cellStyle name="Note 3 2 2 6 3 3" xfId="31893" xr:uid="{B524A04E-93AB-4BF6-B507-4826E1B5AD9C}"/>
    <cellStyle name="Note 3 2 2 6 3 4" xfId="15006" xr:uid="{A34876BD-D931-417A-8D36-299A42475C53}"/>
    <cellStyle name="Note 3 2 2 6 4" xfId="19229" xr:uid="{A5CF64FB-BB15-439E-A02B-2FC9E6D53C10}"/>
    <cellStyle name="Note 3 2 2 6 5" xfId="27674" xr:uid="{EB4A4C7D-F8D5-4788-9270-4AEDC805A1B3}"/>
    <cellStyle name="Note 3 2 2 6 6" xfId="10788" xr:uid="{1F9A1C02-3C94-45AE-BA44-854BB1362829}"/>
    <cellStyle name="Note 3 2 2 7" xfId="2693" xr:uid="{00000000-0005-0000-0000-000077210000}"/>
    <cellStyle name="Note 3 2 2 7 2" xfId="6977" xr:uid="{00000000-0005-0000-0000-000078210000}"/>
    <cellStyle name="Note 3 2 2 7 2 2" xfId="23860" xr:uid="{854052B3-A1DB-4916-AC51-004B00056197}"/>
    <cellStyle name="Note 3 2 2 7 2 3" xfId="32306" xr:uid="{726C2065-C27E-4F7F-8010-AC1DD54286FC}"/>
    <cellStyle name="Note 3 2 2 7 2 4" xfId="15419" xr:uid="{26D02919-36BB-48FF-8183-4CBFE1549250}"/>
    <cellStyle name="Note 3 2 2 7 3" xfId="19642" xr:uid="{6CE4A7F3-C6A1-4595-B6C4-EC9FB25CDF84}"/>
    <cellStyle name="Note 3 2 2 7 4" xfId="28087" xr:uid="{083920A5-C223-4494-A288-51D302E5C43A}"/>
    <cellStyle name="Note 3 2 2 7 5" xfId="11201" xr:uid="{9230C3BC-F9A8-469E-B765-FFBA558CD13B}"/>
    <cellStyle name="Note 3 2 2 8" xfId="2752" xr:uid="{00000000-0005-0000-0000-000079210000}"/>
    <cellStyle name="Note 3 2 2 9" xfId="2833" xr:uid="{00000000-0005-0000-0000-00007A210000}"/>
    <cellStyle name="Note 3 2 2 9 2" xfId="7057" xr:uid="{00000000-0005-0000-0000-00007B210000}"/>
    <cellStyle name="Note 3 2 2 9 2 2" xfId="23940" xr:uid="{89945769-7D4D-4020-83E4-D5DBC85FC788}"/>
    <cellStyle name="Note 3 2 2 9 2 3" xfId="32386" xr:uid="{783E9F72-9DE4-4CEF-8897-3C9862D7517D}"/>
    <cellStyle name="Note 3 2 2 9 2 4" xfId="15499" xr:uid="{003AB738-8CFF-4265-8C18-9CF46335BE8C}"/>
    <cellStyle name="Note 3 2 2 9 3" xfId="19722" xr:uid="{D9777CFE-E98B-49B0-82B4-8E5E143D09A6}"/>
    <cellStyle name="Note 3 2 2 9 4" xfId="28169" xr:uid="{D0E6F325-14A0-4BC2-AFAD-6341B1627664}"/>
    <cellStyle name="Note 3 2 2 9 5" xfId="11281" xr:uid="{5CEC21AC-9471-4D7B-9CFC-80E7665AC4AC}"/>
    <cellStyle name="Note 3 2 3" xfId="557" xr:uid="{00000000-0005-0000-0000-00007C210000}"/>
    <cellStyle name="Note 3 2 3 10" xfId="17579" xr:uid="{C9767E2F-8D25-412E-AB73-C2FE4A73B845}"/>
    <cellStyle name="Note 3 2 3 11" xfId="26024" xr:uid="{4A052D23-DF49-4F51-B53F-EA0AAD910898}"/>
    <cellStyle name="Note 3 2 3 12" xfId="9138" xr:uid="{40273BD0-6CB3-4CD5-997F-7F307C956E19}"/>
    <cellStyle name="Note 3 2 3 2" xfId="1017" xr:uid="{00000000-0005-0000-0000-00007D210000}"/>
    <cellStyle name="Note 3 2 3 2 2" xfId="3249" xr:uid="{00000000-0005-0000-0000-00007E210000}"/>
    <cellStyle name="Note 3 2 3 2 2 2" xfId="7472" xr:uid="{00000000-0005-0000-0000-00007F210000}"/>
    <cellStyle name="Note 3 2 3 2 2 2 2" xfId="24355" xr:uid="{6C697BE8-4DDF-4B10-83A2-F899AA5E666F}"/>
    <cellStyle name="Note 3 2 3 2 2 2 3" xfId="32801" xr:uid="{BCF5D76A-0CA9-4D4B-94EB-B69923866812}"/>
    <cellStyle name="Note 3 2 3 2 2 2 4" xfId="15914" xr:uid="{486029B5-A14A-435A-8C55-580ACF564D26}"/>
    <cellStyle name="Note 3 2 3 2 2 3" xfId="20137" xr:uid="{434EEA56-7A5C-40A3-9A5B-AA0E47E6FF4E}"/>
    <cellStyle name="Note 3 2 3 2 2 4" xfId="28584" xr:uid="{D88094DF-86D3-4535-AB3C-57D6E928AD27}"/>
    <cellStyle name="Note 3 2 3 2 2 5" xfId="11696" xr:uid="{FE827466-81ED-4AB5-9D99-ABFAB079A49A}"/>
    <cellStyle name="Note 3 2 3 2 3" xfId="5327" xr:uid="{00000000-0005-0000-0000-000080210000}"/>
    <cellStyle name="Note 3 2 3 2 3 2" xfId="22210" xr:uid="{74C6093B-524C-4068-8E42-AEDDB91F5E15}"/>
    <cellStyle name="Note 3 2 3 2 3 3" xfId="30656" xr:uid="{B6107EA3-D5AA-4F66-943D-F9EB360AAB28}"/>
    <cellStyle name="Note 3 2 3 2 3 4" xfId="13769" xr:uid="{4B9941D7-0191-4F45-920F-8F75AE51B17D}"/>
    <cellStyle name="Note 3 2 3 2 4" xfId="17992" xr:uid="{8A3A0D5E-9FE0-4D4A-8C55-7748F7A07152}"/>
    <cellStyle name="Note 3 2 3 2 5" xfId="26437" xr:uid="{1261775F-09AF-4B69-97E1-8DBC7FDAD427}"/>
    <cellStyle name="Note 3 2 3 2 6" xfId="9551" xr:uid="{CE318A67-0EFE-4E1B-8D6A-6C15B26F75EA}"/>
    <cellStyle name="Note 3 2 3 3" xfId="1432" xr:uid="{00000000-0005-0000-0000-000081210000}"/>
    <cellStyle name="Note 3 2 3 3 2" xfId="3662" xr:uid="{00000000-0005-0000-0000-000082210000}"/>
    <cellStyle name="Note 3 2 3 3 2 2" xfId="7885" xr:uid="{00000000-0005-0000-0000-000083210000}"/>
    <cellStyle name="Note 3 2 3 3 2 2 2" xfId="24768" xr:uid="{BA2B419C-16E5-4AA4-B4A6-3186A36841E9}"/>
    <cellStyle name="Note 3 2 3 3 2 2 3" xfId="33214" xr:uid="{8039145A-3499-4A55-B6BF-68851AD2163F}"/>
    <cellStyle name="Note 3 2 3 3 2 2 4" xfId="16327" xr:uid="{B01B8B8C-00A2-4C35-AACF-1F24F0F1EF2A}"/>
    <cellStyle name="Note 3 2 3 3 2 3" xfId="20550" xr:uid="{19AD5F72-2B53-4AC8-9E08-5E8F7B08C257}"/>
    <cellStyle name="Note 3 2 3 3 2 4" xfId="28997" xr:uid="{C5C1078C-DBB7-4732-9F38-9687238190F6}"/>
    <cellStyle name="Note 3 2 3 3 2 5" xfId="12109" xr:uid="{4C2F34D3-4F39-4D3B-B936-CA45A2547989}"/>
    <cellStyle name="Note 3 2 3 3 3" xfId="5740" xr:uid="{00000000-0005-0000-0000-000084210000}"/>
    <cellStyle name="Note 3 2 3 3 3 2" xfId="22623" xr:uid="{CE4DB8A7-9BBA-44B4-B3A9-58BC03F4A7E2}"/>
    <cellStyle name="Note 3 2 3 3 3 3" xfId="31069" xr:uid="{70F3C3F8-A158-4AC9-9400-FAC03D5E6616}"/>
    <cellStyle name="Note 3 2 3 3 3 4" xfId="14182" xr:uid="{8136B0D6-6380-4BCF-9E24-7CE173D66CCA}"/>
    <cellStyle name="Note 3 2 3 3 4" xfId="18405" xr:uid="{BD1B03D1-B4C1-4788-91F7-5E122F61DCA4}"/>
    <cellStyle name="Note 3 2 3 3 5" xfId="26850" xr:uid="{43B91790-D922-492A-AA20-97F9739F1118}"/>
    <cellStyle name="Note 3 2 3 3 6" xfId="9964" xr:uid="{9A7F5D46-38C1-4E4F-B14D-4EF5FA0FFD5A}"/>
    <cellStyle name="Note 3 2 3 4" xfId="1846" xr:uid="{00000000-0005-0000-0000-000085210000}"/>
    <cellStyle name="Note 3 2 3 4 2" xfId="4075" xr:uid="{00000000-0005-0000-0000-000086210000}"/>
    <cellStyle name="Note 3 2 3 4 2 2" xfId="8298" xr:uid="{00000000-0005-0000-0000-000087210000}"/>
    <cellStyle name="Note 3 2 3 4 2 2 2" xfId="25181" xr:uid="{67978285-BAFE-409C-908C-B2F000A9C761}"/>
    <cellStyle name="Note 3 2 3 4 2 2 3" xfId="33627" xr:uid="{70EB4501-BA37-4377-BAD8-BEC3608517C3}"/>
    <cellStyle name="Note 3 2 3 4 2 2 4" xfId="16740" xr:uid="{D43AABD0-C14A-4745-9DA1-14BA28B3C569}"/>
    <cellStyle name="Note 3 2 3 4 2 3" xfId="20963" xr:uid="{1F9614B8-9898-41E9-B117-B97E656487FF}"/>
    <cellStyle name="Note 3 2 3 4 2 4" xfId="29410" xr:uid="{0F72B953-7165-45B9-9606-559395B0E470}"/>
    <cellStyle name="Note 3 2 3 4 2 5" xfId="12522" xr:uid="{522C8D92-9C4F-408D-B883-8ECDF3E7A5DC}"/>
    <cellStyle name="Note 3 2 3 4 3" xfId="6153" xr:uid="{00000000-0005-0000-0000-000088210000}"/>
    <cellStyle name="Note 3 2 3 4 3 2" xfId="23036" xr:uid="{BF206640-B348-4E87-997F-3AC4EE0E5292}"/>
    <cellStyle name="Note 3 2 3 4 3 3" xfId="31482" xr:uid="{5536BB11-62D7-4FA3-8123-C7FF596251CB}"/>
    <cellStyle name="Note 3 2 3 4 3 4" xfId="14595" xr:uid="{187D1AF3-9002-4B97-A009-BF7109A458FF}"/>
    <cellStyle name="Note 3 2 3 4 4" xfId="18818" xr:uid="{DE13AE4A-DC28-4C15-B2EC-141995774CB2}"/>
    <cellStyle name="Note 3 2 3 4 5" xfId="27263" xr:uid="{7489A072-47A8-45DC-B008-E22214B6061B}"/>
    <cellStyle name="Note 3 2 3 4 6" xfId="10377" xr:uid="{FD5C31FC-075D-4B11-81E1-12F93479C0D4}"/>
    <cellStyle name="Note 3 2 3 5" xfId="2259" xr:uid="{00000000-0005-0000-0000-000089210000}"/>
    <cellStyle name="Note 3 2 3 5 2" xfId="4488" xr:uid="{00000000-0005-0000-0000-00008A210000}"/>
    <cellStyle name="Note 3 2 3 5 2 2" xfId="8711" xr:uid="{00000000-0005-0000-0000-00008B210000}"/>
    <cellStyle name="Note 3 2 3 5 2 2 2" xfId="25594" xr:uid="{90B516EF-9EB5-4B32-A914-393F76014D81}"/>
    <cellStyle name="Note 3 2 3 5 2 2 3" xfId="34040" xr:uid="{6C2E4DC6-41D2-4950-8769-4EFAA1452698}"/>
    <cellStyle name="Note 3 2 3 5 2 2 4" xfId="17153" xr:uid="{9644A85E-B33A-4EFB-A570-A305CF44FB8D}"/>
    <cellStyle name="Note 3 2 3 5 2 3" xfId="21376" xr:uid="{F504090C-5AC2-4D35-BCA8-046568A14778}"/>
    <cellStyle name="Note 3 2 3 5 2 4" xfId="29823" xr:uid="{639AB1E7-81B7-4014-B035-8920C230FCFE}"/>
    <cellStyle name="Note 3 2 3 5 2 5" xfId="12935" xr:uid="{69483146-B78D-41DE-AA12-A0920CFB6083}"/>
    <cellStyle name="Note 3 2 3 5 3" xfId="6566" xr:uid="{00000000-0005-0000-0000-00008C210000}"/>
    <cellStyle name="Note 3 2 3 5 3 2" xfId="23449" xr:uid="{5D5EAD81-D9DC-417E-9584-50918A78DA54}"/>
    <cellStyle name="Note 3 2 3 5 3 3" xfId="31895" xr:uid="{17AEC13C-5E1D-42F7-962A-B5F16B0756BA}"/>
    <cellStyle name="Note 3 2 3 5 3 4" xfId="15008" xr:uid="{4B05CD0C-C752-4E56-8E42-F4BE07F71CD8}"/>
    <cellStyle name="Note 3 2 3 5 4" xfId="19231" xr:uid="{76135D0B-8077-4DD8-B296-504F95B13D70}"/>
    <cellStyle name="Note 3 2 3 5 5" xfId="27676" xr:uid="{D74072F5-C3CF-4C14-86D1-89DE8C5BF55C}"/>
    <cellStyle name="Note 3 2 3 5 6" xfId="10790" xr:uid="{6C4A0279-2275-445C-8CEC-0D8D0DB03986}"/>
    <cellStyle name="Note 3 2 3 6" xfId="2695" xr:uid="{00000000-0005-0000-0000-00008D210000}"/>
    <cellStyle name="Note 3 2 3 6 2" xfId="6979" xr:uid="{00000000-0005-0000-0000-00008E210000}"/>
    <cellStyle name="Note 3 2 3 6 2 2" xfId="23862" xr:uid="{2EDA450F-982A-46AE-B210-32AB4F45CE55}"/>
    <cellStyle name="Note 3 2 3 6 2 3" xfId="32308" xr:uid="{65B96E03-CF39-42BD-809C-33D1757941F9}"/>
    <cellStyle name="Note 3 2 3 6 2 4" xfId="15421" xr:uid="{4A53DD32-C6A9-4DE6-AE70-F3C43ABB02A1}"/>
    <cellStyle name="Note 3 2 3 6 3" xfId="19644" xr:uid="{247C5984-5D35-44EF-9A92-EECAD426EDC6}"/>
    <cellStyle name="Note 3 2 3 6 4" xfId="28089" xr:uid="{C5E1A5D3-27B3-437D-AA59-81BD77294EFF}"/>
    <cellStyle name="Note 3 2 3 6 5" xfId="11203" xr:uid="{B691AF2D-314B-48B3-A6EE-FD8A922F49C0}"/>
    <cellStyle name="Note 3 2 3 7" xfId="2754" xr:uid="{00000000-0005-0000-0000-00008F210000}"/>
    <cellStyle name="Note 3 2 3 8" xfId="2835" xr:uid="{00000000-0005-0000-0000-000090210000}"/>
    <cellStyle name="Note 3 2 3 8 2" xfId="7059" xr:uid="{00000000-0005-0000-0000-000091210000}"/>
    <cellStyle name="Note 3 2 3 8 2 2" xfId="23942" xr:uid="{4847C4AD-AACC-417C-900E-A65F102C2C7D}"/>
    <cellStyle name="Note 3 2 3 8 2 3" xfId="32388" xr:uid="{C0FCA7C8-5D00-4075-804D-9E3983715580}"/>
    <cellStyle name="Note 3 2 3 8 2 4" xfId="15501" xr:uid="{8C662720-D554-4F6A-AA9C-EA2438C8DA17}"/>
    <cellStyle name="Note 3 2 3 8 3" xfId="19724" xr:uid="{25507818-FE93-4FF1-B67E-5817F3939962}"/>
    <cellStyle name="Note 3 2 3 8 4" xfId="28171" xr:uid="{CFDCE8B8-7569-462F-8B2B-D8B76B039747}"/>
    <cellStyle name="Note 3 2 3 8 5" xfId="11283" xr:uid="{ACA07D4E-B35B-4212-8D96-E460FE114BD6}"/>
    <cellStyle name="Note 3 2 3 9" xfId="4914" xr:uid="{00000000-0005-0000-0000-000092210000}"/>
    <cellStyle name="Note 3 2 3 9 2" xfId="21797" xr:uid="{5654C963-7678-4312-AAA1-E8A06DB27589}"/>
    <cellStyle name="Note 3 2 3 9 3" xfId="30243" xr:uid="{000FDA1B-48D3-4288-AEA1-41E72075A752}"/>
    <cellStyle name="Note 3 2 3 9 4" xfId="13356" xr:uid="{FD858D22-B8FE-46D9-9C05-87361013987D}"/>
    <cellStyle name="Note 3 2 4" xfId="1014" xr:uid="{00000000-0005-0000-0000-000093210000}"/>
    <cellStyle name="Note 3 2 4 2" xfId="3246" xr:uid="{00000000-0005-0000-0000-000094210000}"/>
    <cellStyle name="Note 3 2 4 2 2" xfId="7469" xr:uid="{00000000-0005-0000-0000-000095210000}"/>
    <cellStyle name="Note 3 2 4 2 2 2" xfId="24352" xr:uid="{30E9F7E8-91B5-44CB-960A-A3E40613F892}"/>
    <cellStyle name="Note 3 2 4 2 2 3" xfId="32798" xr:uid="{B2E2403F-C733-468E-BE4E-585AAFF24B7F}"/>
    <cellStyle name="Note 3 2 4 2 2 4" xfId="15911" xr:uid="{C3649DBB-9E69-4C7C-8C0E-C7EDB40011F0}"/>
    <cellStyle name="Note 3 2 4 2 3" xfId="20134" xr:uid="{BFD06898-EA16-456A-8293-5A60B8DE4BA6}"/>
    <cellStyle name="Note 3 2 4 2 4" xfId="28581" xr:uid="{85EF76EF-D43A-4F07-9F23-990C8723CC97}"/>
    <cellStyle name="Note 3 2 4 2 5" xfId="11693" xr:uid="{B15F40E9-9431-40DD-B7C1-2C1EDB26DBF2}"/>
    <cellStyle name="Note 3 2 4 3" xfId="5324" xr:uid="{00000000-0005-0000-0000-000096210000}"/>
    <cellStyle name="Note 3 2 4 3 2" xfId="22207" xr:uid="{B2A74BCE-4717-4E54-B907-454B78CA7865}"/>
    <cellStyle name="Note 3 2 4 3 3" xfId="30653" xr:uid="{11A14C39-5B38-46FD-965D-D8CD27F88C33}"/>
    <cellStyle name="Note 3 2 4 3 4" xfId="13766" xr:uid="{E23B6D47-2CE3-405C-95FB-9E0078ABD4BA}"/>
    <cellStyle name="Note 3 2 4 4" xfId="17989" xr:uid="{A911825C-DCDB-4F52-9A97-1EAD931A8695}"/>
    <cellStyle name="Note 3 2 4 5" xfId="26434" xr:uid="{8DDE19D2-9946-44A0-8C22-49C08F6E5FF2}"/>
    <cellStyle name="Note 3 2 4 6" xfId="9548" xr:uid="{37959FB8-8FC1-4664-90FA-728A858E0D26}"/>
    <cellStyle name="Note 3 2 5" xfId="1429" xr:uid="{00000000-0005-0000-0000-000097210000}"/>
    <cellStyle name="Note 3 2 5 2" xfId="3659" xr:uid="{00000000-0005-0000-0000-000098210000}"/>
    <cellStyle name="Note 3 2 5 2 2" xfId="7882" xr:uid="{00000000-0005-0000-0000-000099210000}"/>
    <cellStyle name="Note 3 2 5 2 2 2" xfId="24765" xr:uid="{7943718A-1856-4AFA-B2BE-F42CEA546F27}"/>
    <cellStyle name="Note 3 2 5 2 2 3" xfId="33211" xr:uid="{05C778AA-2F8E-46BF-BE79-C98DA9EE71A7}"/>
    <cellStyle name="Note 3 2 5 2 2 4" xfId="16324" xr:uid="{3D6676B1-3443-4A52-BB43-E06353F842B0}"/>
    <cellStyle name="Note 3 2 5 2 3" xfId="20547" xr:uid="{22A4CC95-CC0F-414C-9FC6-35E51C2ED759}"/>
    <cellStyle name="Note 3 2 5 2 4" xfId="28994" xr:uid="{FC0AA162-03ED-45A7-9459-6845DB696E54}"/>
    <cellStyle name="Note 3 2 5 2 5" xfId="12106" xr:uid="{066BDAD7-D053-4499-94CD-979F7DDD2F3E}"/>
    <cellStyle name="Note 3 2 5 3" xfId="5737" xr:uid="{00000000-0005-0000-0000-00009A210000}"/>
    <cellStyle name="Note 3 2 5 3 2" xfId="22620" xr:uid="{8997C20B-673C-4AF5-BF7E-51D20A4BB9FB}"/>
    <cellStyle name="Note 3 2 5 3 3" xfId="31066" xr:uid="{66976BE4-5B6F-4405-AF5F-2DB32F309C1B}"/>
    <cellStyle name="Note 3 2 5 3 4" xfId="14179" xr:uid="{24BB5851-4610-4E8D-9350-4D854625346A}"/>
    <cellStyle name="Note 3 2 5 4" xfId="18402" xr:uid="{DF6D2237-F7C7-4848-B772-489406E9E3A6}"/>
    <cellStyle name="Note 3 2 5 5" xfId="26847" xr:uid="{311A49B5-9F0D-4A28-84F9-C67FA2FDB38C}"/>
    <cellStyle name="Note 3 2 5 6" xfId="9961" xr:uid="{4E5A7BD6-850D-4558-9467-BFE7AE8B91E0}"/>
    <cellStyle name="Note 3 2 6" xfId="1843" xr:uid="{00000000-0005-0000-0000-00009B210000}"/>
    <cellStyle name="Note 3 2 6 2" xfId="4072" xr:uid="{00000000-0005-0000-0000-00009C210000}"/>
    <cellStyle name="Note 3 2 6 2 2" xfId="8295" xr:uid="{00000000-0005-0000-0000-00009D210000}"/>
    <cellStyle name="Note 3 2 6 2 2 2" xfId="25178" xr:uid="{98294C20-32F8-4B68-A8CE-EE90989DA8E6}"/>
    <cellStyle name="Note 3 2 6 2 2 3" xfId="33624" xr:uid="{0FFDDD42-65EF-4992-BF63-C999C4FB4DEF}"/>
    <cellStyle name="Note 3 2 6 2 2 4" xfId="16737" xr:uid="{8002EEB3-DE6E-4CAF-806F-158B761380E0}"/>
    <cellStyle name="Note 3 2 6 2 3" xfId="20960" xr:uid="{E95784F5-BFBC-4438-B303-2DA19C27551C}"/>
    <cellStyle name="Note 3 2 6 2 4" xfId="29407" xr:uid="{9028DDC3-627C-45D4-AA63-C687A774EB7B}"/>
    <cellStyle name="Note 3 2 6 2 5" xfId="12519" xr:uid="{16DB3EF0-EE97-4320-8FF1-C7FA00B56AC5}"/>
    <cellStyle name="Note 3 2 6 3" xfId="6150" xr:uid="{00000000-0005-0000-0000-00009E210000}"/>
    <cellStyle name="Note 3 2 6 3 2" xfId="23033" xr:uid="{98B16FAE-E78E-4AAE-BF05-FB4DDA08792D}"/>
    <cellStyle name="Note 3 2 6 3 3" xfId="31479" xr:uid="{86598408-2A6A-4FD6-8DEE-96EF6B4C6A83}"/>
    <cellStyle name="Note 3 2 6 3 4" xfId="14592" xr:uid="{C1B2B1FC-3B22-47EF-8AF2-4D4DBA91A216}"/>
    <cellStyle name="Note 3 2 6 4" xfId="18815" xr:uid="{0E0295E0-C5C9-4A4C-8201-C02B633E8853}"/>
    <cellStyle name="Note 3 2 6 5" xfId="27260" xr:uid="{814D2F65-12B2-4B4B-A764-B4FB1795BBC5}"/>
    <cellStyle name="Note 3 2 6 6" xfId="10374" xr:uid="{92390849-953F-4846-866C-C07C66C708C7}"/>
    <cellStyle name="Note 3 2 7" xfId="2256" xr:uid="{00000000-0005-0000-0000-00009F210000}"/>
    <cellStyle name="Note 3 2 7 2" xfId="4485" xr:uid="{00000000-0005-0000-0000-0000A0210000}"/>
    <cellStyle name="Note 3 2 7 2 2" xfId="8708" xr:uid="{00000000-0005-0000-0000-0000A1210000}"/>
    <cellStyle name="Note 3 2 7 2 2 2" xfId="25591" xr:uid="{33F9C938-F140-4CAC-BEB0-12ADCFF574FA}"/>
    <cellStyle name="Note 3 2 7 2 2 3" xfId="34037" xr:uid="{21E689A0-9DFE-4A95-A59B-762BBC1CD149}"/>
    <cellStyle name="Note 3 2 7 2 2 4" xfId="17150" xr:uid="{6A5058FF-B9F9-4E5D-A3DB-2097D8045F5B}"/>
    <cellStyle name="Note 3 2 7 2 3" xfId="21373" xr:uid="{730A8C04-E698-4A44-984E-066981CFB28A}"/>
    <cellStyle name="Note 3 2 7 2 4" xfId="29820" xr:uid="{7DF147AF-DCF5-4C1C-B929-C823229D52E0}"/>
    <cellStyle name="Note 3 2 7 2 5" xfId="12932" xr:uid="{3688D99C-14CF-482C-8DF9-CFC96B470BBF}"/>
    <cellStyle name="Note 3 2 7 3" xfId="6563" xr:uid="{00000000-0005-0000-0000-0000A2210000}"/>
    <cellStyle name="Note 3 2 7 3 2" xfId="23446" xr:uid="{D4361F79-BFD3-41FF-B64B-22EA19B6F8DB}"/>
    <cellStyle name="Note 3 2 7 3 3" xfId="31892" xr:uid="{D0189DAF-7AC2-49E3-8195-C92D5CF4D805}"/>
    <cellStyle name="Note 3 2 7 3 4" xfId="15005" xr:uid="{E2129DA6-2336-4581-A3B6-B88B2CAE4A5A}"/>
    <cellStyle name="Note 3 2 7 4" xfId="19228" xr:uid="{CAE6F0EC-4842-499A-9059-F971AF54C0EB}"/>
    <cellStyle name="Note 3 2 7 5" xfId="27673" xr:uid="{C96B359D-B87C-4FEF-B8C5-D2433ECFE4C2}"/>
    <cellStyle name="Note 3 2 7 6" xfId="10787" xr:uid="{404307C8-BE0E-4851-9D55-2A9A10E2BA91}"/>
    <cellStyle name="Note 3 2 8" xfId="2692" xr:uid="{00000000-0005-0000-0000-0000A3210000}"/>
    <cellStyle name="Note 3 2 8 2" xfId="6976" xr:uid="{00000000-0005-0000-0000-0000A4210000}"/>
    <cellStyle name="Note 3 2 8 2 2" xfId="23859" xr:uid="{BED15332-4591-4CAD-AD19-EB1150D88BCB}"/>
    <cellStyle name="Note 3 2 8 2 3" xfId="32305" xr:uid="{240AF79F-F40C-40E8-ABA5-60152090F5BA}"/>
    <cellStyle name="Note 3 2 8 2 4" xfId="15418" xr:uid="{76FF0BD2-D038-411A-B7EA-36E90B913D23}"/>
    <cellStyle name="Note 3 2 8 3" xfId="19641" xr:uid="{ED0D8A91-7D34-4E3C-9D3F-A59C8D5B318F}"/>
    <cellStyle name="Note 3 2 8 4" xfId="28086" xr:uid="{AE683647-EAB4-4855-8089-2966F909DE7F}"/>
    <cellStyle name="Note 3 2 8 5" xfId="11200" xr:uid="{7DA20EAB-05D4-4C94-96D2-F4C58065C301}"/>
    <cellStyle name="Note 3 2 9" xfId="2751" xr:uid="{00000000-0005-0000-0000-0000A5210000}"/>
    <cellStyle name="Note 3 3" xfId="558" xr:uid="{00000000-0005-0000-0000-0000A6210000}"/>
    <cellStyle name="Note 3 3 10" xfId="4915" xr:uid="{00000000-0005-0000-0000-0000A7210000}"/>
    <cellStyle name="Note 3 3 10 2" xfId="21798" xr:uid="{8E743041-5D06-4604-9ACF-428829923879}"/>
    <cellStyle name="Note 3 3 10 3" xfId="30244" xr:uid="{628E9AF8-1935-4D04-BDF9-56DB6FDA12CD}"/>
    <cellStyle name="Note 3 3 10 4" xfId="13357" xr:uid="{F020E585-B9DD-478C-8A29-A48AB9B6FA33}"/>
    <cellStyle name="Note 3 3 11" xfId="17580" xr:uid="{BF4C9F45-AE5E-4822-ACDF-F87ED44643C3}"/>
    <cellStyle name="Note 3 3 12" xfId="26025" xr:uid="{80E1706F-6C19-4526-A135-684247C7AFAE}"/>
    <cellStyle name="Note 3 3 13" xfId="9139" xr:uid="{FA0916C0-ED54-4D63-9518-F7F93A53D81D}"/>
    <cellStyle name="Note 3 3 2" xfId="559" xr:uid="{00000000-0005-0000-0000-0000A8210000}"/>
    <cellStyle name="Note 3 3 2 10" xfId="17581" xr:uid="{9536FD89-CC88-451F-B065-A14EDE8BCBEB}"/>
    <cellStyle name="Note 3 3 2 11" xfId="26026" xr:uid="{8901C327-9F0F-49F8-B926-34108AECF69B}"/>
    <cellStyle name="Note 3 3 2 12" xfId="9140" xr:uid="{073F2F41-7172-4427-A419-6C0E32BC9293}"/>
    <cellStyle name="Note 3 3 2 2" xfId="1019" xr:uid="{00000000-0005-0000-0000-0000A9210000}"/>
    <cellStyle name="Note 3 3 2 2 2" xfId="3251" xr:uid="{00000000-0005-0000-0000-0000AA210000}"/>
    <cellStyle name="Note 3 3 2 2 2 2" xfId="7474" xr:uid="{00000000-0005-0000-0000-0000AB210000}"/>
    <cellStyle name="Note 3 3 2 2 2 2 2" xfId="24357" xr:uid="{658D61F1-689D-4B89-B8FB-F8F1523B4C7F}"/>
    <cellStyle name="Note 3 3 2 2 2 2 3" xfId="32803" xr:uid="{4E2ED6FF-165A-40F3-88C9-EE90025E6BD9}"/>
    <cellStyle name="Note 3 3 2 2 2 2 4" xfId="15916" xr:uid="{9DE4BDA6-1671-4FC5-80F7-B5B8D6163460}"/>
    <cellStyle name="Note 3 3 2 2 2 3" xfId="20139" xr:uid="{9E288DB9-6FED-4119-8A40-AEE5D34F2928}"/>
    <cellStyle name="Note 3 3 2 2 2 4" xfId="28586" xr:uid="{92878BEF-2276-4641-99B6-EE6571E254B8}"/>
    <cellStyle name="Note 3 3 2 2 2 5" xfId="11698" xr:uid="{BF2B06DA-5E46-4BD5-B6AA-04856CF19E11}"/>
    <cellStyle name="Note 3 3 2 2 3" xfId="5329" xr:uid="{00000000-0005-0000-0000-0000AC210000}"/>
    <cellStyle name="Note 3 3 2 2 3 2" xfId="22212" xr:uid="{CCAFA61E-D211-4AD8-A64F-7EE78BD7B9D1}"/>
    <cellStyle name="Note 3 3 2 2 3 3" xfId="30658" xr:uid="{9E2B3C73-EEBD-47ED-A274-C1205DC4FBF4}"/>
    <cellStyle name="Note 3 3 2 2 3 4" xfId="13771" xr:uid="{3665D162-E87F-4FF1-874C-37E5240288A0}"/>
    <cellStyle name="Note 3 3 2 2 4" xfId="17994" xr:uid="{5FD593EB-527C-4687-BBBF-CDBD0CF49385}"/>
    <cellStyle name="Note 3 3 2 2 5" xfId="26439" xr:uid="{48BE75D5-3330-42AA-B29F-1293370E95EE}"/>
    <cellStyle name="Note 3 3 2 2 6" xfId="9553" xr:uid="{BE09F319-8BA7-4D4C-8E12-216C89801E47}"/>
    <cellStyle name="Note 3 3 2 3" xfId="1434" xr:uid="{00000000-0005-0000-0000-0000AD210000}"/>
    <cellStyle name="Note 3 3 2 3 2" xfId="3664" xr:uid="{00000000-0005-0000-0000-0000AE210000}"/>
    <cellStyle name="Note 3 3 2 3 2 2" xfId="7887" xr:uid="{00000000-0005-0000-0000-0000AF210000}"/>
    <cellStyle name="Note 3 3 2 3 2 2 2" xfId="24770" xr:uid="{284E0B48-C1FF-4BCC-BCAC-9A69985DCD08}"/>
    <cellStyle name="Note 3 3 2 3 2 2 3" xfId="33216" xr:uid="{3E44F779-3894-4183-A042-096A539464EB}"/>
    <cellStyle name="Note 3 3 2 3 2 2 4" xfId="16329" xr:uid="{23BFFDEB-E4CF-455C-8C37-810293E0004A}"/>
    <cellStyle name="Note 3 3 2 3 2 3" xfId="20552" xr:uid="{10AD7DC8-CF0F-431A-85E5-44ED4982BA6A}"/>
    <cellStyle name="Note 3 3 2 3 2 4" xfId="28999" xr:uid="{ADAB8CE4-5B34-41ED-8859-C292A09424F0}"/>
    <cellStyle name="Note 3 3 2 3 2 5" xfId="12111" xr:uid="{82677919-3996-43DC-A02D-560174213CDE}"/>
    <cellStyle name="Note 3 3 2 3 3" xfId="5742" xr:uid="{00000000-0005-0000-0000-0000B0210000}"/>
    <cellStyle name="Note 3 3 2 3 3 2" xfId="22625" xr:uid="{EAC0661B-C97D-4C74-82C9-A52C2DCD2046}"/>
    <cellStyle name="Note 3 3 2 3 3 3" xfId="31071" xr:uid="{5DFBB582-1A63-46BB-B22B-28F28A4B0AA1}"/>
    <cellStyle name="Note 3 3 2 3 3 4" xfId="14184" xr:uid="{39776433-D1B4-469C-8437-C5F324919C21}"/>
    <cellStyle name="Note 3 3 2 3 4" xfId="18407" xr:uid="{7F30109D-B479-42ED-AA06-E84D10646CB5}"/>
    <cellStyle name="Note 3 3 2 3 5" xfId="26852" xr:uid="{9EF6E5A7-FFAD-45D2-98D7-C5D1D1F86F3A}"/>
    <cellStyle name="Note 3 3 2 3 6" xfId="9966" xr:uid="{BC4EFAF6-B9D2-407F-9363-3C7243BCB36B}"/>
    <cellStyle name="Note 3 3 2 4" xfId="1848" xr:uid="{00000000-0005-0000-0000-0000B1210000}"/>
    <cellStyle name="Note 3 3 2 4 2" xfId="4077" xr:uid="{00000000-0005-0000-0000-0000B2210000}"/>
    <cellStyle name="Note 3 3 2 4 2 2" xfId="8300" xr:uid="{00000000-0005-0000-0000-0000B3210000}"/>
    <cellStyle name="Note 3 3 2 4 2 2 2" xfId="25183" xr:uid="{A0BD9DBE-D192-4317-9A9F-DF242CEA9FB4}"/>
    <cellStyle name="Note 3 3 2 4 2 2 3" xfId="33629" xr:uid="{56B6B3DC-0E90-400D-BC02-663D7A24A1E9}"/>
    <cellStyle name="Note 3 3 2 4 2 2 4" xfId="16742" xr:uid="{68C7F04E-41AC-4047-9363-372817C044F8}"/>
    <cellStyle name="Note 3 3 2 4 2 3" xfId="20965" xr:uid="{DC5375B9-19CA-4E15-9CF7-BE9828D62C35}"/>
    <cellStyle name="Note 3 3 2 4 2 4" xfId="29412" xr:uid="{28C630B9-0170-43B6-BDD0-61CAF2A4A6A4}"/>
    <cellStyle name="Note 3 3 2 4 2 5" xfId="12524" xr:uid="{2B92CB51-C6B3-4A96-8AF4-DACE396DDE56}"/>
    <cellStyle name="Note 3 3 2 4 3" xfId="6155" xr:uid="{00000000-0005-0000-0000-0000B4210000}"/>
    <cellStyle name="Note 3 3 2 4 3 2" xfId="23038" xr:uid="{60D1A779-AE17-4D69-A026-863B8BA88622}"/>
    <cellStyle name="Note 3 3 2 4 3 3" xfId="31484" xr:uid="{85781D1F-D55C-45B8-9DDE-ACAC67E6FCA5}"/>
    <cellStyle name="Note 3 3 2 4 3 4" xfId="14597" xr:uid="{89B892C7-5230-44C8-9F13-E197BAEB1DEF}"/>
    <cellStyle name="Note 3 3 2 4 4" xfId="18820" xr:uid="{AE0BD469-CCA3-408F-AD4E-23CCE12F90CB}"/>
    <cellStyle name="Note 3 3 2 4 5" xfId="27265" xr:uid="{3C1DC027-21D2-4239-AC98-24E6C784F3F6}"/>
    <cellStyle name="Note 3 3 2 4 6" xfId="10379" xr:uid="{CD22D514-C02B-4043-8CFB-CE13E542BF76}"/>
    <cellStyle name="Note 3 3 2 5" xfId="2261" xr:uid="{00000000-0005-0000-0000-0000B5210000}"/>
    <cellStyle name="Note 3 3 2 5 2" xfId="4490" xr:uid="{00000000-0005-0000-0000-0000B6210000}"/>
    <cellStyle name="Note 3 3 2 5 2 2" xfId="8713" xr:uid="{00000000-0005-0000-0000-0000B7210000}"/>
    <cellStyle name="Note 3 3 2 5 2 2 2" xfId="25596" xr:uid="{68B6B64F-7579-4051-9329-F2C610218FE5}"/>
    <cellStyle name="Note 3 3 2 5 2 2 3" xfId="34042" xr:uid="{F303E610-4E36-45E4-9FCC-814BF073F29A}"/>
    <cellStyle name="Note 3 3 2 5 2 2 4" xfId="17155" xr:uid="{415B5ED1-6E08-45AA-A757-AB522722F9B6}"/>
    <cellStyle name="Note 3 3 2 5 2 3" xfId="21378" xr:uid="{5F167A76-A12E-4D6F-8AB4-7F1D8544CE1F}"/>
    <cellStyle name="Note 3 3 2 5 2 4" xfId="29825" xr:uid="{17B4ADC0-A69D-4D04-9C96-53A41DAA9DAE}"/>
    <cellStyle name="Note 3 3 2 5 2 5" xfId="12937" xr:uid="{A3B44EF5-C5F2-439F-966A-5E4F779081A7}"/>
    <cellStyle name="Note 3 3 2 5 3" xfId="6568" xr:uid="{00000000-0005-0000-0000-0000B8210000}"/>
    <cellStyle name="Note 3 3 2 5 3 2" xfId="23451" xr:uid="{C7E87306-7F36-4D62-916B-76E6DC1F6300}"/>
    <cellStyle name="Note 3 3 2 5 3 3" xfId="31897" xr:uid="{8A01C6D3-F512-44C8-A6F0-0D606A1EDBAA}"/>
    <cellStyle name="Note 3 3 2 5 3 4" xfId="15010" xr:uid="{2CE584FE-1DD5-40E7-9583-B638FD8DF698}"/>
    <cellStyle name="Note 3 3 2 5 4" xfId="19233" xr:uid="{584BA80D-1227-41FE-B723-1A9A94B8EA9F}"/>
    <cellStyle name="Note 3 3 2 5 5" xfId="27678" xr:uid="{4A233121-AC49-4C70-B1A8-77D26B74236E}"/>
    <cellStyle name="Note 3 3 2 5 6" xfId="10792" xr:uid="{36E79802-419D-43EC-A7A2-A8C0EAE067A7}"/>
    <cellStyle name="Note 3 3 2 6" xfId="2697" xr:uid="{00000000-0005-0000-0000-0000B9210000}"/>
    <cellStyle name="Note 3 3 2 6 2" xfId="6981" xr:uid="{00000000-0005-0000-0000-0000BA210000}"/>
    <cellStyle name="Note 3 3 2 6 2 2" xfId="23864" xr:uid="{1A38CB71-7636-43C3-8B7B-51D1DEAD93CF}"/>
    <cellStyle name="Note 3 3 2 6 2 3" xfId="32310" xr:uid="{438E2848-E63E-4B01-BFCC-4EED8B0B1CDA}"/>
    <cellStyle name="Note 3 3 2 6 2 4" xfId="15423" xr:uid="{A13F9661-4E95-44B7-ADC4-92701E5ABD7E}"/>
    <cellStyle name="Note 3 3 2 6 3" xfId="19646" xr:uid="{D08D81FA-90B5-4241-81D3-01F8E0DB84BD}"/>
    <cellStyle name="Note 3 3 2 6 4" xfId="28091" xr:uid="{48356E58-4DAD-4636-BC7E-ACBE6562EFC7}"/>
    <cellStyle name="Note 3 3 2 6 5" xfId="11205" xr:uid="{943680FD-9CB1-40D7-B52E-ED06BEE82C1E}"/>
    <cellStyle name="Note 3 3 2 7" xfId="2756" xr:uid="{00000000-0005-0000-0000-0000BB210000}"/>
    <cellStyle name="Note 3 3 2 8" xfId="2837" xr:uid="{00000000-0005-0000-0000-0000BC210000}"/>
    <cellStyle name="Note 3 3 2 8 2" xfId="7061" xr:uid="{00000000-0005-0000-0000-0000BD210000}"/>
    <cellStyle name="Note 3 3 2 8 2 2" xfId="23944" xr:uid="{0EB08E73-7790-4D69-896C-578C897697CD}"/>
    <cellStyle name="Note 3 3 2 8 2 3" xfId="32390" xr:uid="{C31A79BE-AA0A-4DA8-B8CA-9B93998399F7}"/>
    <cellStyle name="Note 3 3 2 8 2 4" xfId="15503" xr:uid="{8B1B47E8-534B-4DB6-A41B-9A6311C26BAF}"/>
    <cellStyle name="Note 3 3 2 8 3" xfId="19726" xr:uid="{9094CD3E-728F-47C7-A103-62C96368128A}"/>
    <cellStyle name="Note 3 3 2 8 4" xfId="28173" xr:uid="{BB2B7F02-51F4-4BA6-BD02-08AC246ED5C3}"/>
    <cellStyle name="Note 3 3 2 8 5" xfId="11285" xr:uid="{D6D3DF7F-5742-4254-9173-6E189453CC1C}"/>
    <cellStyle name="Note 3 3 2 9" xfId="4916" xr:uid="{00000000-0005-0000-0000-0000BE210000}"/>
    <cellStyle name="Note 3 3 2 9 2" xfId="21799" xr:uid="{BE0B62C7-945C-48C5-B655-D63B7D52A178}"/>
    <cellStyle name="Note 3 3 2 9 3" xfId="30245" xr:uid="{CBB5474D-0453-4C7C-8571-6E8E974B2D4E}"/>
    <cellStyle name="Note 3 3 2 9 4" xfId="13358" xr:uid="{3928DF8A-35DF-4A11-8C87-F56044800EDA}"/>
    <cellStyle name="Note 3 3 3" xfId="1018" xr:uid="{00000000-0005-0000-0000-0000BF210000}"/>
    <cellStyle name="Note 3 3 3 2" xfId="3250" xr:uid="{00000000-0005-0000-0000-0000C0210000}"/>
    <cellStyle name="Note 3 3 3 2 2" xfId="7473" xr:uid="{00000000-0005-0000-0000-0000C1210000}"/>
    <cellStyle name="Note 3 3 3 2 2 2" xfId="24356" xr:uid="{D322903F-AC4F-4513-956C-F486727865FB}"/>
    <cellStyle name="Note 3 3 3 2 2 3" xfId="32802" xr:uid="{30F14511-D21E-4E78-8787-F29B390BC87F}"/>
    <cellStyle name="Note 3 3 3 2 2 4" xfId="15915" xr:uid="{77CC233C-7157-4BEE-844B-1411A977E38D}"/>
    <cellStyle name="Note 3 3 3 2 3" xfId="20138" xr:uid="{E7E5D113-D4A0-4A1E-8759-3A4982E127A1}"/>
    <cellStyle name="Note 3 3 3 2 4" xfId="28585" xr:uid="{FC30D6AA-EB80-4C26-86E6-36F00B453172}"/>
    <cellStyle name="Note 3 3 3 2 5" xfId="11697" xr:uid="{1F2506FD-CB4B-46D7-A6E9-FBC5EBD7E23D}"/>
    <cellStyle name="Note 3 3 3 3" xfId="5328" xr:uid="{00000000-0005-0000-0000-0000C2210000}"/>
    <cellStyle name="Note 3 3 3 3 2" xfId="22211" xr:uid="{E57FB348-E134-4A04-8432-151171A51E82}"/>
    <cellStyle name="Note 3 3 3 3 3" xfId="30657" xr:uid="{5EF2938C-8ECE-42D2-9124-7138EC64A303}"/>
    <cellStyle name="Note 3 3 3 3 4" xfId="13770" xr:uid="{F6CCB8DF-84A7-4A54-BA8C-15BEEACF9A84}"/>
    <cellStyle name="Note 3 3 3 4" xfId="17993" xr:uid="{50F33318-9C75-4C16-8713-28404EB27CD2}"/>
    <cellStyle name="Note 3 3 3 5" xfId="26438" xr:uid="{53350909-A549-44C8-BD94-474DC0EFBB70}"/>
    <cellStyle name="Note 3 3 3 6" xfId="9552" xr:uid="{C35A9423-163E-416B-9F83-A516BB4CFB87}"/>
    <cellStyle name="Note 3 3 4" xfId="1433" xr:uid="{00000000-0005-0000-0000-0000C3210000}"/>
    <cellStyle name="Note 3 3 4 2" xfId="3663" xr:uid="{00000000-0005-0000-0000-0000C4210000}"/>
    <cellStyle name="Note 3 3 4 2 2" xfId="7886" xr:uid="{00000000-0005-0000-0000-0000C5210000}"/>
    <cellStyle name="Note 3 3 4 2 2 2" xfId="24769" xr:uid="{6090CDF2-FDE1-477D-B783-F7CBD82A9329}"/>
    <cellStyle name="Note 3 3 4 2 2 3" xfId="33215" xr:uid="{2A1BDC1A-B3F2-474E-B2EA-B51F125E24A2}"/>
    <cellStyle name="Note 3 3 4 2 2 4" xfId="16328" xr:uid="{E48CC37B-A45C-4E17-81E0-FFA0DD502548}"/>
    <cellStyle name="Note 3 3 4 2 3" xfId="20551" xr:uid="{4A8691BB-B45E-4D08-A26E-B89414A221E4}"/>
    <cellStyle name="Note 3 3 4 2 4" xfId="28998" xr:uid="{AF91A80C-1784-44F1-A14A-0AF125918041}"/>
    <cellStyle name="Note 3 3 4 2 5" xfId="12110" xr:uid="{E881C1B4-1694-4F6F-99CD-6B941272B3AB}"/>
    <cellStyle name="Note 3 3 4 3" xfId="5741" xr:uid="{00000000-0005-0000-0000-0000C6210000}"/>
    <cellStyle name="Note 3 3 4 3 2" xfId="22624" xr:uid="{EC2605DC-9C45-4DD4-819C-BB4F9CE8ADBF}"/>
    <cellStyle name="Note 3 3 4 3 3" xfId="31070" xr:uid="{96555EE9-A54C-4502-BC2D-41D3FC0CDF37}"/>
    <cellStyle name="Note 3 3 4 3 4" xfId="14183" xr:uid="{415C3C24-DB28-4919-B10E-D1F6653DC594}"/>
    <cellStyle name="Note 3 3 4 4" xfId="18406" xr:uid="{203EC2D0-662D-4E34-9DA3-1F27578396E3}"/>
    <cellStyle name="Note 3 3 4 5" xfId="26851" xr:uid="{D79A504B-F379-4A94-8BDE-708D2DFFB788}"/>
    <cellStyle name="Note 3 3 4 6" xfId="9965" xr:uid="{B24B8788-FFF9-40E5-BEB0-010CCC462DA4}"/>
    <cellStyle name="Note 3 3 5" xfId="1847" xr:uid="{00000000-0005-0000-0000-0000C7210000}"/>
    <cellStyle name="Note 3 3 5 2" xfId="4076" xr:uid="{00000000-0005-0000-0000-0000C8210000}"/>
    <cellStyle name="Note 3 3 5 2 2" xfId="8299" xr:uid="{00000000-0005-0000-0000-0000C9210000}"/>
    <cellStyle name="Note 3 3 5 2 2 2" xfId="25182" xr:uid="{857C8FCF-3C24-4F64-9BF8-CFBBB45615C4}"/>
    <cellStyle name="Note 3 3 5 2 2 3" xfId="33628" xr:uid="{BCD6C34C-3CEE-4C44-941E-0CDEFA490FA1}"/>
    <cellStyle name="Note 3 3 5 2 2 4" xfId="16741" xr:uid="{1162DE50-4C10-4BB0-812E-50C46C2C819C}"/>
    <cellStyle name="Note 3 3 5 2 3" xfId="20964" xr:uid="{0F90DE4E-3901-4D1E-85A8-0E0883CBCCFE}"/>
    <cellStyle name="Note 3 3 5 2 4" xfId="29411" xr:uid="{B3537741-3020-4766-BA49-4963B4CC4D63}"/>
    <cellStyle name="Note 3 3 5 2 5" xfId="12523" xr:uid="{0B65150B-C28B-4C8A-89B9-FA6144F12D43}"/>
    <cellStyle name="Note 3 3 5 3" xfId="6154" xr:uid="{00000000-0005-0000-0000-0000CA210000}"/>
    <cellStyle name="Note 3 3 5 3 2" xfId="23037" xr:uid="{8E9AA280-E863-45E1-8F38-B15532D8B0EA}"/>
    <cellStyle name="Note 3 3 5 3 3" xfId="31483" xr:uid="{AFDC24E2-62D3-4F88-BEC7-AB4DFF50EC8D}"/>
    <cellStyle name="Note 3 3 5 3 4" xfId="14596" xr:uid="{7C06A035-1F12-4E1F-9CE1-3552C43FEA48}"/>
    <cellStyle name="Note 3 3 5 4" xfId="18819" xr:uid="{0E03836F-8E3C-47BB-91D0-2B2D101ABAA0}"/>
    <cellStyle name="Note 3 3 5 5" xfId="27264" xr:uid="{97C42A1D-4B27-44F2-B52A-F95CB12657E7}"/>
    <cellStyle name="Note 3 3 5 6" xfId="10378" xr:uid="{103A874F-C3C7-497E-962D-B3C95067E3BF}"/>
    <cellStyle name="Note 3 3 6" xfId="2260" xr:uid="{00000000-0005-0000-0000-0000CB210000}"/>
    <cellStyle name="Note 3 3 6 2" xfId="4489" xr:uid="{00000000-0005-0000-0000-0000CC210000}"/>
    <cellStyle name="Note 3 3 6 2 2" xfId="8712" xr:uid="{00000000-0005-0000-0000-0000CD210000}"/>
    <cellStyle name="Note 3 3 6 2 2 2" xfId="25595" xr:uid="{41CAFFAC-FBB6-458E-8324-6836AA374967}"/>
    <cellStyle name="Note 3 3 6 2 2 3" xfId="34041" xr:uid="{DCD14FFF-0BAC-4FD2-86E4-D1C7659E8FEF}"/>
    <cellStyle name="Note 3 3 6 2 2 4" xfId="17154" xr:uid="{95720234-7527-492D-9E64-420671F54FC7}"/>
    <cellStyle name="Note 3 3 6 2 3" xfId="21377" xr:uid="{AF6FB753-0AE6-47DB-8E2A-C946DCDB8096}"/>
    <cellStyle name="Note 3 3 6 2 4" xfId="29824" xr:uid="{533E53BA-A14F-406B-8D10-E1C06F73DDF5}"/>
    <cellStyle name="Note 3 3 6 2 5" xfId="12936" xr:uid="{4F88753B-B8C6-4D13-9386-1A713E108389}"/>
    <cellStyle name="Note 3 3 6 3" xfId="6567" xr:uid="{00000000-0005-0000-0000-0000CE210000}"/>
    <cellStyle name="Note 3 3 6 3 2" xfId="23450" xr:uid="{49FDD924-931B-409D-8FC2-7EF78DBA6C0B}"/>
    <cellStyle name="Note 3 3 6 3 3" xfId="31896" xr:uid="{C0FA1187-7733-4435-BA8D-61A87C425A60}"/>
    <cellStyle name="Note 3 3 6 3 4" xfId="15009" xr:uid="{F65AE514-082A-46FB-9D4E-D547DC827FE9}"/>
    <cellStyle name="Note 3 3 6 4" xfId="19232" xr:uid="{000B325E-173C-4062-9451-D0DBE04E1CA7}"/>
    <cellStyle name="Note 3 3 6 5" xfId="27677" xr:uid="{27EA08D0-B7B6-461B-A67E-957A0BB297CE}"/>
    <cellStyle name="Note 3 3 6 6" xfId="10791" xr:uid="{FC6F599F-C1F9-4ADA-805F-6907E3AD8874}"/>
    <cellStyle name="Note 3 3 7" xfId="2696" xr:uid="{00000000-0005-0000-0000-0000CF210000}"/>
    <cellStyle name="Note 3 3 7 2" xfId="6980" xr:uid="{00000000-0005-0000-0000-0000D0210000}"/>
    <cellStyle name="Note 3 3 7 2 2" xfId="23863" xr:uid="{72A37FC7-DF85-4E17-9FC1-85F2E3351080}"/>
    <cellStyle name="Note 3 3 7 2 3" xfId="32309" xr:uid="{C24C1FA5-DC9A-4BF7-865C-121761A736C6}"/>
    <cellStyle name="Note 3 3 7 2 4" xfId="15422" xr:uid="{66F66486-C511-4A0D-8C92-54F57FB35936}"/>
    <cellStyle name="Note 3 3 7 3" xfId="19645" xr:uid="{BEB3DECB-6AC9-4206-92A5-C44CBCE4CE95}"/>
    <cellStyle name="Note 3 3 7 4" xfId="28090" xr:uid="{3E703C35-6AA1-4511-B480-14480920DA10}"/>
    <cellStyle name="Note 3 3 7 5" xfId="11204" xr:uid="{9496D617-4CEA-4365-AC2B-BC856A06E838}"/>
    <cellStyle name="Note 3 3 8" xfId="2755" xr:uid="{00000000-0005-0000-0000-0000D1210000}"/>
    <cellStyle name="Note 3 3 9" xfId="2836" xr:uid="{00000000-0005-0000-0000-0000D2210000}"/>
    <cellStyle name="Note 3 3 9 2" xfId="7060" xr:uid="{00000000-0005-0000-0000-0000D3210000}"/>
    <cellStyle name="Note 3 3 9 2 2" xfId="23943" xr:uid="{3EBD2CFD-696C-4A99-A981-37B73D1DC9F8}"/>
    <cellStyle name="Note 3 3 9 2 3" xfId="32389" xr:uid="{740AFD0C-3731-4597-84F0-6B6705B04CEC}"/>
    <cellStyle name="Note 3 3 9 2 4" xfId="15502" xr:uid="{4B68B4F2-766D-4090-ACD5-DE899A970365}"/>
    <cellStyle name="Note 3 3 9 3" xfId="19725" xr:uid="{AE71CEE6-0947-4255-8380-DA4307BD474C}"/>
    <cellStyle name="Note 3 3 9 4" xfId="28172" xr:uid="{3BFE3F31-BA90-4CAB-875E-FACD5D6DDCFE}"/>
    <cellStyle name="Note 3 3 9 5" xfId="11284" xr:uid="{0AD32D0C-FD5B-4F09-A591-24968A245832}"/>
    <cellStyle name="Note 3 4" xfId="560" xr:uid="{00000000-0005-0000-0000-0000D4210000}"/>
    <cellStyle name="Note 3 4 10" xfId="17582" xr:uid="{A250A81C-0979-4E4C-BF61-831CFB216D69}"/>
    <cellStyle name="Note 3 4 11" xfId="26027" xr:uid="{F5546C51-F1CA-4918-ACCE-4568F5C5FF13}"/>
    <cellStyle name="Note 3 4 12" xfId="9141" xr:uid="{801D665D-3E4B-472D-AFC4-76D875D1E000}"/>
    <cellStyle name="Note 3 4 2" xfId="1020" xr:uid="{00000000-0005-0000-0000-0000D5210000}"/>
    <cellStyle name="Note 3 4 2 2" xfId="3252" xr:uid="{00000000-0005-0000-0000-0000D6210000}"/>
    <cellStyle name="Note 3 4 2 2 2" xfId="7475" xr:uid="{00000000-0005-0000-0000-0000D7210000}"/>
    <cellStyle name="Note 3 4 2 2 2 2" xfId="24358" xr:uid="{72C24A55-E172-43A2-A2C3-797CBB2B01E7}"/>
    <cellStyle name="Note 3 4 2 2 2 3" xfId="32804" xr:uid="{E4395FC8-4D6B-4F73-8090-A431746F972E}"/>
    <cellStyle name="Note 3 4 2 2 2 4" xfId="15917" xr:uid="{850DF96A-47AA-4342-A52C-11F5CF0E9131}"/>
    <cellStyle name="Note 3 4 2 2 3" xfId="20140" xr:uid="{AA4547C2-F3FB-4897-9500-FE0E3819FD54}"/>
    <cellStyle name="Note 3 4 2 2 4" xfId="28587" xr:uid="{A312CB1D-2100-48D5-9D4B-674B066AD589}"/>
    <cellStyle name="Note 3 4 2 2 5" xfId="11699" xr:uid="{EB69B915-AD16-4821-B86A-D7DC76EDBC05}"/>
    <cellStyle name="Note 3 4 2 3" xfId="5330" xr:uid="{00000000-0005-0000-0000-0000D8210000}"/>
    <cellStyle name="Note 3 4 2 3 2" xfId="22213" xr:uid="{1F3FBF17-DEB3-4887-B5F3-A002C2D02EA5}"/>
    <cellStyle name="Note 3 4 2 3 3" xfId="30659" xr:uid="{553DBEB1-9F85-4147-AD87-6CF3AD35A68E}"/>
    <cellStyle name="Note 3 4 2 3 4" xfId="13772" xr:uid="{8B98AC2A-DF1F-49AF-BD73-50D1FB1E9581}"/>
    <cellStyle name="Note 3 4 2 4" xfId="17995" xr:uid="{BE63118C-2165-4105-B55A-78716AC31500}"/>
    <cellStyle name="Note 3 4 2 5" xfId="26440" xr:uid="{27BEF988-A344-4055-86EF-4330E388D631}"/>
    <cellStyle name="Note 3 4 2 6" xfId="9554" xr:uid="{37272639-33C0-427B-AEFD-5D34A1CA73D7}"/>
    <cellStyle name="Note 3 4 3" xfId="1435" xr:uid="{00000000-0005-0000-0000-0000D9210000}"/>
    <cellStyle name="Note 3 4 3 2" xfId="3665" xr:uid="{00000000-0005-0000-0000-0000DA210000}"/>
    <cellStyle name="Note 3 4 3 2 2" xfId="7888" xr:uid="{00000000-0005-0000-0000-0000DB210000}"/>
    <cellStyle name="Note 3 4 3 2 2 2" xfId="24771" xr:uid="{BC0D6B84-3DCC-468B-805B-F778855FE1E5}"/>
    <cellStyle name="Note 3 4 3 2 2 3" xfId="33217" xr:uid="{CEB50985-2089-4E06-9CB5-9394DE3BD217}"/>
    <cellStyle name="Note 3 4 3 2 2 4" xfId="16330" xr:uid="{5AD403D4-0BDD-4168-A4A2-6C127AAE754C}"/>
    <cellStyle name="Note 3 4 3 2 3" xfId="20553" xr:uid="{3B37BC58-FEDA-49F1-A981-B10B3B028DBE}"/>
    <cellStyle name="Note 3 4 3 2 4" xfId="29000" xr:uid="{29AC8783-5D4A-4154-B27B-D1779391275D}"/>
    <cellStyle name="Note 3 4 3 2 5" xfId="12112" xr:uid="{5C5D9595-1B52-45E8-BD04-4F594D44CAF8}"/>
    <cellStyle name="Note 3 4 3 3" xfId="5743" xr:uid="{00000000-0005-0000-0000-0000DC210000}"/>
    <cellStyle name="Note 3 4 3 3 2" xfId="22626" xr:uid="{FD5C572E-95D0-49B7-8894-4CA4705B4E15}"/>
    <cellStyle name="Note 3 4 3 3 3" xfId="31072" xr:uid="{00AC677A-6966-4943-B7C9-F2A61578384F}"/>
    <cellStyle name="Note 3 4 3 3 4" xfId="14185" xr:uid="{9D0C5B97-D4DA-49B6-ACCC-B28C0E15CB9F}"/>
    <cellStyle name="Note 3 4 3 4" xfId="18408" xr:uid="{76C64ED3-2007-4C78-A021-E385EB57D157}"/>
    <cellStyle name="Note 3 4 3 5" xfId="26853" xr:uid="{9FA8C67B-A325-426A-A644-1AC8C5BEAF1B}"/>
    <cellStyle name="Note 3 4 3 6" xfId="9967" xr:uid="{2ABAC4A1-FC08-4405-9EBA-9629BE472ECF}"/>
    <cellStyle name="Note 3 4 4" xfId="1849" xr:uid="{00000000-0005-0000-0000-0000DD210000}"/>
    <cellStyle name="Note 3 4 4 2" xfId="4078" xr:uid="{00000000-0005-0000-0000-0000DE210000}"/>
    <cellStyle name="Note 3 4 4 2 2" xfId="8301" xr:uid="{00000000-0005-0000-0000-0000DF210000}"/>
    <cellStyle name="Note 3 4 4 2 2 2" xfId="25184" xr:uid="{1E59E049-A820-4956-9DBE-D1548E8A67DB}"/>
    <cellStyle name="Note 3 4 4 2 2 3" xfId="33630" xr:uid="{2B01C88B-40DB-4B6F-AACF-9641BF2E02D9}"/>
    <cellStyle name="Note 3 4 4 2 2 4" xfId="16743" xr:uid="{0DDEB7F7-7223-4BAF-94EB-E408CE2A799E}"/>
    <cellStyle name="Note 3 4 4 2 3" xfId="20966" xr:uid="{B423DAD5-7E9D-4F1F-BDA7-6C4570F553F0}"/>
    <cellStyle name="Note 3 4 4 2 4" xfId="29413" xr:uid="{A234C2FB-5712-4C20-A272-AB2B1CD3580F}"/>
    <cellStyle name="Note 3 4 4 2 5" xfId="12525" xr:uid="{A1CB5EEE-FED4-49A3-AA2E-D35DE249D76E}"/>
    <cellStyle name="Note 3 4 4 3" xfId="6156" xr:uid="{00000000-0005-0000-0000-0000E0210000}"/>
    <cellStyle name="Note 3 4 4 3 2" xfId="23039" xr:uid="{A3E27194-D812-4190-AF45-639CEEE4767A}"/>
    <cellStyle name="Note 3 4 4 3 3" xfId="31485" xr:uid="{08F19ECC-E2E8-4CBE-9FD7-251586F3293E}"/>
    <cellStyle name="Note 3 4 4 3 4" xfId="14598" xr:uid="{5A138098-2E7A-4DC0-9F25-452C8036CCAD}"/>
    <cellStyle name="Note 3 4 4 4" xfId="18821" xr:uid="{101844B8-43D6-4C7D-88F4-E3F72DFCD6FE}"/>
    <cellStyle name="Note 3 4 4 5" xfId="27266" xr:uid="{07118A35-F651-492C-913D-DAA3697DB904}"/>
    <cellStyle name="Note 3 4 4 6" xfId="10380" xr:uid="{D4632BE7-8E7E-4018-A27F-67F0D9D317A4}"/>
    <cellStyle name="Note 3 4 5" xfId="2262" xr:uid="{00000000-0005-0000-0000-0000E1210000}"/>
    <cellStyle name="Note 3 4 5 2" xfId="4491" xr:uid="{00000000-0005-0000-0000-0000E2210000}"/>
    <cellStyle name="Note 3 4 5 2 2" xfId="8714" xr:uid="{00000000-0005-0000-0000-0000E3210000}"/>
    <cellStyle name="Note 3 4 5 2 2 2" xfId="25597" xr:uid="{BAF245EA-F1ED-4E44-8C37-788DB6826053}"/>
    <cellStyle name="Note 3 4 5 2 2 3" xfId="34043" xr:uid="{137C9B51-2F52-47BA-9B33-176431724EAF}"/>
    <cellStyle name="Note 3 4 5 2 2 4" xfId="17156" xr:uid="{123018DF-648B-4936-8E73-3B3E7A2650E0}"/>
    <cellStyle name="Note 3 4 5 2 3" xfId="21379" xr:uid="{9AC63A45-C3F4-4B7E-A1BB-85AC26EF704F}"/>
    <cellStyle name="Note 3 4 5 2 4" xfId="29826" xr:uid="{ACEBF5E4-9B52-4885-91A9-207171247B61}"/>
    <cellStyle name="Note 3 4 5 2 5" xfId="12938" xr:uid="{5868EF26-5B5B-4B03-95C1-A031A3D11E86}"/>
    <cellStyle name="Note 3 4 5 3" xfId="6569" xr:uid="{00000000-0005-0000-0000-0000E4210000}"/>
    <cellStyle name="Note 3 4 5 3 2" xfId="23452" xr:uid="{9ACF7FDE-F347-403C-85C9-8FC3818E1AAC}"/>
    <cellStyle name="Note 3 4 5 3 3" xfId="31898" xr:uid="{14E8C58C-26BF-4F65-93BE-9A2D555725EC}"/>
    <cellStyle name="Note 3 4 5 3 4" xfId="15011" xr:uid="{E9B16270-580A-46F2-AB83-2AE4DEE9CAAF}"/>
    <cellStyle name="Note 3 4 5 4" xfId="19234" xr:uid="{C61B7D05-5C47-46A7-9876-9A8A33D6194E}"/>
    <cellStyle name="Note 3 4 5 5" xfId="27679" xr:uid="{F253ADDA-5E2A-4544-8217-2A0710FE9323}"/>
    <cellStyle name="Note 3 4 5 6" xfId="10793" xr:uid="{8390EEC4-6450-4FDC-8BD4-1F863C460CE9}"/>
    <cellStyle name="Note 3 4 6" xfId="2698" xr:uid="{00000000-0005-0000-0000-0000E5210000}"/>
    <cellStyle name="Note 3 4 6 2" xfId="6982" xr:uid="{00000000-0005-0000-0000-0000E6210000}"/>
    <cellStyle name="Note 3 4 6 2 2" xfId="23865" xr:uid="{5D9D37EF-827A-4965-A22A-BCBDFBAC58F1}"/>
    <cellStyle name="Note 3 4 6 2 3" xfId="32311" xr:uid="{F94CFA1A-1658-4DA6-8035-E9D60F9FB463}"/>
    <cellStyle name="Note 3 4 6 2 4" xfId="15424" xr:uid="{18938660-B032-4316-80A0-EAEC1C91BDE6}"/>
    <cellStyle name="Note 3 4 6 3" xfId="19647" xr:uid="{2241DA96-A65B-4F06-B0C0-1265E7B57404}"/>
    <cellStyle name="Note 3 4 6 4" xfId="28092" xr:uid="{E9A02041-CB03-470A-9DF5-739A86CF13FA}"/>
    <cellStyle name="Note 3 4 6 5" xfId="11206" xr:uid="{B72AE6B1-E54E-46B1-8ECC-BE376452F58D}"/>
    <cellStyle name="Note 3 4 7" xfId="2757" xr:uid="{00000000-0005-0000-0000-0000E7210000}"/>
    <cellStyle name="Note 3 4 8" xfId="2838" xr:uid="{00000000-0005-0000-0000-0000E8210000}"/>
    <cellStyle name="Note 3 4 8 2" xfId="7062" xr:uid="{00000000-0005-0000-0000-0000E9210000}"/>
    <cellStyle name="Note 3 4 8 2 2" xfId="23945" xr:uid="{D14B67B6-21A4-4CA7-9DB9-2A7B5200C6E0}"/>
    <cellStyle name="Note 3 4 8 2 3" xfId="32391" xr:uid="{88EB5CDE-B07C-4777-B25D-AD31E2AE1F92}"/>
    <cellStyle name="Note 3 4 8 2 4" xfId="15504" xr:uid="{471D565E-F1D8-4DFF-8E81-9F6F9D45BA27}"/>
    <cellStyle name="Note 3 4 8 3" xfId="19727" xr:uid="{984DC2BC-53D4-4056-97DD-CB3B69479E1D}"/>
    <cellStyle name="Note 3 4 8 4" xfId="28174" xr:uid="{5C34D30A-AA90-4DE7-B99A-76BB1D634F7B}"/>
    <cellStyle name="Note 3 4 8 5" xfId="11286" xr:uid="{DC850E59-DB23-44DC-8F67-D7CFCFF11A70}"/>
    <cellStyle name="Note 3 4 9" xfId="4917" xr:uid="{00000000-0005-0000-0000-0000EA210000}"/>
    <cellStyle name="Note 3 4 9 2" xfId="21800" xr:uid="{BD122DE4-AC23-459E-8D03-7C795EB1FE06}"/>
    <cellStyle name="Note 3 4 9 3" xfId="30246" xr:uid="{2B164462-6EB5-442D-8503-1A1C7303B6E2}"/>
    <cellStyle name="Note 3 4 9 4" xfId="13359" xr:uid="{5C36BE73-EC91-4C87-A917-C5BAA782F54A}"/>
    <cellStyle name="Note 3 5" xfId="561" xr:uid="{00000000-0005-0000-0000-0000EB210000}"/>
    <cellStyle name="Note 3 5 10" xfId="17583" xr:uid="{CCBDC5E0-0198-42B9-A764-F35FB26928AF}"/>
    <cellStyle name="Note 3 5 11" xfId="26028" xr:uid="{498C7F8C-01B2-4CBD-9915-EC116AABE4D8}"/>
    <cellStyle name="Note 3 5 12" xfId="9142" xr:uid="{7361B1F5-F97D-4117-B130-576C70B91D70}"/>
    <cellStyle name="Note 3 5 2" xfId="1021" xr:uid="{00000000-0005-0000-0000-0000EC210000}"/>
    <cellStyle name="Note 3 5 2 2" xfId="3253" xr:uid="{00000000-0005-0000-0000-0000ED210000}"/>
    <cellStyle name="Note 3 5 2 2 2" xfId="7476" xr:uid="{00000000-0005-0000-0000-0000EE210000}"/>
    <cellStyle name="Note 3 5 2 2 2 2" xfId="24359" xr:uid="{9632CC76-17D1-4EA8-AC28-B91622576983}"/>
    <cellStyle name="Note 3 5 2 2 2 3" xfId="32805" xr:uid="{5299320E-1DB9-4C20-B24B-B45BA3F70559}"/>
    <cellStyle name="Note 3 5 2 2 2 4" xfId="15918" xr:uid="{71FE9097-F061-4348-843F-80DA2824FE88}"/>
    <cellStyle name="Note 3 5 2 2 3" xfId="20141" xr:uid="{FEAC7205-5E6F-427A-AFC4-78E35DEA0F43}"/>
    <cellStyle name="Note 3 5 2 2 4" xfId="28588" xr:uid="{238A9071-89C4-4FF7-A06A-DC3ECA153501}"/>
    <cellStyle name="Note 3 5 2 2 5" xfId="11700" xr:uid="{2E8747D7-D0E3-4F20-9826-2B60ADCF67A7}"/>
    <cellStyle name="Note 3 5 2 3" xfId="5331" xr:uid="{00000000-0005-0000-0000-0000EF210000}"/>
    <cellStyle name="Note 3 5 2 3 2" xfId="22214" xr:uid="{DF44D673-BF04-4F71-A673-A235F539DE13}"/>
    <cellStyle name="Note 3 5 2 3 3" xfId="30660" xr:uid="{7A99A534-C482-42A5-80E2-836626905D99}"/>
    <cellStyle name="Note 3 5 2 3 4" xfId="13773" xr:uid="{460D2CDF-30CE-4427-8BAE-AB7A47B6300A}"/>
    <cellStyle name="Note 3 5 2 4" xfId="17996" xr:uid="{DF64A755-57AF-44DA-B7A3-2A6534648F03}"/>
    <cellStyle name="Note 3 5 2 5" xfId="26441" xr:uid="{11E7CBEA-F72F-483A-87AB-680B735CBE2E}"/>
    <cellStyle name="Note 3 5 2 6" xfId="9555" xr:uid="{49489F36-4F4C-483C-B22F-AE7B8D637821}"/>
    <cellStyle name="Note 3 5 3" xfId="1436" xr:uid="{00000000-0005-0000-0000-0000F0210000}"/>
    <cellStyle name="Note 3 5 3 2" xfId="3666" xr:uid="{00000000-0005-0000-0000-0000F1210000}"/>
    <cellStyle name="Note 3 5 3 2 2" xfId="7889" xr:uid="{00000000-0005-0000-0000-0000F2210000}"/>
    <cellStyle name="Note 3 5 3 2 2 2" xfId="24772" xr:uid="{5B99DA93-AEB1-46B8-9737-F73D84CFF84C}"/>
    <cellStyle name="Note 3 5 3 2 2 3" xfId="33218" xr:uid="{4681D94F-8CE8-45D0-B5EE-FBA322F1719D}"/>
    <cellStyle name="Note 3 5 3 2 2 4" xfId="16331" xr:uid="{4E1EEE2E-3006-4F4D-9AD7-5E7F2909E79C}"/>
    <cellStyle name="Note 3 5 3 2 3" xfId="20554" xr:uid="{BE550530-01B8-4D49-BE08-42059752E9F3}"/>
    <cellStyle name="Note 3 5 3 2 4" xfId="29001" xr:uid="{A0419971-D96D-4CA5-A0D3-FBBB238B96A1}"/>
    <cellStyle name="Note 3 5 3 2 5" xfId="12113" xr:uid="{51693A7A-EF8E-4A5C-9C1D-FF40ED684139}"/>
    <cellStyle name="Note 3 5 3 3" xfId="5744" xr:uid="{00000000-0005-0000-0000-0000F3210000}"/>
    <cellStyle name="Note 3 5 3 3 2" xfId="22627" xr:uid="{9B430B63-BF44-42C1-9D54-E14BE2A0B93D}"/>
    <cellStyle name="Note 3 5 3 3 3" xfId="31073" xr:uid="{0F998F10-6736-4025-B26C-CE413D17E89A}"/>
    <cellStyle name="Note 3 5 3 3 4" xfId="14186" xr:uid="{8825534D-49D0-498C-8BA7-8D55005565DC}"/>
    <cellStyle name="Note 3 5 3 4" xfId="18409" xr:uid="{749E0BD9-EC42-48A3-82B8-05BE05EF617D}"/>
    <cellStyle name="Note 3 5 3 5" xfId="26854" xr:uid="{34BAF1D4-4991-41DB-AFB8-FEC54B9EE440}"/>
    <cellStyle name="Note 3 5 3 6" xfId="9968" xr:uid="{87240B7B-D131-46CC-940E-9A5E3B9C846C}"/>
    <cellStyle name="Note 3 5 4" xfId="1850" xr:uid="{00000000-0005-0000-0000-0000F4210000}"/>
    <cellStyle name="Note 3 5 4 2" xfId="4079" xr:uid="{00000000-0005-0000-0000-0000F5210000}"/>
    <cellStyle name="Note 3 5 4 2 2" xfId="8302" xr:uid="{00000000-0005-0000-0000-0000F6210000}"/>
    <cellStyle name="Note 3 5 4 2 2 2" xfId="25185" xr:uid="{B28E2E57-53E3-4854-8B08-39C1147CA332}"/>
    <cellStyle name="Note 3 5 4 2 2 3" xfId="33631" xr:uid="{468A4214-5E64-44CB-8147-DC32D8C9EE01}"/>
    <cellStyle name="Note 3 5 4 2 2 4" xfId="16744" xr:uid="{3880A989-A4F4-4CF2-9D9D-76F1B7614AA9}"/>
    <cellStyle name="Note 3 5 4 2 3" xfId="20967" xr:uid="{FA4BFDB4-95FE-4480-A158-93233DAE52A2}"/>
    <cellStyle name="Note 3 5 4 2 4" xfId="29414" xr:uid="{4A1775CA-2723-47A8-9B6F-64C7E041D67F}"/>
    <cellStyle name="Note 3 5 4 2 5" xfId="12526" xr:uid="{A0086CD4-18C8-49BD-B9F2-5018A9E5D934}"/>
    <cellStyle name="Note 3 5 4 3" xfId="6157" xr:uid="{00000000-0005-0000-0000-0000F7210000}"/>
    <cellStyle name="Note 3 5 4 3 2" xfId="23040" xr:uid="{7102A5A1-56E3-4463-A8E1-6FB393F14584}"/>
    <cellStyle name="Note 3 5 4 3 3" xfId="31486" xr:uid="{6B4D0274-2132-48A3-BFE7-6590BF1D73C7}"/>
    <cellStyle name="Note 3 5 4 3 4" xfId="14599" xr:uid="{B71E8879-E0F6-4142-8F3B-B192E8D68A36}"/>
    <cellStyle name="Note 3 5 4 4" xfId="18822" xr:uid="{409CE8D1-DF7C-4169-BF74-5CF1550E70E5}"/>
    <cellStyle name="Note 3 5 4 5" xfId="27267" xr:uid="{27A45F9B-FBC6-470B-8659-356C5A4D3686}"/>
    <cellStyle name="Note 3 5 4 6" xfId="10381" xr:uid="{A0AD627B-5EAD-43AD-95DC-26A0945FA49B}"/>
    <cellStyle name="Note 3 5 5" xfId="2263" xr:uid="{00000000-0005-0000-0000-0000F8210000}"/>
    <cellStyle name="Note 3 5 5 2" xfId="4492" xr:uid="{00000000-0005-0000-0000-0000F9210000}"/>
    <cellStyle name="Note 3 5 5 2 2" xfId="8715" xr:uid="{00000000-0005-0000-0000-0000FA210000}"/>
    <cellStyle name="Note 3 5 5 2 2 2" xfId="25598" xr:uid="{6A169326-F5C0-4D70-8A60-6BFA50DF5747}"/>
    <cellStyle name="Note 3 5 5 2 2 3" xfId="34044" xr:uid="{385692D3-E24B-4CB5-A752-7EFA55873151}"/>
    <cellStyle name="Note 3 5 5 2 2 4" xfId="17157" xr:uid="{B5DCAA82-E342-4CF6-8015-E4F0CB55C2DE}"/>
    <cellStyle name="Note 3 5 5 2 3" xfId="21380" xr:uid="{E756DC3F-051F-4B2E-874E-A74E295B623A}"/>
    <cellStyle name="Note 3 5 5 2 4" xfId="29827" xr:uid="{B990536D-1BA2-4361-BFCC-5A3EB9E5D098}"/>
    <cellStyle name="Note 3 5 5 2 5" xfId="12939" xr:uid="{2D95B214-A446-4C10-9E24-D238BD8410AD}"/>
    <cellStyle name="Note 3 5 5 3" xfId="6570" xr:uid="{00000000-0005-0000-0000-0000FB210000}"/>
    <cellStyle name="Note 3 5 5 3 2" xfId="23453" xr:uid="{C4B33DD3-A2C3-4597-8843-D2FAC9BA54C4}"/>
    <cellStyle name="Note 3 5 5 3 3" xfId="31899" xr:uid="{91957CC2-4320-4EDD-8728-3C64DBEA2E31}"/>
    <cellStyle name="Note 3 5 5 3 4" xfId="15012" xr:uid="{7B169D5E-5B8A-4DC0-891F-DCD7ACE7E8B1}"/>
    <cellStyle name="Note 3 5 5 4" xfId="19235" xr:uid="{FFC4A336-D54A-449C-B300-935220763656}"/>
    <cellStyle name="Note 3 5 5 5" xfId="27680" xr:uid="{EAC462EB-E359-4B7E-B65A-5C50B3E07F4C}"/>
    <cellStyle name="Note 3 5 5 6" xfId="10794" xr:uid="{3C0C9A2F-858E-4C44-B1DB-AD671B543119}"/>
    <cellStyle name="Note 3 5 6" xfId="2699" xr:uid="{00000000-0005-0000-0000-0000FC210000}"/>
    <cellStyle name="Note 3 5 6 2" xfId="6983" xr:uid="{00000000-0005-0000-0000-0000FD210000}"/>
    <cellStyle name="Note 3 5 6 2 2" xfId="23866" xr:uid="{78918841-146A-4BB3-A269-CCC89BEAC83D}"/>
    <cellStyle name="Note 3 5 6 2 3" xfId="32312" xr:uid="{724B4BDA-3DDA-406F-A6C3-8C069B0DA5B3}"/>
    <cellStyle name="Note 3 5 6 2 4" xfId="15425" xr:uid="{DD119FDE-0591-4948-8C34-0177B184CEA0}"/>
    <cellStyle name="Note 3 5 6 3" xfId="19648" xr:uid="{11B144A8-DEA0-4C12-BE45-99340C9A48A0}"/>
    <cellStyle name="Note 3 5 6 4" xfId="28093" xr:uid="{8DB0AA1E-E41D-46AD-AA2A-63FC2F64D106}"/>
    <cellStyle name="Note 3 5 6 5" xfId="11207" xr:uid="{FE1BF056-029C-43D0-9C91-DBF1AA16A26E}"/>
    <cellStyle name="Note 3 5 7" xfId="2758" xr:uid="{00000000-0005-0000-0000-0000FE210000}"/>
    <cellStyle name="Note 3 5 8" xfId="2839" xr:uid="{00000000-0005-0000-0000-0000FF210000}"/>
    <cellStyle name="Note 3 5 8 2" xfId="7063" xr:uid="{00000000-0005-0000-0000-000000220000}"/>
    <cellStyle name="Note 3 5 8 2 2" xfId="23946" xr:uid="{C0B34237-3DA4-4B0D-B4F6-42FB3C7D0C91}"/>
    <cellStyle name="Note 3 5 8 2 3" xfId="32392" xr:uid="{5106DAE7-BFF4-4AE4-9B12-837F4EBF05F8}"/>
    <cellStyle name="Note 3 5 8 2 4" xfId="15505" xr:uid="{B0BFC68A-65AB-4486-8214-37B09AB21934}"/>
    <cellStyle name="Note 3 5 8 3" xfId="19728" xr:uid="{653C3C16-4351-4F3B-AEED-61EC07041167}"/>
    <cellStyle name="Note 3 5 8 4" xfId="28175" xr:uid="{3084B8B1-7D20-42AB-A927-45B5DD4021C7}"/>
    <cellStyle name="Note 3 5 8 5" xfId="11287" xr:uid="{D92659E9-3602-41AA-9364-E2F4476BABA0}"/>
    <cellStyle name="Note 3 5 9" xfId="4918" xr:uid="{00000000-0005-0000-0000-000001220000}"/>
    <cellStyle name="Note 3 5 9 2" xfId="21801" xr:uid="{8C658761-35BA-43F0-BB21-1CDEEF2F8CE2}"/>
    <cellStyle name="Note 3 5 9 3" xfId="30247" xr:uid="{3BE48650-0281-46CE-A392-D8CE9CB04DAA}"/>
    <cellStyle name="Note 3 5 9 4" xfId="13360" xr:uid="{23EB4AE9-75BB-4FA5-B5D8-7B7F04FB20F5}"/>
    <cellStyle name="Output" xfId="562" builtinId="21" customBuiltin="1"/>
    <cellStyle name="Output 2" xfId="563" xr:uid="{00000000-0005-0000-0000-000003220000}"/>
    <cellStyle name="Percent" xfId="4494" builtinId="5"/>
    <cellStyle name="Percent 2" xfId="1022" xr:uid="{00000000-0005-0000-0000-000005220000}"/>
    <cellStyle name="Percent 2 2" xfId="34173" xr:uid="{D40E0DDB-4EAE-43F4-B558-C8911130CADF}"/>
    <cellStyle name="Percent 2 3" xfId="34127" xr:uid="{EFFA8B9C-07EE-4A9E-96F5-F485F2DD9DFD}"/>
    <cellStyle name="Percent 3" xfId="4499" xr:uid="{00000000-0005-0000-0000-000006220000}"/>
    <cellStyle name="Percent 3 2" xfId="21384" xr:uid="{9C5B31F9-E1AF-46EC-AA67-3A04B3F39550}"/>
    <cellStyle name="Percent 3 2 2" xfId="34078" xr:uid="{A3BB0A7C-80F4-4574-B237-A8A5227BA9A5}"/>
    <cellStyle name="Percent 3 3" xfId="29830" xr:uid="{8662EBCB-40BE-43BB-9BAA-25D08BEA5F8F}"/>
    <cellStyle name="Percent 3 4" xfId="34158" xr:uid="{5F985D88-9E05-4AEE-9D42-2A5FD04465C6}"/>
    <cellStyle name="Percent 3 5" xfId="12943" xr:uid="{0ECAA32E-D744-4624-9B76-7D5B08438D65}"/>
    <cellStyle name="Percent 4" xfId="4502" xr:uid="{00000000-0005-0000-0000-000007220000}"/>
    <cellStyle name="Percent 4 2" xfId="8718" xr:uid="{00000000-0005-0000-0000-000008220000}"/>
    <cellStyle name="Percent 4 2 2" xfId="25601" xr:uid="{C16CA7AB-6497-4456-B1BD-826746C40EA3}"/>
    <cellStyle name="Percent 4 2 3" xfId="34047" xr:uid="{855AAC3C-D627-4A1E-A756-92F4029825E3}"/>
    <cellStyle name="Percent 4 2 4" xfId="17160" xr:uid="{93C86FBF-9B49-40E0-94B3-5BECF0906DF7}"/>
    <cellStyle name="Percent 4 3" xfId="8721" xr:uid="{D09CD3FC-D632-4B66-A68A-5CC92F993799}"/>
    <cellStyle name="Percent 4 3 2" xfId="8725" xr:uid="{D57AE941-8E59-43F0-AB73-09B3BCCFA234}"/>
    <cellStyle name="Percent 4 3 2 2" xfId="8728" xr:uid="{D24D76A7-D076-4554-9944-551B122393DE}"/>
    <cellStyle name="Percent 4 3 2 2 2" xfId="25610" xr:uid="{9CAE009B-F951-49D5-96B6-428D39C060AD}"/>
    <cellStyle name="Percent 4 3 2 2 3" xfId="34056" xr:uid="{31ECFAE8-573F-44B8-884D-D301D0677AC8}"/>
    <cellStyle name="Percent 4 3 2 2 4" xfId="17169" xr:uid="{3A08507A-CEC4-4716-A942-12BBFFF1EAED}"/>
    <cellStyle name="Percent 4 3 2 3" xfId="25607" xr:uid="{CF75D727-FE10-46EA-A584-390809409F76}"/>
    <cellStyle name="Percent 4 3 2 4" xfId="34053" xr:uid="{4868BE73-7B07-4235-ABFC-AC473D49D291}"/>
    <cellStyle name="Percent 4 3 2 5" xfId="17166" xr:uid="{E6EB3802-3C54-4845-9F5B-FF86CA2390D8}"/>
    <cellStyle name="Percent 4 3 3" xfId="25604" xr:uid="{7B6332DD-577F-45DE-A6BC-CD6062A09410}"/>
    <cellStyle name="Percent 4 3 4" xfId="34050" xr:uid="{A8D8F150-5216-4549-B147-5C8BD7BBE4BF}"/>
    <cellStyle name="Percent 4 3 5" xfId="17163" xr:uid="{B8E7D3DB-93B8-4415-BB65-79AC6A30BDD1}"/>
    <cellStyle name="Percent 4 4" xfId="21387" xr:uid="{9EBE1C2D-4B5F-4FF0-A24C-5BC5AEED1167}"/>
    <cellStyle name="Percent 4 5" xfId="29833" xr:uid="{9416B1E0-5A9B-4CE5-AD5B-D6BB8F465893}"/>
    <cellStyle name="Percent 4 6" xfId="12946" xr:uid="{4FB13952-0C10-4391-9D2C-E63DD7C6C930}"/>
    <cellStyle name="Percent 5" xfId="34137" xr:uid="{306CBC13-E146-46F5-ABE4-9BF464DA2B71}"/>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30480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4" workbookViewId="0">
      <selection sqref="A1:AL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66" t="s">
        <v>558</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8" t="s">
        <v>2347</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ht="13">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ht="13">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15" customHeight="1">
      <c r="A11" s="218"/>
      <c r="B11" s="218"/>
      <c r="C11" s="219"/>
      <c r="D11" s="1268" t="s">
        <v>2348</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ht="13">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ht="13">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15" customHeight="1">
      <c r="A14" s="218"/>
      <c r="B14" s="218"/>
      <c r="C14" s="219"/>
      <c r="E14" s="1268" t="s">
        <v>2575</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1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ht="13">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8" t="s">
        <v>2349</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ht="13">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ht="13">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1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ht="13">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ht="13">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ht="13">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ht="13">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ht="13">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6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15" hidden="1" customHeight="1">
      <c r="A28" s="218"/>
      <c r="B28" s="218"/>
      <c r="C28" s="219"/>
      <c r="E28" s="1268" t="s">
        <v>2504</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1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t="13"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8" t="s">
        <v>2350</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ht="13">
      <c r="A33" s="218"/>
      <c r="B33" s="218"/>
      <c r="C33" s="219"/>
      <c r="D33" s="489"/>
      <c r="E33" s="1275" t="s">
        <v>2581</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8"/>
    </row>
    <row r="34" spans="1:38" ht="13">
      <c r="A34" s="4"/>
      <c r="C34" s="2"/>
    </row>
    <row r="35" spans="1:38">
      <c r="A35" s="4"/>
      <c r="D35" s="1269" t="s">
        <v>2499</v>
      </c>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D37" s="120"/>
      <c r="E37" s="1274" t="s">
        <v>2357</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ht="13">
      <c r="A38" s="4"/>
      <c r="D38" s="120"/>
      <c r="E38" s="1274" t="s">
        <v>2358</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15" customHeight="1">
      <c r="A42" s="4"/>
      <c r="B42"/>
      <c r="C42" s="2"/>
      <c r="D42" s="4"/>
      <c r="E42" s="4" t="s">
        <v>661</v>
      </c>
      <c r="F42" s="1268" t="s">
        <v>1270</v>
      </c>
    </row>
    <row r="43" spans="1:38" s="1268" customFormat="1" ht="13.15" customHeight="1">
      <c r="A43" s="4"/>
      <c r="B43"/>
      <c r="C43" s="2"/>
      <c r="D43" s="4"/>
      <c r="E43" s="4"/>
    </row>
    <row r="44" spans="1:38" ht="13">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2" t="s">
        <v>1354</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ht="13">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1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ht="13">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350</v>
      </c>
      <c r="F50" s="1268" t="s">
        <v>2352</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ht="13">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ht="13">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0" t="s">
        <v>1297</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0" t="s">
        <v>583</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ht="13">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ht="13">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8" t="s">
        <v>1272</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ht="13">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ht="13">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15" customHeight="1">
      <c r="A69" s="4"/>
      <c r="C69" s="2"/>
      <c r="D69" s="4"/>
      <c r="E69" s="4"/>
      <c r="F69" t="s">
        <v>517</v>
      </c>
      <c r="G69" s="1268" t="s">
        <v>1273</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ht="13">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696</v>
      </c>
      <c r="G72" s="1268" t="s">
        <v>1274</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ht="13">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ht="13">
      <c r="A74" s="4"/>
      <c r="C74" s="2"/>
      <c r="D74" s="4"/>
      <c r="E74" s="4"/>
      <c r="F74" s="8" t="s">
        <v>517</v>
      </c>
      <c r="G74" s="1268" t="s">
        <v>1275</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ht="13">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875</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8" t="s">
        <v>1276</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ht="13">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ht="13">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8" t="s">
        <v>1277</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ht="13">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ht="13">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ht="13">
      <c r="A89" s="4"/>
      <c r="C89" s="2"/>
      <c r="D89" s="4"/>
      <c r="E89" s="4" t="s">
        <v>263</v>
      </c>
      <c r="F89" t="s">
        <v>877</v>
      </c>
      <c r="G89" s="4"/>
      <c r="L89" s="4"/>
      <c r="M89" s="4"/>
      <c r="P89" s="4"/>
      <c r="Q89" s="4"/>
      <c r="R89" s="4"/>
      <c r="S89" s="4"/>
      <c r="T89" s="4"/>
      <c r="U89" s="4"/>
      <c r="V89" s="4"/>
      <c r="W89" s="4"/>
      <c r="X89" s="4"/>
      <c r="Y89" s="4"/>
      <c r="Z89" s="4"/>
      <c r="AA89" s="4"/>
      <c r="AB89" s="4"/>
    </row>
    <row r="90" spans="1:37" ht="13">
      <c r="A90" s="4"/>
      <c r="C90" s="2"/>
      <c r="D90" s="4"/>
      <c r="E90" s="4"/>
      <c r="G90" s="1277" t="s">
        <v>1278</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ht="13">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ht="13">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8" t="s">
        <v>1279</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ht="13">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ht="13">
      <c r="A96" s="4"/>
      <c r="C96" s="2"/>
      <c r="D96" s="4"/>
      <c r="E96" s="4" t="s">
        <v>919</v>
      </c>
      <c r="F96" s="218" t="s">
        <v>920</v>
      </c>
      <c r="G96" s="218"/>
      <c r="L96" s="4"/>
      <c r="M96" s="4"/>
      <c r="P96" s="4"/>
      <c r="Q96" s="4"/>
      <c r="R96" s="4"/>
      <c r="S96" s="4"/>
      <c r="T96" s="4"/>
      <c r="U96" s="4"/>
      <c r="V96" s="4"/>
      <c r="W96" s="4"/>
      <c r="X96" s="4"/>
      <c r="Y96" s="4"/>
      <c r="Z96" s="4"/>
      <c r="AA96" s="4"/>
      <c r="AB96" s="4"/>
    </row>
    <row r="97" spans="1:38" ht="13">
      <c r="A97" s="4"/>
      <c r="C97" s="2"/>
      <c r="D97" s="4"/>
      <c r="E97" s="4"/>
      <c r="G97" s="1268" t="s">
        <v>1280</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ht="13">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ht="13">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ht="13">
      <c r="A100" s="4"/>
      <c r="D100" s="99"/>
      <c r="E100" s="1278" t="s">
        <v>1281</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ht="13">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
      <c r="F119" s="4" t="s">
        <v>1039</v>
      </c>
      <c r="G119" s="4"/>
    </row>
    <row r="120" spans="2:16" ht="13">
      <c r="F120" s="99" t="s">
        <v>1293</v>
      </c>
      <c r="G120" s="99"/>
    </row>
    <row r="121" spans="2:16" ht="13">
      <c r="G121" s="99"/>
    </row>
    <row r="122" spans="2:16">
      <c r="E122" s="4" t="s">
        <v>772</v>
      </c>
      <c r="F122" s="98" t="s">
        <v>379</v>
      </c>
    </row>
    <row r="123" spans="2:16">
      <c r="E123" s="4"/>
      <c r="F123" s="4" t="s">
        <v>1031</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942</v>
      </c>
      <c r="F127" s="4"/>
    </row>
    <row r="128" spans="2:16"/>
    <row r="129" spans="4:37" ht="13">
      <c r="D129" s="2" t="s">
        <v>342</v>
      </c>
      <c r="E129" s="2" t="s">
        <v>585</v>
      </c>
    </row>
    <row r="130" spans="4:37">
      <c r="E130" s="4" t="s">
        <v>942</v>
      </c>
      <c r="F130" s="4"/>
    </row>
    <row r="131" spans="4:37"/>
    <row r="132" spans="4:37" ht="13">
      <c r="D132" s="2" t="s">
        <v>582</v>
      </c>
      <c r="E132" s="2" t="s">
        <v>733</v>
      </c>
      <c r="G132" s="2"/>
      <c r="H132" s="2"/>
      <c r="I132" s="2"/>
      <c r="J132" s="2"/>
      <c r="K132" s="2"/>
      <c r="L132" s="2"/>
      <c r="M132" s="2"/>
      <c r="N132" s="2"/>
    </row>
    <row r="133" spans="4:37" ht="13">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1319</v>
      </c>
      <c r="F138" s="4"/>
    </row>
    <row r="139" spans="4:37">
      <c r="F139" s="4"/>
    </row>
    <row r="140" spans="4:37" ht="13">
      <c r="D140" s="2" t="s">
        <v>304</v>
      </c>
      <c r="E140" s="2" t="s">
        <v>2354</v>
      </c>
      <c r="F140" s="2"/>
      <c r="G140" s="2"/>
      <c r="H140" s="2"/>
    </row>
    <row r="141" spans="4:37">
      <c r="E141" t="s">
        <v>112</v>
      </c>
      <c r="F141" t="s">
        <v>52</v>
      </c>
    </row>
    <row r="142" spans="4:37">
      <c r="E142" t="s">
        <v>113</v>
      </c>
      <c r="F142" t="s">
        <v>474</v>
      </c>
    </row>
    <row r="143" spans="4:37"/>
    <row r="144" spans="4:37" ht="13">
      <c r="D144" s="2" t="s">
        <v>430</v>
      </c>
      <c r="E144" s="2" t="s">
        <v>2355</v>
      </c>
    </row>
    <row r="145" spans="3:7">
      <c r="E145" s="218" t="s">
        <v>2356</v>
      </c>
      <c r="F145" s="218"/>
    </row>
    <row r="146" spans="3:7"/>
    <row r="147" spans="3:7" ht="13">
      <c r="C147" s="2" t="s">
        <v>6</v>
      </c>
      <c r="G147" s="2" t="s">
        <v>381</v>
      </c>
    </row>
    <row r="148" spans="3:7" ht="13">
      <c r="D148" s="2" t="s">
        <v>208</v>
      </c>
      <c r="E148" s="2" t="s">
        <v>135</v>
      </c>
    </row>
    <row r="149" spans="3:7">
      <c r="E149" t="s">
        <v>806</v>
      </c>
    </row>
    <row r="150" spans="3:7"/>
    <row r="151" spans="3:7" ht="13">
      <c r="D151" s="2" t="s">
        <v>342</v>
      </c>
      <c r="E151" s="2" t="s">
        <v>532</v>
      </c>
      <c r="F151" s="2"/>
    </row>
    <row r="152" spans="3:7">
      <c r="E152" s="4" t="s">
        <v>944</v>
      </c>
      <c r="F152" s="4"/>
    </row>
    <row r="153" spans="3:7"/>
    <row r="154" spans="3:7" ht="13">
      <c r="D154" s="2" t="s">
        <v>582</v>
      </c>
      <c r="E154" s="2" t="s">
        <v>561</v>
      </c>
    </row>
    <row r="155" spans="3:7">
      <c r="E155" s="4" t="s">
        <v>945</v>
      </c>
    </row>
    <row r="156" spans="3:7">
      <c r="E156" s="4" t="s">
        <v>943</v>
      </c>
      <c r="G156" s="4"/>
    </row>
    <row r="157" spans="3:7"/>
    <row r="158" spans="3:7" ht="13">
      <c r="D158" s="2" t="s">
        <v>522</v>
      </c>
      <c r="E158" s="2" t="s">
        <v>541</v>
      </c>
    </row>
    <row r="159" spans="3:7">
      <c r="E159" t="s">
        <v>112</v>
      </c>
      <c r="F159" s="4" t="s">
        <v>946</v>
      </c>
    </row>
    <row r="160" spans="3:7">
      <c r="E160" s="4" t="s">
        <v>113</v>
      </c>
      <c r="F160" s="4" t="s">
        <v>947</v>
      </c>
    </row>
    <row r="161" spans="3:20">
      <c r="E161" s="4" t="s">
        <v>119</v>
      </c>
      <c r="F161" t="s">
        <v>734</v>
      </c>
    </row>
    <row r="162" spans="3:20"/>
    <row r="163" spans="3:20" ht="13">
      <c r="D163" s="2" t="s">
        <v>304</v>
      </c>
      <c r="E163" s="2" t="s">
        <v>382</v>
      </c>
    </row>
    <row r="164" spans="3:20">
      <c r="E164" s="4" t="s">
        <v>948</v>
      </c>
      <c r="F164" s="4"/>
    </row>
    <row r="165" spans="3:20"/>
    <row r="166" spans="3:20" ht="13">
      <c r="D166" s="2" t="s">
        <v>430</v>
      </c>
      <c r="E166" s="2" t="s">
        <v>172</v>
      </c>
    </row>
    <row r="167" spans="3:20">
      <c r="E167" s="4" t="s">
        <v>950</v>
      </c>
    </row>
    <row r="168" spans="3:20">
      <c r="E168" s="4" t="s">
        <v>949</v>
      </c>
    </row>
    <row r="169" spans="3:20"/>
    <row r="170" spans="3:20" ht="13">
      <c r="D170" s="2" t="s">
        <v>565</v>
      </c>
      <c r="E170" s="2" t="s">
        <v>630</v>
      </c>
    </row>
    <row r="171" spans="3:20">
      <c r="E171" t="s">
        <v>112</v>
      </c>
      <c r="F171" t="s">
        <v>735</v>
      </c>
    </row>
    <row r="172" spans="3:20">
      <c r="E172" t="s">
        <v>113</v>
      </c>
      <c r="F172" t="s">
        <v>298</v>
      </c>
    </row>
    <row r="173" spans="3:20">
      <c r="F173" s="4"/>
    </row>
    <row r="174" spans="3:20" ht="13">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951</v>
      </c>
    </row>
    <row r="180" spans="2:19" ht="13">
      <c r="F180" s="120" t="s">
        <v>1250</v>
      </c>
      <c r="I180" s="120"/>
    </row>
    <row r="181" spans="2:19" ht="13">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342</v>
      </c>
      <c r="E185" s="2" t="s">
        <v>1032</v>
      </c>
    </row>
    <row r="186" spans="2:19">
      <c r="B186" s="4"/>
      <c r="C186" s="4"/>
      <c r="E186" s="4" t="s">
        <v>718</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1040</v>
      </c>
      <c r="G193" s="4"/>
      <c r="H193" s="4"/>
      <c r="I193" s="4"/>
    </row>
    <row r="194" spans="2:37" ht="13">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954</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
      <c r="B206" s="4"/>
      <c r="C206" s="4"/>
      <c r="D206" s="2"/>
      <c r="E206" s="4" t="s">
        <v>589</v>
      </c>
      <c r="F206" s="4" t="s">
        <v>956</v>
      </c>
      <c r="M206" s="4"/>
      <c r="N206" s="4"/>
      <c r="O206" s="4"/>
      <c r="P206" s="4"/>
      <c r="Q206" s="4"/>
      <c r="R206" s="4"/>
      <c r="S206" s="4"/>
    </row>
    <row r="207" spans="2:37" ht="13">
      <c r="B207" s="4"/>
      <c r="C207" s="4"/>
      <c r="D207" s="2"/>
      <c r="F207" t="s">
        <v>661</v>
      </c>
      <c r="G207" s="1268" t="s">
        <v>1282</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ht="13">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971</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661</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957</v>
      </c>
      <c r="I254" s="4"/>
      <c r="J254" s="4"/>
      <c r="K254" s="4"/>
      <c r="L254" s="4"/>
      <c r="M254" s="4"/>
      <c r="N254" s="4"/>
      <c r="O254" s="4"/>
      <c r="P254" s="4"/>
      <c r="Q254" s="4"/>
      <c r="R254" s="4"/>
      <c r="S254" s="4"/>
      <c r="T254" s="4"/>
      <c r="U254" s="4"/>
    </row>
    <row r="255" spans="2:21" ht="13">
      <c r="B255" s="2"/>
      <c r="C255" s="2"/>
      <c r="E255" s="4"/>
      <c r="F255" s="218" t="s">
        <v>661</v>
      </c>
      <c r="G255" s="218" t="s">
        <v>820</v>
      </c>
      <c r="I255" s="3"/>
      <c r="K255" s="3"/>
      <c r="L255" s="3"/>
      <c r="M255" s="3"/>
      <c r="N255" s="3"/>
      <c r="O255" s="3"/>
      <c r="Q255" s="4"/>
      <c r="R255" s="4"/>
      <c r="S255" s="4"/>
      <c r="T255" s="4"/>
      <c r="U255" s="4"/>
    </row>
    <row r="256" spans="2:21" ht="13">
      <c r="B256" s="2"/>
      <c r="C256" s="2"/>
      <c r="E256" s="4"/>
      <c r="F256" s="218"/>
      <c r="G256" s="218" t="s">
        <v>821</v>
      </c>
      <c r="I256" s="3"/>
      <c r="K256" s="3"/>
      <c r="L256" s="3"/>
      <c r="M256" s="3"/>
      <c r="N256" s="3"/>
      <c r="O256" s="3"/>
      <c r="P256" s="3"/>
    </row>
    <row r="257" spans="2:21" ht="13">
      <c r="B257" s="2"/>
      <c r="C257" s="2"/>
      <c r="E257" s="4"/>
      <c r="F257" s="218" t="s">
        <v>349</v>
      </c>
      <c r="G257" s="218" t="s">
        <v>963</v>
      </c>
      <c r="I257" s="4"/>
      <c r="K257" s="4"/>
      <c r="L257" s="4"/>
      <c r="M257" s="4"/>
      <c r="N257" s="4"/>
      <c r="O257" s="4"/>
      <c r="P257" s="3"/>
    </row>
    <row r="258" spans="2:21" ht="13">
      <c r="B258" s="2"/>
      <c r="C258" s="2"/>
      <c r="E258" s="4"/>
      <c r="F258" s="218"/>
      <c r="G258" s="218" t="s">
        <v>881</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8"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964</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958</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965</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966</v>
      </c>
      <c r="F285" s="120"/>
      <c r="G285" s="4"/>
      <c r="H285" s="120"/>
      <c r="I285" s="120"/>
      <c r="J285" s="4"/>
      <c r="K285" s="4"/>
      <c r="L285" s="4"/>
      <c r="M285" s="4"/>
      <c r="P285" s="4"/>
      <c r="Q285" s="4"/>
      <c r="R285" s="4"/>
      <c r="S285" s="4"/>
    </row>
    <row r="286" spans="2:21" ht="13">
      <c r="B286" s="2"/>
      <c r="D286" s="2"/>
      <c r="E286" s="483" t="s">
        <v>880</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661</v>
      </c>
      <c r="G293" s="4" t="s">
        <v>261</v>
      </c>
      <c r="K293" s="4"/>
      <c r="L293" s="4"/>
      <c r="M293" s="4"/>
      <c r="N293" s="4"/>
      <c r="O293" s="4"/>
      <c r="P293" s="4"/>
      <c r="Q293" s="4"/>
      <c r="R293" s="4"/>
      <c r="S293" s="4"/>
      <c r="T293" s="4"/>
      <c r="U293" s="4"/>
      <c r="V293" s="4"/>
      <c r="W293" s="4"/>
    </row>
    <row r="294" spans="2:23" ht="13">
      <c r="B294" s="2"/>
      <c r="D294" s="4"/>
      <c r="E294" s="4"/>
      <c r="F294" s="4" t="s">
        <v>349</v>
      </c>
      <c r="G294" s="4" t="s">
        <v>959</v>
      </c>
      <c r="H294" s="4"/>
      <c r="K294" s="4"/>
      <c r="L294" s="4"/>
      <c r="M294" s="4"/>
      <c r="N294" s="4"/>
      <c r="O294" s="4"/>
      <c r="P294" s="4"/>
      <c r="Q294" s="4"/>
      <c r="R294" s="4"/>
      <c r="S294" s="4"/>
      <c r="T294" s="4"/>
      <c r="U294" s="4"/>
      <c r="V294" s="4"/>
      <c r="W294" s="4"/>
    </row>
    <row r="295" spans="2:23" ht="13">
      <c r="B295" s="2"/>
      <c r="D295" s="4"/>
      <c r="E295" s="4"/>
      <c r="F295" s="4" t="s">
        <v>350</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967</v>
      </c>
      <c r="F306" s="4"/>
      <c r="K306" s="4"/>
      <c r="L306" s="4"/>
      <c r="M306" s="4"/>
      <c r="N306" s="4"/>
      <c r="O306" s="4"/>
      <c r="P306" s="4"/>
      <c r="Q306" s="4"/>
      <c r="R306" s="4"/>
      <c r="S306" s="4"/>
      <c r="T306" s="4"/>
      <c r="U306" s="4"/>
      <c r="V306" s="4"/>
      <c r="W306" s="4"/>
    </row>
    <row r="307" spans="2:23" ht="13">
      <c r="B307" s="2"/>
      <c r="D307" s="2"/>
      <c r="E307" s="4" t="s">
        <v>965</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808</v>
      </c>
      <c r="F312" s="4"/>
      <c r="G312" s="4"/>
      <c r="I312" s="4"/>
      <c r="K312" s="4"/>
    </row>
    <row r="313" spans="2:23" ht="13">
      <c r="B313" s="2"/>
      <c r="D313" s="2"/>
      <c r="E313" s="4" t="s">
        <v>968</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342</v>
      </c>
      <c r="E316" s="2" t="s">
        <v>760</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8" t="s">
        <v>1257</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ht="13">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ht="13">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ht="13">
      <c r="B341" s="2"/>
      <c r="F341" s="4"/>
      <c r="H341" s="4"/>
      <c r="I341" s="4"/>
      <c r="J341" s="4"/>
      <c r="K341" s="4"/>
      <c r="L341" s="4"/>
      <c r="M341" s="4"/>
      <c r="N341" s="4"/>
      <c r="O341" s="4"/>
      <c r="P341" s="4"/>
      <c r="Q341" s="4"/>
      <c r="R341" s="4"/>
      <c r="S341" s="4"/>
    </row>
    <row r="342" spans="2:37" ht="13">
      <c r="B342" s="2"/>
      <c r="C342" s="2" t="s">
        <v>432</v>
      </c>
      <c r="G342" s="2" t="s">
        <v>1335</v>
      </c>
      <c r="I342" s="2"/>
      <c r="J342" s="4"/>
      <c r="K342" s="4"/>
      <c r="L342" s="4"/>
      <c r="M342" s="4"/>
      <c r="N342" s="4"/>
      <c r="O342" s="4"/>
      <c r="P342" s="4"/>
      <c r="Q342" s="4"/>
      <c r="R342" s="4"/>
      <c r="S342" s="4"/>
    </row>
    <row r="343" spans="2:37" ht="13.15" customHeight="1">
      <c r="B343" s="2"/>
      <c r="E343" s="1270" t="s">
        <v>1342</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ht="13">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ht="13">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ht="13">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ht="13">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ht="13">
      <c r="B348" s="2"/>
      <c r="E348" s="3" t="s">
        <v>112</v>
      </c>
      <c r="F348" s="1268" t="s">
        <v>1344</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ht="13">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ht="13">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ht="13">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ht="13">
      <c r="B352" s="2"/>
      <c r="E352" s="3" t="s">
        <v>113</v>
      </c>
      <c r="F352" s="1268" t="s">
        <v>1343</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ht="13">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ht="13">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883</v>
      </c>
      <c r="G363" s="4"/>
      <c r="K363" s="4"/>
      <c r="L363" s="4"/>
      <c r="M363" s="4"/>
      <c r="N363" s="4"/>
      <c r="O363" s="4"/>
      <c r="P363" s="4"/>
      <c r="Q363" s="4"/>
      <c r="R363" s="4"/>
      <c r="S363" s="4"/>
    </row>
    <row r="364" spans="1:38" ht="13">
      <c r="B364" s="2"/>
      <c r="E364" t="s">
        <v>113</v>
      </c>
      <c r="F364" s="4" t="s">
        <v>882</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71" t="s">
        <v>1333</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ht="13">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3" customFormat="1" ht="13">
      <c r="A369"/>
      <c r="B369" s="2"/>
      <c r="C369"/>
      <c r="D369"/>
      <c r="E369" s="1272" t="s">
        <v>1366</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1367</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8" t="s">
        <v>1377</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ht="13">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ht="13">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BP36" sqref="BP36"/>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7265625" style="1197"/>
  </cols>
  <sheetData>
    <row r="1" spans="1:65" ht="15.75" customHeight="1">
      <c r="A1" s="2234" t="s">
        <v>2411</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2458</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40" t="str">
        <f>IF(Application!H18="","",Application!H18)</f>
        <v>Hillcrest Hall</v>
      </c>
      <c r="M4" s="2241"/>
      <c r="N4" s="2241"/>
      <c r="O4" s="2241"/>
      <c r="P4" s="2241"/>
      <c r="Q4" s="2241"/>
      <c r="R4" s="2241"/>
      <c r="S4" s="2241"/>
      <c r="T4" s="2241"/>
      <c r="U4" s="2241"/>
      <c r="V4" s="2241"/>
      <c r="W4" s="2241"/>
      <c r="X4" s="2241"/>
      <c r="Y4" s="2241"/>
      <c r="Z4" s="2241"/>
      <c r="AA4" s="2241"/>
      <c r="AB4" s="2241"/>
      <c r="AC4" s="2242"/>
      <c r="AD4" s="1206"/>
      <c r="AE4" s="1206"/>
      <c r="AF4" s="2243" t="s">
        <v>2459</v>
      </c>
      <c r="AG4" s="2243"/>
      <c r="AH4" s="2243"/>
      <c r="AI4" s="2243"/>
      <c r="AJ4" s="2243"/>
      <c r="AK4" s="2243"/>
      <c r="AL4" s="2243"/>
      <c r="AM4" s="2243"/>
      <c r="AN4" s="2243"/>
      <c r="AO4" s="2243"/>
      <c r="AP4" s="2244"/>
      <c r="AQ4" s="2245"/>
      <c r="AR4" s="2245"/>
      <c r="AS4" s="2245"/>
      <c r="AT4" s="2245"/>
      <c r="AU4" s="224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3" t="s">
        <v>2460</v>
      </c>
      <c r="AG5" s="2243"/>
      <c r="AH5" s="2243"/>
      <c r="AI5" s="2243"/>
      <c r="AJ5" s="2243"/>
      <c r="AK5" s="2243"/>
      <c r="AL5" s="2243"/>
      <c r="AM5" s="2243"/>
      <c r="AN5" s="2243"/>
      <c r="AO5" s="2243"/>
      <c r="AP5" s="2244"/>
      <c r="AQ5" s="2245"/>
      <c r="AR5" s="2245"/>
      <c r="AS5" s="2245"/>
      <c r="AT5" s="2245"/>
      <c r="AU5" s="2245"/>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40" t="str">
        <f>IF(Application!H16="","",Application!H16)</f>
        <v>E. Smith &amp; Company, Inc.</v>
      </c>
      <c r="M6" s="2241"/>
      <c r="N6" s="2241"/>
      <c r="O6" s="2241"/>
      <c r="P6" s="2241"/>
      <c r="Q6" s="2241"/>
      <c r="R6" s="2241"/>
      <c r="S6" s="2241"/>
      <c r="T6" s="2241"/>
      <c r="U6" s="2241"/>
      <c r="V6" s="2241"/>
      <c r="W6" s="2241"/>
      <c r="X6" s="2241"/>
      <c r="Y6" s="2241"/>
      <c r="Z6" s="2241"/>
      <c r="AA6" s="2241"/>
      <c r="AB6" s="2241"/>
      <c r="AC6" s="2242"/>
      <c r="AD6" s="1206"/>
      <c r="AE6" s="1206"/>
      <c r="AF6" s="2246" t="s">
        <v>2461</v>
      </c>
      <c r="AG6" s="2246"/>
      <c r="AH6" s="2246"/>
      <c r="AI6" s="2246"/>
      <c r="AJ6" s="2246"/>
      <c r="AK6" s="2246"/>
      <c r="AL6" s="2246"/>
      <c r="AM6" s="2246"/>
      <c r="AN6" s="2246"/>
      <c r="AO6" s="2246"/>
      <c r="AP6" s="2233">
        <v>0</v>
      </c>
      <c r="AQ6" s="2233"/>
      <c r="AR6" s="2233"/>
      <c r="AS6" s="2233"/>
      <c r="AT6" s="2233"/>
      <c r="AU6" s="2233"/>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6" t="s">
        <v>2462</v>
      </c>
      <c r="AG7" s="2246"/>
      <c r="AH7" s="2246"/>
      <c r="AI7" s="2246"/>
      <c r="AJ7" s="2246"/>
      <c r="AK7" s="2246"/>
      <c r="AL7" s="2246"/>
      <c r="AM7" s="2246"/>
      <c r="AN7" s="2246"/>
      <c r="AO7" s="2246"/>
      <c r="AP7" s="2233">
        <v>0</v>
      </c>
      <c r="AQ7" s="2233"/>
      <c r="AR7" s="2233"/>
      <c r="AS7" s="2233"/>
      <c r="AT7" s="2233"/>
      <c r="AU7" s="2233"/>
      <c r="AV7" s="1206"/>
      <c r="AW7" s="1206"/>
      <c r="AX7" s="1206"/>
      <c r="AY7" s="1206"/>
      <c r="AZ7" s="1206"/>
      <c r="BA7" s="1206"/>
      <c r="BB7" s="1206"/>
      <c r="BC7" s="1206"/>
      <c r="BD7" s="1206"/>
      <c r="BE7" s="1216"/>
    </row>
    <row r="8" spans="1:65" ht="1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7" t="str">
        <f>Application!T197</f>
        <v>No</v>
      </c>
      <c r="AC8" s="2248"/>
      <c r="AD8" s="2249"/>
      <c r="AE8" s="1206"/>
      <c r="AF8" s="2246" t="s">
        <v>2463</v>
      </c>
      <c r="AG8" s="2246"/>
      <c r="AH8" s="2246"/>
      <c r="AI8" s="2246"/>
      <c r="AJ8" s="2246"/>
      <c r="AK8" s="2246"/>
      <c r="AL8" s="2246"/>
      <c r="AM8" s="2246"/>
      <c r="AN8" s="2246"/>
      <c r="AO8" s="2246"/>
      <c r="AP8" s="2233" t="s">
        <v>2415</v>
      </c>
      <c r="AQ8" s="2233"/>
      <c r="AR8" s="2233"/>
      <c r="AS8" s="2233"/>
      <c r="AT8" s="2233"/>
      <c r="AU8" s="2233"/>
      <c r="AV8" s="1206"/>
      <c r="AW8" s="1206"/>
      <c r="AX8" s="1206"/>
      <c r="AY8" s="1206"/>
      <c r="AZ8" s="1206"/>
      <c r="BA8" s="1206"/>
      <c r="BB8" s="1206"/>
      <c r="BC8" s="1206"/>
      <c r="BD8" s="1206"/>
      <c r="BE8" s="1216"/>
      <c r="BM8" s="1197" t="s">
        <v>2291</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3" t="s">
        <v>2621</v>
      </c>
      <c r="AG9" s="2243"/>
      <c r="AH9" s="2243"/>
      <c r="AI9" s="2243"/>
      <c r="AJ9" s="2243"/>
      <c r="AK9" s="2243"/>
      <c r="AL9" s="2243"/>
      <c r="AM9" s="2243"/>
      <c r="AN9" s="2243"/>
      <c r="AO9" s="2243"/>
      <c r="AP9" s="2244"/>
      <c r="AQ9" s="2245"/>
      <c r="AR9" s="2245"/>
      <c r="AS9" s="2245"/>
      <c r="AT9" s="2245"/>
      <c r="AU9" s="2245"/>
      <c r="AV9" s="1206"/>
      <c r="AW9" s="1206"/>
      <c r="AX9" s="1206"/>
      <c r="AY9" s="1206"/>
      <c r="AZ9" s="1206"/>
      <c r="BA9" s="1206"/>
      <c r="BB9" s="1206"/>
      <c r="BC9" s="1206"/>
      <c r="BD9" s="1206"/>
      <c r="BE9" s="1216"/>
      <c r="BM9" s="1197" t="s">
        <v>2464</v>
      </c>
    </row>
    <row r="10" spans="1:65" ht="14.5">
      <c r="A10" s="1212"/>
      <c r="B10" s="1214" t="s">
        <v>1790</v>
      </c>
      <c r="C10" s="1214"/>
      <c r="D10" s="1214"/>
      <c r="E10" s="1214"/>
      <c r="F10" s="1214"/>
      <c r="G10" s="1214"/>
      <c r="H10" s="1214"/>
      <c r="I10" s="1214"/>
      <c r="J10" s="1214"/>
      <c r="K10" s="1214"/>
      <c r="L10" s="1214"/>
      <c r="M10" s="1206"/>
      <c r="N10" s="2258">
        <f>Application!AO627</f>
        <v>15727283</v>
      </c>
      <c r="O10" s="2258"/>
      <c r="P10" s="2258"/>
      <c r="Q10" s="2258"/>
      <c r="R10" s="2258"/>
      <c r="S10" s="2258"/>
      <c r="T10" s="2258"/>
      <c r="U10" s="1206"/>
      <c r="V10" s="1206"/>
      <c r="W10" s="1206"/>
      <c r="X10" s="1255"/>
      <c r="Y10" s="1255"/>
      <c r="Z10" s="1255"/>
      <c r="AA10" s="1255"/>
      <c r="AB10" s="1255"/>
      <c r="AC10" s="1255"/>
      <c r="AD10" s="1255"/>
      <c r="AE10" s="1255"/>
      <c r="AF10" s="2243" t="s">
        <v>2620</v>
      </c>
      <c r="AG10" s="2243"/>
      <c r="AH10" s="2243"/>
      <c r="AI10" s="2243"/>
      <c r="AJ10" s="2243"/>
      <c r="AK10" s="2243"/>
      <c r="AL10" s="2243"/>
      <c r="AM10" s="2243"/>
      <c r="AN10" s="2243"/>
      <c r="AO10" s="2243"/>
      <c r="AP10" s="2244"/>
      <c r="AQ10" s="2245"/>
      <c r="AR10" s="2245"/>
      <c r="AS10" s="2245"/>
      <c r="AT10" s="2245"/>
      <c r="AU10" s="2245"/>
      <c r="AV10" s="1255"/>
      <c r="AW10" s="1255"/>
      <c r="AX10" s="1206"/>
      <c r="AY10" s="1206"/>
      <c r="AZ10" s="1206"/>
      <c r="BA10" s="1206"/>
      <c r="BB10" s="1206"/>
      <c r="BC10" s="1206"/>
      <c r="BD10" s="1206"/>
      <c r="BE10" s="1216"/>
      <c r="BM10" s="1197" t="s">
        <v>2466</v>
      </c>
    </row>
    <row r="11" spans="1:65" ht="14.5">
      <c r="A11" s="1212"/>
      <c r="B11" s="1214" t="s">
        <v>1791</v>
      </c>
      <c r="C11" s="1214"/>
      <c r="D11" s="1214"/>
      <c r="E11" s="1214"/>
      <c r="F11" s="1214"/>
      <c r="G11" s="1214"/>
      <c r="H11" s="1214"/>
      <c r="I11" s="1214"/>
      <c r="J11" s="1214"/>
      <c r="K11" s="1214"/>
      <c r="L11" s="1214"/>
      <c r="M11" s="1206"/>
      <c r="N11" s="2258">
        <f>Application!AA933</f>
        <v>0</v>
      </c>
      <c r="O11" s="2258"/>
      <c r="P11" s="2258"/>
      <c r="Q11" s="2258"/>
      <c r="R11" s="2258"/>
      <c r="S11" s="2258"/>
      <c r="T11" s="2258"/>
      <c r="U11" s="1206"/>
      <c r="V11" s="1206"/>
      <c r="W11" s="1206"/>
      <c r="X11" s="1255"/>
      <c r="Y11" s="1255"/>
      <c r="Z11" s="1255"/>
      <c r="AA11" s="1255"/>
      <c r="AB11" s="1255"/>
      <c r="AC11" s="1255"/>
      <c r="AD11" s="1255"/>
      <c r="AE11" s="1255"/>
      <c r="AF11" s="2243" t="s">
        <v>2619</v>
      </c>
      <c r="AG11" s="2243"/>
      <c r="AH11" s="2243"/>
      <c r="AI11" s="2243"/>
      <c r="AJ11" s="2243"/>
      <c r="AK11" s="2243"/>
      <c r="AL11" s="2243"/>
      <c r="AM11" s="2243"/>
      <c r="AN11" s="2243"/>
      <c r="AO11" s="2243"/>
      <c r="AP11" s="2244"/>
      <c r="AQ11" s="2245"/>
      <c r="AR11" s="2245"/>
      <c r="AS11" s="2245"/>
      <c r="AT11" s="2245"/>
      <c r="AU11" s="2245"/>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265" t="s">
        <v>1792</v>
      </c>
      <c r="C13" s="2266"/>
      <c r="D13" s="2266"/>
      <c r="E13" s="2266"/>
      <c r="F13" s="2266"/>
      <c r="G13" s="2266"/>
      <c r="H13" s="2266"/>
      <c r="I13" s="2266"/>
      <c r="J13" s="2266"/>
      <c r="K13" s="2266"/>
      <c r="L13" s="2266"/>
      <c r="M13" s="2266"/>
      <c r="N13" s="2266"/>
      <c r="O13" s="2266"/>
      <c r="P13" s="2267"/>
      <c r="Q13" s="2268" t="s">
        <v>677</v>
      </c>
      <c r="R13" s="2269"/>
      <c r="S13" s="2269"/>
      <c r="T13" s="2270"/>
      <c r="U13" s="1255"/>
      <c r="V13" s="1206"/>
      <c r="W13" s="1206"/>
      <c r="X13" s="1206"/>
      <c r="Y13" s="1206"/>
      <c r="Z13" s="1206"/>
      <c r="AA13" s="2259" t="s">
        <v>2465</v>
      </c>
      <c r="AB13" s="2259"/>
      <c r="AC13" s="2259"/>
      <c r="AD13" s="2259"/>
      <c r="AE13" s="2259"/>
      <c r="AF13" s="2259"/>
      <c r="AG13" s="2259"/>
      <c r="AH13" s="2259"/>
      <c r="AI13" s="2259"/>
      <c r="AJ13" s="2259"/>
      <c r="AK13" s="2259"/>
      <c r="AL13" s="2259"/>
      <c r="AM13" s="2259"/>
      <c r="AN13" s="2259"/>
      <c r="AO13" s="2260">
        <f>Application!W473</f>
        <v>15</v>
      </c>
      <c r="AP13" s="2261"/>
      <c r="AQ13" s="2261"/>
      <c r="AR13" s="2261"/>
      <c r="AS13" s="2261"/>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2" t="s">
        <v>2467</v>
      </c>
      <c r="AB14" s="2262"/>
      <c r="AC14" s="2262"/>
      <c r="AD14" s="2262"/>
      <c r="AE14" s="2262"/>
      <c r="AF14" s="2262"/>
      <c r="AG14" s="2262"/>
      <c r="AH14" s="2262"/>
      <c r="AI14" s="2262"/>
      <c r="AJ14" s="2262"/>
      <c r="AK14" s="2262"/>
      <c r="AL14" s="2262"/>
      <c r="AM14" s="2262"/>
      <c r="AN14" s="2262"/>
      <c r="AO14" s="2263"/>
      <c r="AP14" s="2264"/>
      <c r="AQ14" s="2264"/>
      <c r="AR14" s="2264"/>
      <c r="AS14" s="2264"/>
      <c r="AT14" s="1255"/>
      <c r="AU14" s="1255"/>
      <c r="AV14" s="1255"/>
      <c r="AW14" s="1255"/>
      <c r="AX14" s="1255"/>
      <c r="AY14" s="1255"/>
      <c r="AZ14" s="1255"/>
      <c r="BA14" s="1255"/>
      <c r="BB14" s="1255"/>
      <c r="BC14" s="1255"/>
      <c r="BD14" s="1255"/>
      <c r="BE14" s="1202"/>
    </row>
    <row r="15" spans="1:65" ht="15" thickBot="1">
      <c r="A15" s="1206"/>
      <c r="B15" s="2271" t="s">
        <v>1793</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5"/>
      <c r="Y15" s="1206"/>
      <c r="Z15" s="1206"/>
      <c r="AA15" s="2259" t="s">
        <v>2468</v>
      </c>
      <c r="AB15" s="2259"/>
      <c r="AC15" s="2259"/>
      <c r="AD15" s="2259"/>
      <c r="AE15" s="2259"/>
      <c r="AF15" s="2259"/>
      <c r="AG15" s="2259"/>
      <c r="AH15" s="2259"/>
      <c r="AI15" s="2259"/>
      <c r="AJ15" s="2259"/>
      <c r="AK15" s="2259"/>
      <c r="AL15" s="2259"/>
      <c r="AM15" s="2259"/>
      <c r="AN15" s="2259"/>
      <c r="AO15" s="2263"/>
      <c r="AP15" s="2264"/>
      <c r="AQ15" s="2264"/>
      <c r="AR15" s="2264"/>
      <c r="AS15" s="2264"/>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6" t="s">
        <v>1794</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6"/>
      <c r="BA17" s="1206"/>
      <c r="BB17" s="1206"/>
      <c r="BC17" s="1206"/>
      <c r="BD17" s="1206"/>
      <c r="BE17" s="1202"/>
      <c r="BF17" s="1198"/>
    </row>
    <row r="18" spans="1:58" ht="15.75" customHeight="1">
      <c r="A18" s="1206"/>
      <c r="B18" s="2279" t="s">
        <v>1795</v>
      </c>
      <c r="C18" s="2280"/>
      <c r="D18" s="2280"/>
      <c r="E18" s="2280"/>
      <c r="F18" s="2280"/>
      <c r="G18" s="2280"/>
      <c r="H18" s="2280"/>
      <c r="I18" s="2281"/>
      <c r="J18" s="2282" t="s">
        <v>1696</v>
      </c>
      <c r="K18" s="2283"/>
      <c r="L18" s="2283"/>
      <c r="M18" s="2283"/>
      <c r="N18" s="2283"/>
      <c r="O18" s="2284"/>
      <c r="P18" s="2282" t="s">
        <v>325</v>
      </c>
      <c r="Q18" s="2283"/>
      <c r="R18" s="2283"/>
      <c r="S18" s="2283"/>
      <c r="T18" s="2283"/>
      <c r="U18" s="2284"/>
      <c r="V18" s="2282" t="s">
        <v>326</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1796</v>
      </c>
      <c r="AU18" s="2283"/>
      <c r="AV18" s="2283"/>
      <c r="AW18" s="2283"/>
      <c r="AX18" s="2283"/>
      <c r="AY18" s="2285"/>
      <c r="AZ18" s="1206"/>
      <c r="BA18" s="1206"/>
      <c r="BB18" s="1206"/>
      <c r="BC18" s="1206"/>
      <c r="BD18" s="1206"/>
      <c r="BE18" s="1202"/>
    </row>
    <row r="19" spans="1:58" ht="14.5">
      <c r="A19" s="1206"/>
      <c r="B19" s="2286">
        <v>0.3</v>
      </c>
      <c r="C19" s="2287"/>
      <c r="D19" s="2287"/>
      <c r="E19" s="2287"/>
      <c r="F19" s="2287"/>
      <c r="G19" s="2287"/>
      <c r="H19" s="2287"/>
      <c r="I19" s="2288"/>
      <c r="J19" s="2289">
        <f t="shared" ref="J19:J28" si="0">SUM(P19:AS19)</f>
        <v>15</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7</v>
      </c>
      <c r="W19" s="2290"/>
      <c r="X19" s="2290"/>
      <c r="Y19" s="2290"/>
      <c r="Z19" s="2290"/>
      <c r="AA19" s="2291"/>
      <c r="AB19" s="2289" cm="1">
        <f t="array" ref="AB19">SUMPRODUCT((Application!$B$714:$B$738 = 'CalHFA Addendum'!AB$18)*(Application!$AC$714:$AC$738 = 'CalHFA Addendum'!$B19),Application!$G$714:$G$738)</f>
        <v>4</v>
      </c>
      <c r="AC19" s="2290"/>
      <c r="AD19" s="2290"/>
      <c r="AE19" s="2290"/>
      <c r="AF19" s="2290"/>
      <c r="AG19" s="2291"/>
      <c r="AH19" s="2289" cm="1">
        <f t="array" ref="AH19">SUMPRODUCT((Application!$B$714:$B$738 = 'CalHFA Addendum'!AH$18)*(Application!$AC$714:$AC$738 = 'CalHFA Addendum'!$B19),Application!$G$714:$G$738)</f>
        <v>4</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0.15463917525773196</v>
      </c>
      <c r="AU19" s="2293"/>
      <c r="AV19" s="2293"/>
      <c r="AW19" s="2293"/>
      <c r="AX19" s="2293"/>
      <c r="AY19" s="2294"/>
      <c r="AZ19" s="1217"/>
      <c r="BA19" s="1206"/>
      <c r="BB19" s="1206"/>
      <c r="BC19" s="1206"/>
      <c r="BD19" s="1206"/>
      <c r="BE19" s="1202"/>
    </row>
    <row r="20" spans="1:58" ht="15" customHeight="1">
      <c r="A20" s="1206"/>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6"/>
      <c r="BA20" s="1206"/>
      <c r="BB20" s="1206"/>
      <c r="BC20" s="1206"/>
      <c r="BD20" s="1206"/>
      <c r="BE20" s="1202"/>
    </row>
    <row r="21" spans="1:58" ht="14.5">
      <c r="A21" s="1206"/>
      <c r="B21" s="2286">
        <v>0.5</v>
      </c>
      <c r="C21" s="2287"/>
      <c r="D21" s="2287"/>
      <c r="E21" s="2287"/>
      <c r="F21" s="2287"/>
      <c r="G21" s="2287"/>
      <c r="H21" s="2287"/>
      <c r="I21" s="2288"/>
      <c r="J21" s="2289">
        <f t="shared" si="0"/>
        <v>11</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4</v>
      </c>
      <c r="W21" s="2290"/>
      <c r="X21" s="2290"/>
      <c r="Y21" s="2290"/>
      <c r="Z21" s="2290"/>
      <c r="AA21" s="2291"/>
      <c r="AB21" s="2289" cm="1">
        <f t="array" ref="AB21">SUMPRODUCT((Application!$B$714:$B$738 = 'CalHFA Addendum'!AB$18)*(Application!$AC$714:$AC$738 = 'CalHFA Addendum'!$B21),Application!$G$714:$G$738)</f>
        <v>3</v>
      </c>
      <c r="AC21" s="2290"/>
      <c r="AD21" s="2290"/>
      <c r="AE21" s="2290"/>
      <c r="AF21" s="2290"/>
      <c r="AG21" s="2291"/>
      <c r="AH21" s="2289" cm="1">
        <f t="array" ref="AH21">SUMPRODUCT((Application!$B$714:$B$738 = 'CalHFA Addendum'!AH$18)*(Application!$AC$714:$AC$738 = 'CalHFA Addendum'!$B21),Application!$G$714:$G$738)</f>
        <v>4</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0.1134020618556701</v>
      </c>
      <c r="AU21" s="2293"/>
      <c r="AV21" s="2293"/>
      <c r="AW21" s="2293"/>
      <c r="AX21" s="2293"/>
      <c r="AY21" s="2294"/>
      <c r="AZ21" s="1206"/>
      <c r="BA21" s="1206"/>
      <c r="BB21" s="1206"/>
      <c r="BC21" s="1206"/>
      <c r="BD21" s="1206"/>
      <c r="BE21" s="1202"/>
    </row>
    <row r="22" spans="1:58" ht="14.5">
      <c r="A22" s="1206"/>
      <c r="B22" s="2286">
        <v>0.6</v>
      </c>
      <c r="C22" s="2287"/>
      <c r="D22" s="2287"/>
      <c r="E22" s="2287"/>
      <c r="F22" s="2287"/>
      <c r="G22" s="2287"/>
      <c r="H22" s="2287"/>
      <c r="I22" s="2288"/>
      <c r="J22" s="2289">
        <f t="shared" si="0"/>
        <v>40</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20</v>
      </c>
      <c r="W22" s="2290"/>
      <c r="X22" s="2290"/>
      <c r="Y22" s="2290"/>
      <c r="Z22" s="2290"/>
      <c r="AA22" s="2291"/>
      <c r="AB22" s="2289" cm="1">
        <f t="array" ref="AB22">SUMPRODUCT((Application!$B$714:$B$738 = 'CalHFA Addendum'!AB$18)*(Application!$AC$714:$AC$738 = 'CalHFA Addendum'!$B22),Application!$G$714:$G$738)</f>
        <v>10</v>
      </c>
      <c r="AC22" s="2290"/>
      <c r="AD22" s="2290"/>
      <c r="AE22" s="2290"/>
      <c r="AF22" s="2290"/>
      <c r="AG22" s="2291"/>
      <c r="AH22" s="2289" cm="1">
        <f t="array" ref="AH22">SUMPRODUCT((Application!$B$714:$B$738 = 'CalHFA Addendum'!AH$18)*(Application!$AC$714:$AC$738 = 'CalHFA Addendum'!$B22),Application!$G$714:$G$738)</f>
        <v>10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0.41237113402061853</v>
      </c>
      <c r="AU22" s="2293"/>
      <c r="AV22" s="2293"/>
      <c r="AW22" s="2293"/>
      <c r="AX22" s="2293"/>
      <c r="AY22" s="2294"/>
      <c r="AZ22" s="1206"/>
      <c r="BA22" s="1206"/>
      <c r="BB22" s="1206"/>
      <c r="BC22" s="1206"/>
      <c r="BD22" s="1206"/>
      <c r="BE22" s="1202"/>
    </row>
    <row r="23" spans="1:58" ht="14.5">
      <c r="A23" s="1206"/>
      <c r="B23" s="2286">
        <v>0.7</v>
      </c>
      <c r="C23" s="2287"/>
      <c r="D23" s="2287"/>
      <c r="E23" s="2287"/>
      <c r="F23" s="2287"/>
      <c r="G23" s="2287"/>
      <c r="H23" s="2287"/>
      <c r="I23" s="2288"/>
      <c r="J23" s="2289">
        <f t="shared" si="0"/>
        <v>31</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4</v>
      </c>
      <c r="W23" s="2290"/>
      <c r="X23" s="2290"/>
      <c r="Y23" s="2290"/>
      <c r="Z23" s="2290"/>
      <c r="AA23" s="2291"/>
      <c r="AB23" s="2289" cm="1">
        <f t="array" ref="AB23">SUMPRODUCT((Application!$B$714:$B$738 = 'CalHFA Addendum'!AB$18)*(Application!$AC$714:$AC$738 = 'CalHFA Addendum'!$B23),Application!$G$714:$G$738)</f>
        <v>11</v>
      </c>
      <c r="AC23" s="2290"/>
      <c r="AD23" s="2290"/>
      <c r="AE23" s="2290"/>
      <c r="AF23" s="2290"/>
      <c r="AG23" s="2291"/>
      <c r="AH23" s="2289" cm="1">
        <f t="array" ref="AH23">SUMPRODUCT((Application!$B$714:$B$738 = 'CalHFA Addendum'!AH$18)*(Application!$AC$714:$AC$738 = 'CalHFA Addendum'!$B23),Application!$G$714:$G$738)</f>
        <v>16</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0.31958762886597936</v>
      </c>
      <c r="AU23" s="2293"/>
      <c r="AV23" s="2293"/>
      <c r="AW23" s="2293"/>
      <c r="AX23" s="2293"/>
      <c r="AY23" s="2294"/>
      <c r="AZ23" s="1206"/>
      <c r="BA23" s="1206"/>
      <c r="BB23" s="1206"/>
      <c r="BC23" s="1206"/>
      <c r="BD23" s="1206"/>
      <c r="BE23" s="1202"/>
    </row>
    <row r="24" spans="1:58" ht="14.5">
      <c r="A24" s="1206"/>
      <c r="B24" s="2286">
        <v>0.8</v>
      </c>
      <c r="C24" s="2287"/>
      <c r="D24" s="2287"/>
      <c r="E24" s="2287"/>
      <c r="F24" s="2287"/>
      <c r="G24" s="2287"/>
      <c r="H24" s="2287"/>
      <c r="I24" s="2288"/>
      <c r="J24" s="2289">
        <f t="shared" si="0"/>
        <v>0</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0</v>
      </c>
      <c r="W24" s="2290"/>
      <c r="X24" s="2290"/>
      <c r="Y24" s="2290"/>
      <c r="Z24" s="2290"/>
      <c r="AA24" s="2291"/>
      <c r="AB24" s="2289" cm="1">
        <f t="array" ref="AB24">SUMPRODUCT((Application!$B$714:$B$738 = 'CalHFA Addendum'!AB$18)*(Application!$AC$714:$AC$738 = 'CalHFA Addendum'!$B24),Application!$G$714:$G$738)</f>
        <v>0</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v>
      </c>
      <c r="AU24" s="2293"/>
      <c r="AV24" s="2293"/>
      <c r="AW24" s="2293"/>
      <c r="AX24" s="2293"/>
      <c r="AY24" s="2294"/>
      <c r="AZ24" s="1206"/>
      <c r="BA24" s="1206"/>
      <c r="BB24" s="1206"/>
      <c r="BC24" s="1206"/>
      <c r="BD24" s="1206"/>
      <c r="BE24" s="1202"/>
    </row>
    <row r="25" spans="1:58" ht="14.5">
      <c r="A25" s="1206"/>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6"/>
      <c r="BA25" s="1206"/>
      <c r="BB25" s="1206"/>
      <c r="BC25" s="1206"/>
      <c r="BD25" s="1206"/>
      <c r="BE25" s="1202"/>
    </row>
    <row r="26" spans="1:58" ht="14.5">
      <c r="A26" s="1206"/>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6"/>
      <c r="BA26" s="1206"/>
      <c r="BB26" s="1206"/>
      <c r="BC26" s="1206"/>
      <c r="BD26" s="1206"/>
      <c r="BE26" s="1202"/>
    </row>
    <row r="27" spans="1:58" ht="14.5">
      <c r="A27" s="1206"/>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6"/>
      <c r="BA27" s="1206"/>
      <c r="BB27" s="1206"/>
      <c r="BC27" s="1206"/>
      <c r="BD27" s="1206"/>
      <c r="BE27" s="1202"/>
    </row>
    <row r="28" spans="1:58" ht="15" thickBot="1">
      <c r="A28" s="1206"/>
      <c r="B28" s="2305" t="s">
        <v>1797</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6"/>
      <c r="BA28" s="1206"/>
      <c r="BB28" s="1206"/>
      <c r="BC28" s="1206"/>
      <c r="BD28" s="1206"/>
      <c r="BE28" s="1202"/>
    </row>
    <row r="29" spans="1:58" ht="15" thickBot="1">
      <c r="A29" s="1206"/>
      <c r="B29" s="2320" t="s">
        <v>1696</v>
      </c>
      <c r="C29" s="2321"/>
      <c r="D29" s="2321"/>
      <c r="E29" s="2321"/>
      <c r="F29" s="2321"/>
      <c r="G29" s="2321"/>
      <c r="H29" s="2321"/>
      <c r="I29" s="2322"/>
      <c r="J29" s="2323">
        <f>SUM(J19:O28)</f>
        <v>97</v>
      </c>
      <c r="K29" s="2321"/>
      <c r="L29" s="2321"/>
      <c r="M29" s="2321"/>
      <c r="N29" s="2321"/>
      <c r="O29" s="2322"/>
      <c r="P29" s="2323">
        <f>SUM(P19:U28)</f>
        <v>0</v>
      </c>
      <c r="Q29" s="2321"/>
      <c r="R29" s="2321"/>
      <c r="S29" s="2321"/>
      <c r="T29" s="2321"/>
      <c r="U29" s="2322"/>
      <c r="V29" s="2323">
        <f>SUM(V19:AA28)</f>
        <v>35</v>
      </c>
      <c r="W29" s="2321"/>
      <c r="X29" s="2321"/>
      <c r="Y29" s="2321"/>
      <c r="Z29" s="2321"/>
      <c r="AA29" s="2322"/>
      <c r="AB29" s="2323">
        <f>SUM(AB19:AG28)</f>
        <v>28</v>
      </c>
      <c r="AC29" s="2321"/>
      <c r="AD29" s="2321"/>
      <c r="AE29" s="2321"/>
      <c r="AF29" s="2321"/>
      <c r="AG29" s="2322"/>
      <c r="AH29" s="2323">
        <f>SUM(AH19:AM28)</f>
        <v>34</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8" t="s">
        <v>1798</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2"/>
    </row>
    <row r="32" spans="1:58" ht="15" thickBot="1">
      <c r="A32" s="1206"/>
      <c r="B32" s="2343" t="s">
        <v>2471</v>
      </c>
      <c r="C32" s="2344"/>
      <c r="D32" s="2344"/>
      <c r="E32" s="2344"/>
      <c r="F32" s="2344"/>
      <c r="G32" s="2344"/>
      <c r="H32" s="2344"/>
      <c r="I32" s="2344"/>
      <c r="J32" s="2314" t="s">
        <v>2472</v>
      </c>
      <c r="K32" s="2315"/>
      <c r="L32" s="2315"/>
      <c r="M32" s="2315"/>
      <c r="N32" s="2314" t="s">
        <v>1799</v>
      </c>
      <c r="O32" s="2315"/>
      <c r="P32" s="2315"/>
      <c r="Q32" s="2317"/>
      <c r="R32" s="2337" t="s">
        <v>1800</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2"/>
    </row>
    <row r="33" spans="1:58" ht="15" customHeight="1">
      <c r="A33" s="1206"/>
      <c r="B33" s="2345"/>
      <c r="C33" s="2346"/>
      <c r="D33" s="2346"/>
      <c r="E33" s="2346"/>
      <c r="F33" s="2346"/>
      <c r="G33" s="2346"/>
      <c r="H33" s="2346"/>
      <c r="I33" s="2346"/>
      <c r="J33" s="2316"/>
      <c r="K33" s="2316"/>
      <c r="L33" s="2316"/>
      <c r="M33" s="2316"/>
      <c r="N33" s="2316"/>
      <c r="O33" s="2316"/>
      <c r="P33" s="2316"/>
      <c r="Q33" s="2318"/>
      <c r="R33" s="2331" t="s">
        <v>1801</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2"/>
    </row>
    <row r="34" spans="1:58" ht="15.75" customHeight="1" thickBot="1">
      <c r="A34" s="1206"/>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2"/>
    </row>
    <row r="35" spans="1:58" ht="15.75" customHeight="1">
      <c r="A35" s="1206"/>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1802</v>
      </c>
      <c r="AT35" s="2302"/>
      <c r="AU35" s="2302"/>
      <c r="AV35" s="2302"/>
      <c r="AW35" s="2302"/>
      <c r="AX35" s="2303"/>
      <c r="AY35" s="2301" t="s">
        <v>1803</v>
      </c>
      <c r="AZ35" s="2302"/>
      <c r="BA35" s="2302"/>
      <c r="BB35" s="2302"/>
      <c r="BC35" s="2302"/>
      <c r="BD35" s="2304"/>
      <c r="BE35" s="1202"/>
    </row>
    <row r="36" spans="1:58" ht="15.75" customHeight="1">
      <c r="A36" s="1206"/>
      <c r="B36" s="2324" t="s">
        <v>1804</v>
      </c>
      <c r="C36" s="2325"/>
      <c r="D36" s="2325"/>
      <c r="E36" s="2325"/>
      <c r="F36" s="2325"/>
      <c r="G36" s="2325"/>
      <c r="H36" s="2325"/>
      <c r="I36" s="2325"/>
      <c r="J36" s="2326" t="s">
        <v>1805</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0.51546391752577314</v>
      </c>
      <c r="AZ36" s="2354"/>
      <c r="BA36" s="2354"/>
      <c r="BB36" s="2354"/>
      <c r="BC36" s="2354"/>
      <c r="BD36" s="2355"/>
      <c r="BE36" s="1202"/>
    </row>
    <row r="37" spans="1:58" ht="15.75" customHeight="1">
      <c r="A37" s="1206"/>
      <c r="B37" s="2324" t="s">
        <v>2473</v>
      </c>
      <c r="C37" s="2325"/>
      <c r="D37" s="2325"/>
      <c r="E37" s="2325"/>
      <c r="F37" s="2325"/>
      <c r="G37" s="2325"/>
      <c r="H37" s="2325"/>
      <c r="I37" s="2325"/>
      <c r="J37" s="2326" t="s">
        <v>1806</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0.10309278350515463</v>
      </c>
      <c r="AZ37" s="2354"/>
      <c r="BA37" s="2354"/>
      <c r="BB37" s="2354"/>
      <c r="BC37" s="2354"/>
      <c r="BD37" s="2355"/>
      <c r="BE37" s="1202"/>
    </row>
    <row r="38" spans="1:58" ht="15.75" customHeight="1">
      <c r="A38" s="1206"/>
      <c r="B38" s="2324" t="s">
        <v>2412</v>
      </c>
      <c r="C38" s="2325"/>
      <c r="D38" s="2325"/>
      <c r="E38" s="2325"/>
      <c r="F38" s="2325"/>
      <c r="G38" s="2325"/>
      <c r="H38" s="2325"/>
      <c r="I38" s="2325"/>
      <c r="J38" s="2326" t="s">
        <v>1807</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2"/>
    </row>
    <row r="39" spans="1:58" ht="15.75" customHeight="1">
      <c r="A39" s="1206"/>
      <c r="B39" s="2324" t="s">
        <v>1808</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2"/>
    </row>
    <row r="40" spans="1:58" ht="15.75" customHeight="1">
      <c r="A40" s="1206"/>
      <c r="B40" s="2324" t="s">
        <v>1808</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2"/>
    </row>
    <row r="41" spans="1:58" ht="15.75" customHeight="1">
      <c r="A41" s="1206"/>
      <c r="B41" s="2324" t="s">
        <v>1809</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2"/>
    </row>
    <row r="42" spans="1:58" ht="15.75" customHeight="1">
      <c r="A42" s="1206"/>
      <c r="B42" s="2324" t="s">
        <v>1809</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2"/>
    </row>
    <row r="43" spans="1:58" ht="15.75" customHeight="1">
      <c r="A43" s="1206"/>
      <c r="B43" s="2356" t="s">
        <v>1810</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2"/>
    </row>
    <row r="44" spans="1:58" ht="15.75" customHeight="1">
      <c r="A44" s="1206"/>
      <c r="B44" s="2356" t="s">
        <v>1811</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2"/>
    </row>
    <row r="45" spans="1:58" ht="15.75" customHeight="1">
      <c r="A45" s="1206"/>
      <c r="B45" s="2356" t="s">
        <v>1812</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2"/>
    </row>
    <row r="46" spans="1:58" ht="15.75" customHeight="1">
      <c r="A46" s="1206"/>
      <c r="B46" s="2356" t="s">
        <v>1813</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2"/>
    </row>
    <row r="47" spans="1:58" ht="15.75" customHeight="1" thickBot="1">
      <c r="A47" s="1206"/>
      <c r="B47" s="2370" t="s">
        <v>301</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4" t="s">
        <v>1814</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9" t="s">
        <v>1815</v>
      </c>
      <c r="C51" s="2210"/>
      <c r="D51" s="2210"/>
      <c r="E51" s="2210"/>
      <c r="F51" s="2210"/>
      <c r="G51" s="2210"/>
      <c r="H51" s="2210"/>
      <c r="I51" s="2210"/>
      <c r="J51" s="2210" t="s">
        <v>2475</v>
      </c>
      <c r="K51" s="2210"/>
      <c r="L51" s="2210"/>
      <c r="M51" s="2210"/>
      <c r="N51" s="2210"/>
      <c r="O51" s="2210"/>
      <c r="P51" s="2210"/>
      <c r="Q51" s="2210"/>
      <c r="R51" s="2367" t="s">
        <v>2476</v>
      </c>
      <c r="S51" s="2367"/>
      <c r="T51" s="2367"/>
      <c r="U51" s="2367"/>
      <c r="V51" s="2367"/>
      <c r="W51" s="2367"/>
      <c r="X51" s="2367"/>
      <c r="Y51" s="2367"/>
      <c r="Z51" s="2367" t="s">
        <v>1816</v>
      </c>
      <c r="AA51" s="2367"/>
      <c r="AB51" s="2367"/>
      <c r="AC51" s="2367"/>
      <c r="AD51" s="2367"/>
      <c r="AE51" s="2367"/>
      <c r="AF51" s="2367"/>
      <c r="AG51" s="2367"/>
      <c r="AH51" s="2367" t="s">
        <v>1817</v>
      </c>
      <c r="AI51" s="2367"/>
      <c r="AJ51" s="2367"/>
      <c r="AK51" s="2367"/>
      <c r="AL51" s="2367"/>
      <c r="AM51" s="2367"/>
      <c r="AN51" s="2367"/>
      <c r="AO51" s="23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6" t="s">
        <v>2183</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6" t="s">
        <v>2184</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9" t="s">
        <v>1696</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1" t="s">
        <v>1815</v>
      </c>
      <c r="C59" s="2392"/>
      <c r="D59" s="2392"/>
      <c r="E59" s="2392"/>
      <c r="F59" s="2392"/>
      <c r="G59" s="2392"/>
      <c r="H59" s="2392"/>
      <c r="I59" s="2393"/>
      <c r="J59" s="2277" t="s">
        <v>2477</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6"/>
      <c r="AY59" s="1206"/>
      <c r="AZ59" s="1206"/>
      <c r="BA59" s="1206"/>
      <c r="BB59" s="1206"/>
      <c r="BC59" s="1206"/>
      <c r="BD59" s="1206"/>
      <c r="BE59" s="1202"/>
    </row>
    <row r="60" spans="1:58" ht="15.75" customHeight="1">
      <c r="A60" s="1206"/>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6"/>
      <c r="AY60" s="1206"/>
      <c r="AZ60" s="1206"/>
      <c r="BA60" s="1206"/>
      <c r="BB60" s="1206"/>
      <c r="BC60" s="1206"/>
      <c r="BD60" s="1206"/>
      <c r="BE60" s="1202"/>
    </row>
    <row r="61" spans="1:58" ht="15.75" customHeight="1">
      <c r="A61" s="1206"/>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6"/>
      <c r="AY61" s="1206"/>
      <c r="AZ61" s="1206"/>
      <c r="BA61" s="1206"/>
      <c r="BB61" s="1206"/>
      <c r="BC61" s="1206"/>
      <c r="BD61" s="1206"/>
      <c r="BE61" s="1202"/>
    </row>
    <row r="62" spans="1:58" ht="15.75" customHeight="1">
      <c r="A62" s="1206"/>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6"/>
      <c r="AY62" s="1206"/>
      <c r="AZ62" s="1206"/>
      <c r="BA62" s="1206"/>
      <c r="BB62" s="1206"/>
      <c r="BC62" s="1206"/>
      <c r="BD62" s="1206"/>
      <c r="BE62" s="1202"/>
    </row>
    <row r="63" spans="1:58" ht="15.75" customHeight="1">
      <c r="A63" s="1206"/>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6"/>
      <c r="AY63" s="1206"/>
      <c r="AZ63" s="1206"/>
      <c r="BA63" s="1206"/>
      <c r="BB63" s="1206"/>
      <c r="BC63" s="1206"/>
      <c r="BD63" s="1206"/>
      <c r="BE63" s="1202"/>
    </row>
    <row r="64" spans="1:58" ht="15.75" customHeight="1" thickBot="1">
      <c r="A64" s="1206"/>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6" t="s">
        <v>1819</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6"/>
      <c r="AC68" s="2469" t="s">
        <v>1820</v>
      </c>
      <c r="AD68" s="2470"/>
      <c r="AE68" s="2470"/>
      <c r="AF68" s="2470"/>
      <c r="AG68" s="2470"/>
      <c r="AH68" s="2470"/>
      <c r="AI68" s="2470"/>
      <c r="AJ68" s="2470"/>
      <c r="AK68" s="2470"/>
      <c r="AL68" s="2470"/>
      <c r="AM68" s="2470"/>
      <c r="AN68" s="2470"/>
      <c r="AO68" s="2470"/>
      <c r="AP68" s="2470"/>
      <c r="AQ68" s="2470"/>
      <c r="AR68" s="2470"/>
      <c r="AS68" s="2470"/>
      <c r="AT68" s="2470"/>
      <c r="AU68" s="2470"/>
      <c r="AV68" s="2596" t="s">
        <v>677</v>
      </c>
      <c r="AW68" s="2429"/>
      <c r="AX68" s="2429"/>
      <c r="AY68" s="2429"/>
      <c r="AZ68" s="2429"/>
      <c r="BA68" s="2429"/>
      <c r="BB68" s="2429"/>
      <c r="BC68" s="2430"/>
      <c r="BD68" s="1206"/>
      <c r="BE68" s="1202"/>
      <c r="BM68" s="1251" t="s">
        <v>2478</v>
      </c>
    </row>
    <row r="69" spans="1:65" ht="15.75" customHeight="1" thickTop="1" thickBot="1">
      <c r="A69" s="1206"/>
      <c r="B69" s="2597" t="s">
        <v>1821</v>
      </c>
      <c r="C69" s="2598"/>
      <c r="D69" s="2598"/>
      <c r="E69" s="2598"/>
      <c r="F69" s="2598"/>
      <c r="G69" s="2598"/>
      <c r="H69" s="2598"/>
      <c r="I69" s="2598"/>
      <c r="J69" s="2598"/>
      <c r="K69" s="2598"/>
      <c r="L69" s="2598"/>
      <c r="M69" s="2598"/>
      <c r="N69" s="2598"/>
      <c r="O69" s="2599" t="s">
        <v>1822</v>
      </c>
      <c r="P69" s="2600"/>
      <c r="Q69" s="2600"/>
      <c r="R69" s="2600"/>
      <c r="S69" s="2600"/>
      <c r="T69" s="2600"/>
      <c r="U69" s="2600"/>
      <c r="V69" s="2600"/>
      <c r="W69" s="2600"/>
      <c r="X69" s="2600"/>
      <c r="Y69" s="2600"/>
      <c r="Z69" s="2600"/>
      <c r="AA69" s="2601"/>
      <c r="AB69" s="1206"/>
      <c r="AC69" s="2602" t="s">
        <v>1823</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6"/>
      <c r="BE69" s="1202"/>
      <c r="BM69" s="1250" t="s">
        <v>553</v>
      </c>
    </row>
    <row r="70" spans="1:65" ht="15.75" customHeight="1">
      <c r="A70" s="1206"/>
      <c r="B70" s="2324" t="s">
        <v>2479</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6"/>
      <c r="AC70" s="2364" t="s">
        <v>1824</v>
      </c>
      <c r="AD70" s="2365"/>
      <c r="AE70" s="2365"/>
      <c r="AF70" s="2408"/>
      <c r="AG70" s="2408"/>
      <c r="AH70" s="2408"/>
      <c r="AI70" s="2408"/>
      <c r="AJ70" s="2408"/>
      <c r="AK70" s="2408"/>
      <c r="AL70" s="2408"/>
      <c r="AM70" s="2408"/>
      <c r="AN70" s="2408"/>
      <c r="AO70" s="2408"/>
      <c r="AP70" s="2408"/>
      <c r="AQ70" s="2408"/>
      <c r="AR70" s="2408"/>
      <c r="AS70" s="2408"/>
      <c r="AT70" s="2408"/>
      <c r="AU70" s="2409"/>
      <c r="AV70" s="1206"/>
      <c r="AW70" s="1206"/>
      <c r="AX70" s="1206"/>
      <c r="AY70" s="1206"/>
      <c r="AZ70" s="1206"/>
      <c r="BA70" s="1206"/>
      <c r="BB70" s="1206"/>
      <c r="BC70" s="1206"/>
      <c r="BD70" s="1206"/>
      <c r="BE70" s="1202"/>
      <c r="BM70" s="1249" t="s">
        <v>677</v>
      </c>
    </row>
    <row r="71" spans="1:65" ht="15.75" customHeight="1" thickBot="1">
      <c r="A71" s="1206"/>
      <c r="B71" s="2324" t="s">
        <v>2480</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6"/>
      <c r="AC71" s="2410" t="s">
        <v>1825</v>
      </c>
      <c r="AD71" s="2411"/>
      <c r="AE71" s="2411"/>
      <c r="AF71" s="2395"/>
      <c r="AG71" s="2395"/>
      <c r="AH71" s="2395"/>
      <c r="AI71" s="2395"/>
      <c r="AJ71" s="2395"/>
      <c r="AK71" s="2395"/>
      <c r="AL71" s="2395"/>
      <c r="AM71" s="2395"/>
      <c r="AN71" s="2395"/>
      <c r="AO71" s="2395"/>
      <c r="AP71" s="2395"/>
      <c r="AQ71" s="2395"/>
      <c r="AR71" s="2395"/>
      <c r="AS71" s="2395"/>
      <c r="AT71" s="2395"/>
      <c r="AU71" s="2396"/>
      <c r="AV71" s="1206"/>
      <c r="AW71" s="1206"/>
      <c r="AX71" s="1206"/>
      <c r="AY71" s="1206"/>
      <c r="AZ71" s="1206"/>
      <c r="BA71" s="1206"/>
      <c r="BB71" s="1206"/>
      <c r="BC71" s="1206"/>
      <c r="BD71" s="1206"/>
      <c r="BE71" s="1202"/>
      <c r="BM71" s="1197" t="s">
        <v>2481</v>
      </c>
    </row>
    <row r="72" spans="1:65" ht="15.75" customHeight="1">
      <c r="A72" s="1206"/>
      <c r="B72" s="2324" t="s">
        <v>2482</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6"/>
      <c r="AC72" s="2611" t="s">
        <v>2483</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6"/>
      <c r="BE72" s="1202"/>
    </row>
    <row r="73" spans="1:65" ht="15.75" customHeight="1">
      <c r="A73" s="1206"/>
      <c r="B73" s="2356" t="s">
        <v>2484</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6"/>
      <c r="AC73" s="2397" t="s">
        <v>2185</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75" customHeight="1">
      <c r="A74" s="1206"/>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75" customHeight="1" thickBot="1">
      <c r="A75" s="1206"/>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9"/>
      <c r="G79" s="2590"/>
      <c r="H79" s="2590"/>
      <c r="I79" s="2590"/>
      <c r="J79" s="2590"/>
      <c r="K79" s="2590"/>
      <c r="L79" s="2590"/>
      <c r="M79" s="2591"/>
      <c r="N79" s="2591"/>
      <c r="O79" s="2591"/>
      <c r="P79" s="2591"/>
      <c r="Q79" s="259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93" t="e">
        <f>BR96/SUM($BR$96:$BR$98)</f>
        <v>#DIV/0!</v>
      </c>
      <c r="P80" s="2594"/>
      <c r="Q80" s="259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7" t="s">
        <v>2549</v>
      </c>
      <c r="P81" s="2608"/>
      <c r="Q81" s="260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4" t="s">
        <v>2168</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6"/>
      <c r="AJ83" s="2250" t="s">
        <v>2616</v>
      </c>
      <c r="AK83" s="2251"/>
      <c r="AL83" s="2251"/>
      <c r="AM83" s="2251"/>
      <c r="AN83" s="2251"/>
      <c r="AO83" s="2251"/>
      <c r="AP83" s="2251"/>
      <c r="AQ83" s="2251"/>
      <c r="AR83" s="2251"/>
      <c r="AS83" s="2251"/>
      <c r="AT83" s="2251"/>
      <c r="AU83" s="2251"/>
      <c r="AV83" s="2251"/>
      <c r="AW83" s="2251"/>
      <c r="AX83" s="2251"/>
      <c r="AY83" s="2254" t="s">
        <v>553</v>
      </c>
      <c r="AZ83" s="2254"/>
      <c r="BA83" s="2254"/>
      <c r="BB83" s="2255"/>
      <c r="BC83" s="1206"/>
      <c r="BD83" s="1206"/>
      <c r="BE83" s="1202"/>
    </row>
    <row r="84" spans="1:70" ht="15.75" customHeight="1">
      <c r="A84" s="1206"/>
      <c r="B84" s="2209"/>
      <c r="C84" s="2210"/>
      <c r="D84" s="2210"/>
      <c r="E84" s="2210"/>
      <c r="F84" s="2210"/>
      <c r="G84" s="2210"/>
      <c r="H84" s="2210"/>
      <c r="I84" s="2210" t="s">
        <v>1826</v>
      </c>
      <c r="J84" s="2210"/>
      <c r="K84" s="2210"/>
      <c r="L84" s="2210"/>
      <c r="M84" s="2210"/>
      <c r="N84" s="2210"/>
      <c r="O84" s="2210" t="s">
        <v>1827</v>
      </c>
      <c r="P84" s="2210"/>
      <c r="Q84" s="2210"/>
      <c r="R84" s="2210"/>
      <c r="S84" s="2210"/>
      <c r="T84" s="2210"/>
      <c r="U84" s="2210"/>
      <c r="V84" s="2206" t="s">
        <v>2186</v>
      </c>
      <c r="W84" s="2206"/>
      <c r="X84" s="2206"/>
      <c r="Y84" s="2206"/>
      <c r="Z84" s="2206"/>
      <c r="AA84" s="2206"/>
      <c r="AB84" s="2207" t="s">
        <v>1828</v>
      </c>
      <c r="AC84" s="2207"/>
      <c r="AD84" s="2207"/>
      <c r="AE84" s="2207"/>
      <c r="AF84" s="2207"/>
      <c r="AG84" s="2207"/>
      <c r="AH84" s="2208"/>
      <c r="AI84" s="1206"/>
      <c r="AJ84" s="2252"/>
      <c r="AK84" s="2253"/>
      <c r="AL84" s="2253"/>
      <c r="AM84" s="2253"/>
      <c r="AN84" s="2253"/>
      <c r="AO84" s="2253"/>
      <c r="AP84" s="2253"/>
      <c r="AQ84" s="2253"/>
      <c r="AR84" s="2253"/>
      <c r="AS84" s="2253"/>
      <c r="AT84" s="2253"/>
      <c r="AU84" s="2253"/>
      <c r="AV84" s="2253"/>
      <c r="AW84" s="2253"/>
      <c r="AX84" s="2253"/>
      <c r="AY84" s="2256"/>
      <c r="AZ84" s="2256"/>
      <c r="BA84" s="2256"/>
      <c r="BB84" s="2257"/>
      <c r="BC84" s="1206"/>
      <c r="BD84" s="1206"/>
      <c r="BE84" s="1202"/>
    </row>
    <row r="85" spans="1:70" ht="15.75" customHeight="1">
      <c r="A85" s="1206"/>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6"/>
      <c r="AJ85" s="2252"/>
      <c r="AK85" s="2253"/>
      <c r="AL85" s="2253"/>
      <c r="AM85" s="2253"/>
      <c r="AN85" s="2253"/>
      <c r="AO85" s="2253"/>
      <c r="AP85" s="2253"/>
      <c r="AQ85" s="2253"/>
      <c r="AR85" s="2253"/>
      <c r="AS85" s="2253"/>
      <c r="AT85" s="2253"/>
      <c r="AU85" s="2253"/>
      <c r="AV85" s="2253"/>
      <c r="AW85" s="2253"/>
      <c r="AX85" s="2253"/>
      <c r="AY85" s="2256"/>
      <c r="AZ85" s="2256"/>
      <c r="BA85" s="2256"/>
      <c r="BB85" s="2257"/>
      <c r="BC85" s="1206"/>
      <c r="BD85" s="1206"/>
      <c r="BE85" s="1202"/>
    </row>
    <row r="86" spans="1:70" ht="15.75" customHeight="1">
      <c r="A86" s="1206"/>
      <c r="B86" s="2209" t="s">
        <v>2169</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6"/>
      <c r="AJ86" s="2252"/>
      <c r="AK86" s="2253"/>
      <c r="AL86" s="2253"/>
      <c r="AM86" s="2253"/>
      <c r="AN86" s="2253"/>
      <c r="AO86" s="2253"/>
      <c r="AP86" s="2253"/>
      <c r="AQ86" s="2253"/>
      <c r="AR86" s="2253"/>
      <c r="AS86" s="2253"/>
      <c r="AT86" s="2253"/>
      <c r="AU86" s="2253"/>
      <c r="AV86" s="2253"/>
      <c r="AW86" s="2253"/>
      <c r="AX86" s="2253"/>
      <c r="AY86" s="2256"/>
      <c r="AZ86" s="2256"/>
      <c r="BA86" s="2256"/>
      <c r="BB86" s="2257"/>
      <c r="BC86" s="1206"/>
      <c r="BD86" s="1206"/>
      <c r="BE86" s="1202"/>
    </row>
    <row r="87" spans="1:70" ht="15.75" customHeight="1">
      <c r="A87" s="1206"/>
      <c r="B87" s="2209" t="s">
        <v>2170</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6"/>
      <c r="AJ87" s="2223" t="s">
        <v>2485</v>
      </c>
      <c r="AK87" s="2224"/>
      <c r="AL87" s="2224"/>
      <c r="AM87" s="2224"/>
      <c r="AN87" s="2224"/>
      <c r="AO87" s="2224"/>
      <c r="AP87" s="2224"/>
      <c r="AQ87" s="2224"/>
      <c r="AR87" s="2224"/>
      <c r="AS87" s="2224"/>
      <c r="AT87" s="2224"/>
      <c r="AU87" s="2224"/>
      <c r="AV87" s="2224"/>
      <c r="AW87" s="2224"/>
      <c r="AX87" s="2224"/>
      <c r="AY87" s="2224"/>
      <c r="AZ87" s="2224"/>
      <c r="BA87" s="2224"/>
      <c r="BB87" s="2225"/>
      <c r="BC87" s="1206"/>
      <c r="BD87" s="1206"/>
      <c r="BE87" s="1202"/>
    </row>
    <row r="88" spans="1:70" ht="15.75" customHeight="1" thickBot="1">
      <c r="A88" s="1206"/>
      <c r="B88" s="2229" t="s">
        <v>1829</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6"/>
      <c r="AJ88" s="2226"/>
      <c r="AK88" s="2227"/>
      <c r="AL88" s="2227"/>
      <c r="AM88" s="2227"/>
      <c r="AN88" s="2227"/>
      <c r="AO88" s="2227"/>
      <c r="AP88" s="2227"/>
      <c r="AQ88" s="2227"/>
      <c r="AR88" s="2227"/>
      <c r="AS88" s="2227"/>
      <c r="AT88" s="2227"/>
      <c r="AU88" s="2227"/>
      <c r="AV88" s="2227"/>
      <c r="AW88" s="2227"/>
      <c r="AX88" s="2227"/>
      <c r="AY88" s="2227"/>
      <c r="AZ88" s="2227"/>
      <c r="BA88" s="2227"/>
      <c r="BB88" s="222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10"/>
      <c r="G92" s="2591"/>
      <c r="H92" s="2591"/>
      <c r="I92" s="2591"/>
      <c r="J92" s="2591"/>
      <c r="K92" s="2591"/>
      <c r="L92" s="2591"/>
      <c r="M92" s="2591"/>
      <c r="N92" s="2591"/>
      <c r="O92" s="2591"/>
      <c r="P92" s="2591"/>
      <c r="Q92" s="259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93" t="e">
        <f>BR97/SUM($BR$96:$BR$98)</f>
        <v>#DIV/0!</v>
      </c>
      <c r="P93" s="2594"/>
      <c r="Q93" s="259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7" t="s">
        <v>2549</v>
      </c>
      <c r="P94" s="2608"/>
      <c r="Q94" s="260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4" t="s">
        <v>2613</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6"/>
      <c r="AJ96" s="2250" t="s">
        <v>2612</v>
      </c>
      <c r="AK96" s="2251"/>
      <c r="AL96" s="2251"/>
      <c r="AM96" s="2251"/>
      <c r="AN96" s="2251"/>
      <c r="AO96" s="2251"/>
      <c r="AP96" s="2251"/>
      <c r="AQ96" s="2251"/>
      <c r="AR96" s="2251"/>
      <c r="AS96" s="2251"/>
      <c r="AT96" s="2251"/>
      <c r="AU96" s="2251"/>
      <c r="AV96" s="2251"/>
      <c r="AW96" s="2251"/>
      <c r="AX96" s="2251"/>
      <c r="AY96" s="2254" t="s">
        <v>553</v>
      </c>
      <c r="AZ96" s="2254"/>
      <c r="BA96" s="2254"/>
      <c r="BB96" s="2255"/>
      <c r="BC96" s="1206"/>
      <c r="BD96" s="1206"/>
      <c r="BE96" s="1202"/>
      <c r="BQ96" s="1245" t="str">
        <f>Application!M243</f>
        <v>CRP Hillcrest Hall AGP LLC</v>
      </c>
      <c r="BR96" s="1245">
        <f>Application!AH245</f>
        <v>0</v>
      </c>
    </row>
    <row r="97" spans="1:70" ht="15.75" customHeight="1">
      <c r="A97" s="1206"/>
      <c r="B97" s="2209"/>
      <c r="C97" s="2210"/>
      <c r="D97" s="2210"/>
      <c r="E97" s="2210"/>
      <c r="F97" s="2210"/>
      <c r="G97" s="2210"/>
      <c r="H97" s="2210"/>
      <c r="I97" s="2210" t="s">
        <v>1826</v>
      </c>
      <c r="J97" s="2210"/>
      <c r="K97" s="2210"/>
      <c r="L97" s="2210"/>
      <c r="M97" s="2210"/>
      <c r="N97" s="2210"/>
      <c r="O97" s="2210" t="s">
        <v>1827</v>
      </c>
      <c r="P97" s="2210"/>
      <c r="Q97" s="2210"/>
      <c r="R97" s="2210"/>
      <c r="S97" s="2210"/>
      <c r="T97" s="2210"/>
      <c r="U97" s="2210"/>
      <c r="V97" s="2206" t="s">
        <v>2186</v>
      </c>
      <c r="W97" s="2206"/>
      <c r="X97" s="2206"/>
      <c r="Y97" s="2206"/>
      <c r="Z97" s="2206"/>
      <c r="AA97" s="2206"/>
      <c r="AB97" s="2207" t="s">
        <v>1828</v>
      </c>
      <c r="AC97" s="2207"/>
      <c r="AD97" s="2207"/>
      <c r="AE97" s="2207"/>
      <c r="AF97" s="2207"/>
      <c r="AG97" s="2207"/>
      <c r="AH97" s="2208"/>
      <c r="AI97" s="1206"/>
      <c r="AJ97" s="2252"/>
      <c r="AK97" s="2253"/>
      <c r="AL97" s="2253"/>
      <c r="AM97" s="2253"/>
      <c r="AN97" s="2253"/>
      <c r="AO97" s="2253"/>
      <c r="AP97" s="2253"/>
      <c r="AQ97" s="2253"/>
      <c r="AR97" s="2253"/>
      <c r="AS97" s="2253"/>
      <c r="AT97" s="2253"/>
      <c r="AU97" s="2253"/>
      <c r="AV97" s="2253"/>
      <c r="AW97" s="2253"/>
      <c r="AX97" s="2253"/>
      <c r="AY97" s="2256"/>
      <c r="AZ97" s="2256"/>
      <c r="BA97" s="2256"/>
      <c r="BB97" s="2257"/>
      <c r="BC97" s="1206"/>
      <c r="BD97" s="1206"/>
      <c r="BE97" s="1202"/>
      <c r="BQ97" s="1245" t="str">
        <f>Application!M251</f>
        <v>E. Smith &amp; Company, Inc.</v>
      </c>
      <c r="BR97" s="1245">
        <f>Application!AH253</f>
        <v>0</v>
      </c>
    </row>
    <row r="98" spans="1:70" ht="15.75" customHeight="1">
      <c r="A98" s="1206"/>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6"/>
      <c r="AJ98" s="2252"/>
      <c r="AK98" s="2253"/>
      <c r="AL98" s="2253"/>
      <c r="AM98" s="2253"/>
      <c r="AN98" s="2253"/>
      <c r="AO98" s="2253"/>
      <c r="AP98" s="2253"/>
      <c r="AQ98" s="2253"/>
      <c r="AR98" s="2253"/>
      <c r="AS98" s="2253"/>
      <c r="AT98" s="2253"/>
      <c r="AU98" s="2253"/>
      <c r="AV98" s="2253"/>
      <c r="AW98" s="2253"/>
      <c r="AX98" s="2253"/>
      <c r="AY98" s="2256"/>
      <c r="AZ98" s="2256"/>
      <c r="BA98" s="2256"/>
      <c r="BB98" s="2257"/>
      <c r="BC98" s="1206"/>
      <c r="BD98" s="1206"/>
      <c r="BE98" s="1202"/>
      <c r="BQ98" s="1245" t="str">
        <f>Application!M259</f>
        <v>Bold Communities</v>
      </c>
      <c r="BR98" s="1245">
        <f>Application!AH261</f>
        <v>0</v>
      </c>
    </row>
    <row r="99" spans="1:70" ht="15.75" customHeight="1">
      <c r="A99" s="1206"/>
      <c r="B99" s="2209" t="s">
        <v>2169</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6"/>
      <c r="AJ99" s="2252"/>
      <c r="AK99" s="2253"/>
      <c r="AL99" s="2253"/>
      <c r="AM99" s="2253"/>
      <c r="AN99" s="2253"/>
      <c r="AO99" s="2253"/>
      <c r="AP99" s="2253"/>
      <c r="AQ99" s="2253"/>
      <c r="AR99" s="2253"/>
      <c r="AS99" s="2253"/>
      <c r="AT99" s="2253"/>
      <c r="AU99" s="2253"/>
      <c r="AV99" s="2253"/>
      <c r="AW99" s="2253"/>
      <c r="AX99" s="2253"/>
      <c r="AY99" s="2256"/>
      <c r="AZ99" s="2256"/>
      <c r="BA99" s="2256"/>
      <c r="BB99" s="2257"/>
      <c r="BC99" s="1206"/>
      <c r="BD99" s="1206"/>
      <c r="BE99" s="1202"/>
    </row>
    <row r="100" spans="1:70" ht="15.75" customHeight="1">
      <c r="A100" s="1206"/>
      <c r="B100" s="2209" t="s">
        <v>2170</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6"/>
      <c r="AJ100" s="2223" t="s">
        <v>2485</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6"/>
      <c r="BD100" s="1206"/>
      <c r="BE100" s="1202"/>
    </row>
    <row r="101" spans="1:70" ht="15.75" customHeight="1" thickBot="1">
      <c r="A101" s="1206"/>
      <c r="B101" s="2229" t="s">
        <v>1829</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6"/>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8"/>
      <c r="G104" s="2549"/>
      <c r="H104" s="2549"/>
      <c r="I104" s="2549"/>
      <c r="J104" s="2549"/>
      <c r="K104" s="2549"/>
      <c r="L104" s="2549"/>
      <c r="M104" s="2549"/>
      <c r="N104" s="2549"/>
      <c r="O104" s="2549"/>
      <c r="P104" s="2549"/>
      <c r="Q104" s="2549"/>
      <c r="R104" s="255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7" t="e">
        <f>BR98/SUM(BR96:BR98)</f>
        <v>#DIV/0!</v>
      </c>
      <c r="P105" s="2608"/>
      <c r="Q105" s="2608"/>
      <c r="R105" s="260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9" t="s">
        <v>2609</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9"/>
      <c r="C108" s="2210"/>
      <c r="D108" s="2210"/>
      <c r="E108" s="2210"/>
      <c r="F108" s="2210"/>
      <c r="G108" s="2210"/>
      <c r="H108" s="2210"/>
      <c r="I108" s="2210" t="s">
        <v>1826</v>
      </c>
      <c r="J108" s="2210"/>
      <c r="K108" s="2210"/>
      <c r="L108" s="2210"/>
      <c r="M108" s="2210"/>
      <c r="N108" s="2210"/>
      <c r="O108" s="2210" t="s">
        <v>1827</v>
      </c>
      <c r="P108" s="2210"/>
      <c r="Q108" s="2210"/>
      <c r="R108" s="2210"/>
      <c r="S108" s="2210"/>
      <c r="T108" s="2210"/>
      <c r="U108" s="2210"/>
      <c r="V108" s="2206" t="s">
        <v>2186</v>
      </c>
      <c r="W108" s="2206"/>
      <c r="X108" s="2206"/>
      <c r="Y108" s="2206"/>
      <c r="Z108" s="2206"/>
      <c r="AA108" s="2206"/>
      <c r="AB108" s="2207" t="s">
        <v>1828</v>
      </c>
      <c r="AC108" s="2207"/>
      <c r="AD108" s="2207"/>
      <c r="AE108" s="2207"/>
      <c r="AF108" s="2207"/>
      <c r="AG108" s="2207"/>
      <c r="AH108" s="220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9" t="s">
        <v>2169</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9" t="s">
        <v>2170</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9" t="s">
        <v>1829</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8"/>
      <c r="G115" s="2549"/>
      <c r="H115" s="2549"/>
      <c r="I115" s="2549"/>
      <c r="J115" s="2549"/>
      <c r="K115" s="2549"/>
      <c r="L115" s="2549"/>
      <c r="M115" s="2549"/>
      <c r="N115" s="2549"/>
      <c r="O115" s="2549"/>
      <c r="P115" s="2549"/>
      <c r="Q115" s="2549"/>
      <c r="R115" s="255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50" t="s">
        <v>2486</v>
      </c>
      <c r="C117" s="2251"/>
      <c r="D117" s="2251"/>
      <c r="E117" s="2251"/>
      <c r="F117" s="2251"/>
      <c r="G117" s="2251"/>
      <c r="H117" s="2251"/>
      <c r="I117" s="2251"/>
      <c r="J117" s="2251"/>
      <c r="K117" s="2251"/>
      <c r="L117" s="2251"/>
      <c r="M117" s="2251"/>
      <c r="N117" s="2251"/>
      <c r="O117" s="2251"/>
      <c r="P117" s="2251"/>
      <c r="Q117" s="2254" t="s">
        <v>553</v>
      </c>
      <c r="R117" s="2254"/>
      <c r="S117" s="2254"/>
      <c r="T117" s="225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2"/>
      <c r="C118" s="2253"/>
      <c r="D118" s="2253"/>
      <c r="E118" s="2253"/>
      <c r="F118" s="2253"/>
      <c r="G118" s="2253"/>
      <c r="H118" s="2253"/>
      <c r="I118" s="2253"/>
      <c r="J118" s="2253"/>
      <c r="K118" s="2253"/>
      <c r="L118" s="2253"/>
      <c r="M118" s="2253"/>
      <c r="N118" s="2253"/>
      <c r="O118" s="2253"/>
      <c r="P118" s="2253"/>
      <c r="Q118" s="2256"/>
      <c r="R118" s="2256"/>
      <c r="S118" s="2256"/>
      <c r="T118" s="225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2"/>
      <c r="C119" s="2253"/>
      <c r="D119" s="2253"/>
      <c r="E119" s="2253"/>
      <c r="F119" s="2253"/>
      <c r="G119" s="2253"/>
      <c r="H119" s="2253"/>
      <c r="I119" s="2253"/>
      <c r="J119" s="2253"/>
      <c r="K119" s="2253"/>
      <c r="L119" s="2253"/>
      <c r="M119" s="2253"/>
      <c r="N119" s="2253"/>
      <c r="O119" s="2253"/>
      <c r="P119" s="2253"/>
      <c r="Q119" s="2256"/>
      <c r="R119" s="2256"/>
      <c r="S119" s="2256"/>
      <c r="T119" s="225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2"/>
      <c r="C120" s="2253"/>
      <c r="D120" s="2253"/>
      <c r="E120" s="2253"/>
      <c r="F120" s="2253"/>
      <c r="G120" s="2253"/>
      <c r="H120" s="2253"/>
      <c r="I120" s="2253"/>
      <c r="J120" s="2253"/>
      <c r="K120" s="2253"/>
      <c r="L120" s="2253"/>
      <c r="M120" s="2253"/>
      <c r="N120" s="2253"/>
      <c r="O120" s="2253"/>
      <c r="P120" s="2253"/>
      <c r="Q120" s="2256"/>
      <c r="R120" s="2256"/>
      <c r="S120" s="2256"/>
      <c r="T120" s="225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3" t="s">
        <v>2187</v>
      </c>
      <c r="C121" s="2224"/>
      <c r="D121" s="2224"/>
      <c r="E121" s="2224"/>
      <c r="F121" s="2224"/>
      <c r="G121" s="2224"/>
      <c r="H121" s="2224"/>
      <c r="I121" s="2224"/>
      <c r="J121" s="2224"/>
      <c r="K121" s="2224"/>
      <c r="L121" s="2224"/>
      <c r="M121" s="2224"/>
      <c r="N121" s="2224"/>
      <c r="O121" s="2224"/>
      <c r="P121" s="2224"/>
      <c r="Q121" s="2224"/>
      <c r="R121" s="2224"/>
      <c r="S121" s="2224"/>
      <c r="T121" s="222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6"/>
      <c r="C122" s="2227"/>
      <c r="D122" s="2227"/>
      <c r="E122" s="2227"/>
      <c r="F122" s="2227"/>
      <c r="G122" s="2227"/>
      <c r="H122" s="2227"/>
      <c r="I122" s="2227"/>
      <c r="J122" s="2227"/>
      <c r="K122" s="2227"/>
      <c r="L122" s="2227"/>
      <c r="M122" s="2227"/>
      <c r="N122" s="2227"/>
      <c r="O122" s="2227"/>
      <c r="P122" s="2227"/>
      <c r="Q122" s="2227"/>
      <c r="R122" s="2227"/>
      <c r="S122" s="2227"/>
      <c r="T122" s="222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50" t="s">
        <v>2171</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2"/>
    </row>
    <row r="126" spans="1:57" ht="15.75" customHeight="1">
      <c r="A126" s="1206"/>
      <c r="B126" s="2414" t="s">
        <v>1686</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6"/>
      <c r="W126" s="1206"/>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2"/>
    </row>
    <row r="127" spans="1:57" ht="15.75" customHeight="1">
      <c r="A127" s="1206"/>
      <c r="B127" s="2417"/>
      <c r="C127" s="2418"/>
      <c r="D127" s="2418"/>
      <c r="E127" s="2418"/>
      <c r="F127" s="2418"/>
      <c r="G127" s="2418"/>
      <c r="H127" s="2418"/>
      <c r="I127" s="2210" t="s">
        <v>2172</v>
      </c>
      <c r="J127" s="2210"/>
      <c r="K127" s="2210"/>
      <c r="L127" s="2210"/>
      <c r="M127" s="2210"/>
      <c r="N127" s="2210"/>
      <c r="O127" s="2419" t="s">
        <v>2173</v>
      </c>
      <c r="P127" s="2419"/>
      <c r="Q127" s="2419"/>
      <c r="R127" s="2419"/>
      <c r="S127" s="2419"/>
      <c r="T127" s="2419"/>
      <c r="U127" s="2420"/>
      <c r="V127" s="1206"/>
      <c r="W127" s="1206"/>
      <c r="X127" s="2397" t="s">
        <v>2185</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75" customHeight="1">
      <c r="A128" s="1206"/>
      <c r="B128" s="2423" t="s">
        <v>2174</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75" customHeight="1" thickBot="1">
      <c r="A129" s="1206"/>
      <c r="B129" s="2425" t="s">
        <v>2175</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75" customHeight="1">
      <c r="A133" s="1206"/>
      <c r="B133" s="2276" t="s">
        <v>1832</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75" customHeight="1">
      <c r="A134" s="1206"/>
      <c r="B134" s="2417"/>
      <c r="C134" s="2418"/>
      <c r="D134" s="2418"/>
      <c r="E134" s="2418"/>
      <c r="F134" s="2418"/>
      <c r="G134" s="2418"/>
      <c r="H134" s="2418"/>
      <c r="I134" s="2441" t="s">
        <v>1827</v>
      </c>
      <c r="J134" s="2441"/>
      <c r="K134" s="2441"/>
      <c r="L134" s="2441"/>
      <c r="M134" s="2441"/>
      <c r="N134" s="2441"/>
      <c r="O134" s="2441"/>
      <c r="P134" s="2441" t="s">
        <v>2186</v>
      </c>
      <c r="Q134" s="2441"/>
      <c r="R134" s="2441"/>
      <c r="S134" s="2441"/>
      <c r="T134" s="2441"/>
      <c r="U134" s="2442"/>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75" customHeight="1">
      <c r="A135" s="1206"/>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75" customHeight="1">
      <c r="A136" s="1206"/>
      <c r="B136" s="2423" t="s">
        <v>2174</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75" customHeight="1" thickBot="1">
      <c r="A137" s="1206"/>
      <c r="B137" s="2425" t="s">
        <v>2175</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7" t="s">
        <v>1833</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553</v>
      </c>
      <c r="AI139" s="2429"/>
      <c r="AJ139" s="2429"/>
      <c r="AK139" s="2429"/>
      <c r="AL139" s="2429"/>
      <c r="AM139" s="2429"/>
      <c r="AN139" s="2429"/>
      <c r="AO139" s="2429"/>
      <c r="AP139" s="2429"/>
      <c r="AQ139" s="2429"/>
      <c r="AR139" s="2429"/>
      <c r="AS139" s="2429"/>
      <c r="AT139" s="2429"/>
      <c r="AU139" s="2429"/>
      <c r="AV139" s="2429"/>
      <c r="AW139" s="2429"/>
      <c r="AX139" s="2430"/>
      <c r="AY139" s="1206"/>
      <c r="AZ139" s="1206"/>
      <c r="BA139" s="1206"/>
      <c r="BB139" s="1206"/>
      <c r="BC139" s="1206"/>
      <c r="BD139" s="1206"/>
      <c r="BE139" s="1202"/>
    </row>
    <row r="140" spans="1:57" ht="15.75" customHeight="1">
      <c r="A140" s="1206"/>
      <c r="B140" s="2431" t="s">
        <v>1834</v>
      </c>
      <c r="C140" s="2432"/>
      <c r="D140" s="2432"/>
      <c r="E140" s="2432"/>
      <c r="F140" s="2432"/>
      <c r="G140" s="2432"/>
      <c r="H140" s="2432"/>
      <c r="I140" s="2432"/>
      <c r="J140" s="2432"/>
      <c r="K140" s="2432"/>
      <c r="L140" s="2432"/>
      <c r="M140" s="2432"/>
      <c r="N140" s="2432"/>
      <c r="O140" s="2432"/>
      <c r="P140" s="2432"/>
      <c r="Q140" s="2432"/>
      <c r="R140" s="2433" t="s">
        <v>2188</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6"/>
      <c r="AZ140" s="1206"/>
      <c r="BA140" s="1206"/>
      <c r="BB140" s="1206"/>
      <c r="BC140" s="1206" t="s">
        <v>251</v>
      </c>
      <c r="BD140" s="1206"/>
      <c r="BE140" s="1202"/>
    </row>
    <row r="141" spans="1:57" ht="15.75" customHeight="1">
      <c r="A141" s="1206"/>
      <c r="B141" s="2435" t="s">
        <v>2189</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6"/>
      <c r="AZ141" s="1206"/>
      <c r="BA141" s="1206"/>
      <c r="BB141" s="1206"/>
      <c r="BC141" s="1206"/>
      <c r="BD141" s="1206"/>
      <c r="BE141" s="1202"/>
    </row>
    <row r="142" spans="1:57" ht="15.75" customHeight="1">
      <c r="A142" s="1206"/>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6"/>
      <c r="AZ142" s="1206"/>
      <c r="BA142" s="1206"/>
      <c r="BB142" s="1206"/>
      <c r="BC142" s="1206"/>
      <c r="BD142" s="1206"/>
      <c r="BE142" s="1202"/>
    </row>
    <row r="143" spans="1:57" ht="15.75" customHeight="1">
      <c r="A143" s="1206"/>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6"/>
      <c r="AZ143" s="1206"/>
      <c r="BA143" s="1206"/>
      <c r="BB143" s="1206"/>
      <c r="BC143" s="1206"/>
      <c r="BD143" s="1206"/>
      <c r="BE143" s="1202"/>
    </row>
    <row r="144" spans="1:57" ht="15.75" customHeight="1">
      <c r="A144" s="1206"/>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6"/>
      <c r="AZ144" s="1206"/>
      <c r="BA144" s="1206"/>
      <c r="BB144" s="1206"/>
      <c r="BC144" s="1206"/>
      <c r="BD144" s="1206"/>
      <c r="BE144" s="1202"/>
    </row>
    <row r="145" spans="1:57" ht="15.75" customHeight="1">
      <c r="A145" s="1206"/>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6"/>
      <c r="AZ145" s="1206"/>
      <c r="BA145" s="1206"/>
      <c r="BB145" s="1206"/>
      <c r="BC145" s="1206"/>
      <c r="BD145" s="1206"/>
      <c r="BE145" s="1202"/>
    </row>
    <row r="146" spans="1:57" ht="15.75" customHeight="1">
      <c r="A146" s="1206"/>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6"/>
      <c r="AZ146" s="1206"/>
      <c r="BA146" s="1206"/>
      <c r="BB146" s="1206"/>
      <c r="BC146" s="1206"/>
      <c r="BD146" s="1206"/>
      <c r="BE146" s="1202"/>
    </row>
    <row r="147" spans="1:57" ht="15.75" customHeight="1">
      <c r="A147" s="1206"/>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6"/>
      <c r="AZ147" s="1206"/>
      <c r="BA147" s="1206"/>
      <c r="BB147" s="1206"/>
      <c r="BC147" s="1206"/>
      <c r="BD147" s="1206"/>
      <c r="BE147" s="1202"/>
    </row>
    <row r="148" spans="1:57" ht="15.75" customHeight="1">
      <c r="A148" s="1206"/>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6"/>
      <c r="AZ148" s="1206"/>
      <c r="BA148" s="1206"/>
      <c r="BB148" s="1206"/>
      <c r="BC148" s="1206"/>
      <c r="BD148" s="1206"/>
      <c r="BE148" s="1202"/>
    </row>
    <row r="149" spans="1:57" ht="15.75" customHeight="1">
      <c r="A149" s="1206"/>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6"/>
      <c r="AZ149" s="1206"/>
      <c r="BA149" s="1206"/>
      <c r="BB149" s="1206"/>
      <c r="BC149" s="1206"/>
      <c r="BD149" s="1206"/>
      <c r="BE149" s="1202"/>
    </row>
    <row r="150" spans="1:57" ht="15.75" customHeight="1" thickBot="1">
      <c r="A150" s="1206"/>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4" t="s">
        <v>1836</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6"/>
      <c r="W154" s="1214"/>
      <c r="X154" s="2364" t="s">
        <v>2191</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7"/>
      <c r="C155" s="2418"/>
      <c r="D155" s="2418"/>
      <c r="E155" s="2418"/>
      <c r="F155" s="2418"/>
      <c r="G155" s="2418"/>
      <c r="H155" s="2418"/>
      <c r="I155" s="2441" t="s">
        <v>1827</v>
      </c>
      <c r="J155" s="2441"/>
      <c r="K155" s="2441"/>
      <c r="L155" s="2441"/>
      <c r="M155" s="2441"/>
      <c r="N155" s="2441"/>
      <c r="O155" s="2441"/>
      <c r="P155" s="2441" t="s">
        <v>2192</v>
      </c>
      <c r="Q155" s="2441"/>
      <c r="R155" s="2441"/>
      <c r="S155" s="2441"/>
      <c r="T155" s="2441"/>
      <c r="U155" s="2442"/>
      <c r="V155" s="1206"/>
      <c r="W155" s="1206"/>
      <c r="X155" s="2417"/>
      <c r="Y155" s="2418"/>
      <c r="Z155" s="2418"/>
      <c r="AA155" s="2418"/>
      <c r="AB155" s="2418"/>
      <c r="AC155" s="2418"/>
      <c r="AD155" s="2418"/>
      <c r="AE155" s="2441" t="s">
        <v>1827</v>
      </c>
      <c r="AF155" s="2441"/>
      <c r="AG155" s="2441"/>
      <c r="AH155" s="2441"/>
      <c r="AI155" s="2441"/>
      <c r="AJ155" s="2441"/>
      <c r="AK155" s="2441"/>
      <c r="AL155" s="2441" t="s">
        <v>2186</v>
      </c>
      <c r="AM155" s="2441"/>
      <c r="AN155" s="2441"/>
      <c r="AO155" s="2441"/>
      <c r="AP155" s="2441"/>
      <c r="AQ155" s="2442"/>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6"/>
      <c r="W156" s="1206"/>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3" t="s">
        <v>2174</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6"/>
      <c r="W157" s="1206"/>
      <c r="X157" s="2425" t="s">
        <v>2174</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5" t="s">
        <v>2175</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4" t="s">
        <v>2176</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7" t="s">
        <v>1837</v>
      </c>
      <c r="D161" s="2418"/>
      <c r="E161" s="2418"/>
      <c r="F161" s="2418"/>
      <c r="G161" s="2418"/>
      <c r="H161" s="2418"/>
      <c r="I161" s="2418"/>
      <c r="J161" s="2418"/>
      <c r="K161" s="2418"/>
      <c r="L161" s="2418"/>
      <c r="M161" s="2418"/>
      <c r="N161" s="2418"/>
      <c r="O161" s="2418"/>
      <c r="P161" s="2418"/>
      <c r="Q161" s="2418" t="s">
        <v>1838</v>
      </c>
      <c r="R161" s="2418"/>
      <c r="S161" s="2418"/>
      <c r="T161" s="2207" t="s">
        <v>2177</v>
      </c>
      <c r="U161" s="2207"/>
      <c r="V161" s="2207"/>
      <c r="W161" s="2207"/>
      <c r="X161" s="2207"/>
      <c r="Y161" s="2207"/>
      <c r="Z161" s="2207"/>
      <c r="AA161" s="2207"/>
      <c r="AB161" s="2418" t="s">
        <v>1839</v>
      </c>
      <c r="AC161" s="2418"/>
      <c r="AD161" s="2418"/>
      <c r="AE161" s="2418"/>
      <c r="AF161" s="2418"/>
      <c r="AG161" s="244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4" t="s">
        <v>1840</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4" t="s">
        <v>1841</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4" t="s">
        <v>1842</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4" t="s">
        <v>1813</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4" t="s">
        <v>170</v>
      </c>
      <c r="D166" s="2445"/>
      <c r="E166" s="2445"/>
      <c r="F166" s="2451" t="s">
        <v>1843</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4" t="s">
        <v>170</v>
      </c>
      <c r="D167" s="2445"/>
      <c r="E167" s="2445"/>
      <c r="F167" s="2451" t="s">
        <v>1843</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2" t="s">
        <v>170</v>
      </c>
      <c r="D168" s="2453"/>
      <c r="E168" s="2453"/>
      <c r="F168" s="2454" t="s">
        <v>1843</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9" t="s">
        <v>1844</v>
      </c>
      <c r="D170" s="2470"/>
      <c r="E170" s="2470"/>
      <c r="F170" s="2470"/>
      <c r="G170" s="2470"/>
      <c r="H170" s="2470"/>
      <c r="I170" s="2470"/>
      <c r="J170" s="2470"/>
      <c r="K170" s="2470"/>
      <c r="L170" s="2470"/>
      <c r="M170" s="2470"/>
      <c r="N170" s="2471"/>
      <c r="O170" s="1206"/>
      <c r="P170" s="2427" t="s">
        <v>1845</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7" t="s">
        <v>1846</v>
      </c>
      <c r="D171" s="2418"/>
      <c r="E171" s="2418"/>
      <c r="F171" s="2418"/>
      <c r="G171" s="2418"/>
      <c r="H171" s="2418"/>
      <c r="I171" s="2418" t="s">
        <v>1847</v>
      </c>
      <c r="J171" s="2418"/>
      <c r="K171" s="2418"/>
      <c r="L171" s="2418"/>
      <c r="M171" s="2418"/>
      <c r="N171" s="2443"/>
      <c r="O171" s="1206"/>
      <c r="P171" s="2397" t="s">
        <v>2185</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3"/>
      <c r="D172" s="2373"/>
      <c r="E172" s="2373"/>
      <c r="F172" s="2373"/>
      <c r="G172" s="2373"/>
      <c r="H172" s="2373"/>
      <c r="I172" s="2447"/>
      <c r="J172" s="2447"/>
      <c r="K172" s="2447"/>
      <c r="L172" s="2447"/>
      <c r="M172" s="2447"/>
      <c r="N172" s="2473"/>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3"/>
      <c r="D173" s="2373"/>
      <c r="E173" s="2373"/>
      <c r="F173" s="2373"/>
      <c r="G173" s="2373"/>
      <c r="H173" s="2373"/>
      <c r="I173" s="2447"/>
      <c r="J173" s="2447"/>
      <c r="K173" s="2447"/>
      <c r="L173" s="2447"/>
      <c r="M173" s="2447"/>
      <c r="N173" s="2473"/>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3"/>
      <c r="D174" s="2373"/>
      <c r="E174" s="2373"/>
      <c r="F174" s="2373"/>
      <c r="G174" s="2373"/>
      <c r="H174" s="2373"/>
      <c r="I174" s="2447"/>
      <c r="J174" s="2447"/>
      <c r="K174" s="2447"/>
      <c r="L174" s="2447"/>
      <c r="M174" s="2447"/>
      <c r="N174" s="2473"/>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3"/>
      <c r="D175" s="2373"/>
      <c r="E175" s="2373"/>
      <c r="F175" s="2373"/>
      <c r="G175" s="2373"/>
      <c r="H175" s="2373"/>
      <c r="I175" s="2447"/>
      <c r="J175" s="2447"/>
      <c r="K175" s="2447"/>
      <c r="L175" s="2447"/>
      <c r="M175" s="2447"/>
      <c r="N175" s="2473"/>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3"/>
      <c r="D176" s="2373"/>
      <c r="E176" s="2373"/>
      <c r="F176" s="2373"/>
      <c r="G176" s="2373"/>
      <c r="H176" s="2373"/>
      <c r="I176" s="2447"/>
      <c r="J176" s="2447"/>
      <c r="K176" s="2447"/>
      <c r="L176" s="2447"/>
      <c r="M176" s="2447"/>
      <c r="N176" s="2473"/>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3"/>
      <c r="D177" s="2373"/>
      <c r="E177" s="2373"/>
      <c r="F177" s="2373"/>
      <c r="G177" s="2373"/>
      <c r="H177" s="2373"/>
      <c r="I177" s="2447"/>
      <c r="J177" s="2447"/>
      <c r="K177" s="2447"/>
      <c r="L177" s="2447"/>
      <c r="M177" s="2447"/>
      <c r="N177" s="2473"/>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9"/>
      <c r="D178" s="2460"/>
      <c r="E178" s="2460"/>
      <c r="F178" s="2460"/>
      <c r="G178" s="2460"/>
      <c r="H178" s="2460"/>
      <c r="I178" s="2461"/>
      <c r="J178" s="2461"/>
      <c r="K178" s="2461"/>
      <c r="L178" s="2461"/>
      <c r="M178" s="2461"/>
      <c r="N178" s="2462"/>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3" t="s">
        <v>2487</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6"/>
      <c r="AG180" s="1206"/>
      <c r="AH180" s="2218" t="s">
        <v>2602</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6"/>
      <c r="B181" s="1206"/>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6"/>
      <c r="AG181" s="1206"/>
      <c r="AH181" s="2221" t="s">
        <v>2623</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6"/>
      <c r="B182" s="1206"/>
      <c r="C182" s="2469" t="s">
        <v>1837</v>
      </c>
      <c r="D182" s="2470"/>
      <c r="E182" s="2470"/>
      <c r="F182" s="2470"/>
      <c r="G182" s="2470"/>
      <c r="H182" s="2470"/>
      <c r="I182" s="2470"/>
      <c r="J182" s="2470"/>
      <c r="K182" s="2470"/>
      <c r="L182" s="2470"/>
      <c r="M182" s="2470"/>
      <c r="N182" s="2470" t="s">
        <v>1848</v>
      </c>
      <c r="O182" s="2470"/>
      <c r="P182" s="2470"/>
      <c r="Q182" s="2470"/>
      <c r="R182" s="2470"/>
      <c r="S182" s="2470"/>
      <c r="T182" s="2470"/>
      <c r="U182" s="2365" t="s">
        <v>1837</v>
      </c>
      <c r="V182" s="2365"/>
      <c r="W182" s="2365"/>
      <c r="X182" s="2365"/>
      <c r="Y182" s="2365"/>
      <c r="Z182" s="2365"/>
      <c r="AA182" s="2365"/>
      <c r="AB182" s="2365"/>
      <c r="AC182" s="2365"/>
      <c r="AD182" s="2365"/>
      <c r="AE182" s="2366"/>
      <c r="AF182" s="1206"/>
      <c r="AG182" s="1206"/>
      <c r="AH182" s="2222" t="s">
        <v>2607</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6"/>
      <c r="B183" s="1206"/>
      <c r="C183" s="2212" t="s">
        <v>2488</v>
      </c>
      <c r="D183" s="2213"/>
      <c r="E183" s="2213"/>
      <c r="F183" s="2213"/>
      <c r="G183" s="2213"/>
      <c r="H183" s="2213"/>
      <c r="I183" s="2213"/>
      <c r="J183" s="2213"/>
      <c r="K183" s="2213"/>
      <c r="L183" s="2213"/>
      <c r="M183" s="2213"/>
      <c r="N183" s="2475">
        <f>'Sources and Uses Budget'!B105</f>
        <v>66557707.400000006</v>
      </c>
      <c r="O183" s="2475"/>
      <c r="P183" s="2475"/>
      <c r="Q183" s="2475"/>
      <c r="R183" s="2475"/>
      <c r="S183" s="2475"/>
      <c r="T183" s="2475"/>
      <c r="U183" s="2476"/>
      <c r="V183" s="2476"/>
      <c r="W183" s="2476"/>
      <c r="X183" s="2476"/>
      <c r="Y183" s="2476"/>
      <c r="Z183" s="2476"/>
      <c r="AA183" s="2476"/>
      <c r="AB183" s="2476"/>
      <c r="AC183" s="2476"/>
      <c r="AD183" s="2476"/>
      <c r="AE183" s="2477"/>
      <c r="AF183" s="1206"/>
      <c r="AG183" s="1206"/>
      <c r="AH183" s="2222" t="s">
        <v>2606</v>
      </c>
      <c r="AI183" s="2222"/>
      <c r="AJ183" s="2222"/>
      <c r="AK183" s="2222"/>
      <c r="AL183" s="2222"/>
      <c r="AM183" s="2222"/>
      <c r="AN183" s="2222"/>
      <c r="AO183" s="2222"/>
      <c r="AP183" s="2222"/>
      <c r="AQ183" s="2222"/>
      <c r="AR183" s="2222"/>
      <c r="AS183" s="2222"/>
      <c r="AT183" s="2222"/>
      <c r="AU183" s="2189">
        <f>MAX(0,Application!AG439-100)*20000</f>
        <v>0</v>
      </c>
      <c r="AV183" s="2189"/>
      <c r="AW183" s="2189"/>
      <c r="AX183" s="2189"/>
      <c r="AY183" s="2189"/>
      <c r="AZ183" s="2189"/>
      <c r="BA183" s="2189"/>
      <c r="BB183" s="2189"/>
      <c r="BC183" s="2193"/>
      <c r="BD183" s="2194"/>
      <c r="BE183" s="2195"/>
    </row>
    <row r="184" spans="1:57" ht="15.75" customHeight="1">
      <c r="A184" s="1206"/>
      <c r="B184" s="1206"/>
      <c r="C184" s="2212" t="s">
        <v>2489</v>
      </c>
      <c r="D184" s="2213"/>
      <c r="E184" s="2213"/>
      <c r="F184" s="2213"/>
      <c r="G184" s="2213"/>
      <c r="H184" s="2213"/>
      <c r="I184" s="2213"/>
      <c r="J184" s="2213"/>
      <c r="K184" s="2213"/>
      <c r="L184" s="2213"/>
      <c r="M184" s="2213"/>
      <c r="N184" s="2475">
        <f>N183/J29</f>
        <v>686161.93195876293</v>
      </c>
      <c r="O184" s="2475"/>
      <c r="P184" s="2475"/>
      <c r="Q184" s="2475"/>
      <c r="R184" s="2475"/>
      <c r="S184" s="2475"/>
      <c r="T184" s="2475"/>
      <c r="U184" s="1222"/>
      <c r="V184" s="1222"/>
      <c r="W184" s="1222"/>
      <c r="X184" s="1222"/>
      <c r="Y184" s="1222"/>
      <c r="Z184" s="1222"/>
      <c r="AA184" s="1222"/>
      <c r="AB184" s="1222"/>
      <c r="AC184" s="1222"/>
      <c r="AD184" s="1222"/>
      <c r="AE184" s="1221"/>
      <c r="AF184" s="1206"/>
      <c r="AG184" s="1206"/>
      <c r="AH184" s="2199" t="s">
        <v>2605</v>
      </c>
      <c r="AI184" s="2199"/>
      <c r="AJ184" s="2199"/>
      <c r="AK184" s="2199"/>
      <c r="AL184" s="2199"/>
      <c r="AM184" s="2199"/>
      <c r="AN184" s="2199"/>
      <c r="AO184" s="2199"/>
      <c r="AP184" s="2199"/>
      <c r="AQ184" s="2199"/>
      <c r="AR184" s="2199"/>
      <c r="AS184" s="2199"/>
      <c r="AT184" s="2199"/>
      <c r="AU184" s="2190">
        <f>AU182+AU183</f>
        <v>2500000</v>
      </c>
      <c r="AV184" s="2190"/>
      <c r="AW184" s="2190"/>
      <c r="AX184" s="2190"/>
      <c r="AY184" s="2190"/>
      <c r="AZ184" s="2190"/>
      <c r="BA184" s="2190"/>
      <c r="BB184" s="2190"/>
      <c r="BC184" s="2193"/>
      <c r="BD184" s="2194"/>
      <c r="BE184" s="2195"/>
    </row>
    <row r="185" spans="1:57" ht="15.75" customHeight="1">
      <c r="A185" s="1206"/>
      <c r="B185" s="1206"/>
      <c r="C185" s="2478" t="s">
        <v>2490</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6"/>
      <c r="AG185" s="1206"/>
      <c r="AH185" s="2192" t="s">
        <v>2604</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6"/>
      <c r="B186" s="1206"/>
      <c r="C186" s="2212" t="s">
        <v>2491</v>
      </c>
      <c r="D186" s="2213"/>
      <c r="E186" s="2213"/>
      <c r="F186" s="2213"/>
      <c r="G186" s="2213"/>
      <c r="H186" s="2213"/>
      <c r="I186" s="2213"/>
      <c r="J186" s="2213"/>
      <c r="K186" s="2213"/>
      <c r="L186" s="2213"/>
      <c r="M186" s="2213"/>
      <c r="N186" s="2474">
        <f>SUM('Sources and Uses Budget'!B85:B86)</f>
        <v>2939999.2</v>
      </c>
      <c r="O186" s="2474"/>
      <c r="P186" s="2474"/>
      <c r="Q186" s="2474"/>
      <c r="R186" s="2474"/>
      <c r="S186" s="2474"/>
      <c r="T186" s="2474"/>
      <c r="U186" s="2382"/>
      <c r="V186" s="2382"/>
      <c r="W186" s="2382"/>
      <c r="X186" s="2382"/>
      <c r="Y186" s="2382"/>
      <c r="Z186" s="2382"/>
      <c r="AA186" s="2382"/>
      <c r="AB186" s="2382"/>
      <c r="AC186" s="2382"/>
      <c r="AD186" s="2382"/>
      <c r="AE186" s="238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2" t="s">
        <v>2492</v>
      </c>
      <c r="D187" s="2213"/>
      <c r="E187" s="2213"/>
      <c r="F187" s="2213"/>
      <c r="G187" s="2213"/>
      <c r="H187" s="2213"/>
      <c r="I187" s="2213"/>
      <c r="J187" s="2213"/>
      <c r="K187" s="2213"/>
      <c r="L187" s="2213"/>
      <c r="M187" s="2213"/>
      <c r="N187" s="2474">
        <f>'Sources and Uses Budget'!B8</f>
        <v>8600000</v>
      </c>
      <c r="O187" s="2474"/>
      <c r="P187" s="2474"/>
      <c r="Q187" s="2474"/>
      <c r="R187" s="2474"/>
      <c r="S187" s="2474"/>
      <c r="T187" s="2474"/>
      <c r="U187" s="2382"/>
      <c r="V187" s="2382"/>
      <c r="W187" s="2382"/>
      <c r="X187" s="2382"/>
      <c r="Y187" s="2382"/>
      <c r="Z187" s="2382"/>
      <c r="AA187" s="2382"/>
      <c r="AB187" s="2382"/>
      <c r="AC187" s="2382"/>
      <c r="AD187" s="2382"/>
      <c r="AE187" s="2383"/>
      <c r="AF187" s="1206"/>
      <c r="AG187" s="1206"/>
      <c r="AH187" s="2481" t="s">
        <v>1849</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6"/>
      <c r="B188" s="1206"/>
      <c r="C188" s="2212" t="s">
        <v>2493</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6"/>
      <c r="AG188" s="1206"/>
      <c r="AH188" s="2484" t="s">
        <v>1849</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6"/>
      <c r="B189" s="1206"/>
      <c r="C189" s="2212" t="s">
        <v>2494</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6"/>
      <c r="AG189" s="1206"/>
      <c r="AH189" s="2222" t="s">
        <v>2603</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6"/>
      <c r="B190" s="1206"/>
      <c r="C190" s="2515" t="s">
        <v>301</v>
      </c>
      <c r="D190" s="2446"/>
      <c r="E190" s="2514" t="s">
        <v>1843</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6"/>
      <c r="AG190" s="1206"/>
      <c r="AH190" s="2199" t="s">
        <v>2602</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6"/>
      <c r="B191" s="1206"/>
      <c r="C191" s="2403" t="s">
        <v>301</v>
      </c>
      <c r="D191" s="2373"/>
      <c r="E191" s="2514" t="s">
        <v>1843</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6"/>
      <c r="BD191" s="2497"/>
      <c r="BE191" s="2498"/>
    </row>
    <row r="192" spans="1:57" ht="15.75" customHeight="1" thickBot="1">
      <c r="A192" s="1206"/>
      <c r="B192" s="1206"/>
      <c r="C192" s="2503" t="s">
        <v>301</v>
      </c>
      <c r="D192" s="2504"/>
      <c r="E192" s="2505" t="s">
        <v>1843</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6"/>
      <c r="AG192" s="1206"/>
      <c r="AH192" s="2540" t="s">
        <v>1850</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19"/>
      <c r="BD192" s="1219"/>
      <c r="BE192" s="1218"/>
    </row>
    <row r="193" spans="1:57" ht="15.75" customHeight="1">
      <c r="A193" s="1206"/>
      <c r="B193" s="1206"/>
      <c r="C193" s="2499" t="s">
        <v>1851</v>
      </c>
      <c r="D193" s="2500"/>
      <c r="E193" s="2500"/>
      <c r="F193" s="2500"/>
      <c r="G193" s="2500"/>
      <c r="H193" s="2500"/>
      <c r="I193" s="2500"/>
      <c r="J193" s="2500"/>
      <c r="K193" s="2500"/>
      <c r="L193" s="2500"/>
      <c r="M193" s="2500"/>
      <c r="N193" s="2501">
        <f>SUM(N185:T192)</f>
        <v>11539999.199999999</v>
      </c>
      <c r="O193" s="2501"/>
      <c r="P193" s="2501"/>
      <c r="Q193" s="2501"/>
      <c r="R193" s="2501"/>
      <c r="S193" s="2501"/>
      <c r="T193" s="2502"/>
      <c r="U193" s="1206"/>
      <c r="V193" s="1206"/>
      <c r="W193" s="1206"/>
      <c r="X193" s="1206"/>
      <c r="Y193" s="1206"/>
      <c r="Z193" s="1206"/>
      <c r="AA193" s="1206"/>
      <c r="AB193" s="1206"/>
      <c r="AC193" s="1206"/>
      <c r="AD193" s="1206"/>
      <c r="AE193" s="1206"/>
      <c r="AF193" s="1206"/>
      <c r="AG193" s="1206"/>
      <c r="AH193" s="2512" t="s">
        <v>2601</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6"/>
      <c r="B194" s="1206"/>
      <c r="C194" s="2542" t="s">
        <v>2495</v>
      </c>
      <c r="D194" s="2543"/>
      <c r="E194" s="2543"/>
      <c r="F194" s="2543"/>
      <c r="G194" s="2543"/>
      <c r="H194" s="2543"/>
      <c r="I194" s="2543"/>
      <c r="J194" s="2543"/>
      <c r="K194" s="2543"/>
      <c r="L194" s="2543"/>
      <c r="M194" s="2543"/>
      <c r="N194" s="2544">
        <f>(N183-N193)/J29</f>
        <v>567192.86804123712</v>
      </c>
      <c r="O194" s="2545"/>
      <c r="P194" s="2545"/>
      <c r="Q194" s="2545"/>
      <c r="R194" s="2545"/>
      <c r="S194" s="2545"/>
      <c r="T194" s="2546"/>
      <c r="U194" s="1217"/>
      <c r="V194" s="1206"/>
      <c r="W194" s="1206"/>
      <c r="X194" s="1206"/>
      <c r="Y194" s="1206"/>
      <c r="Z194" s="1206"/>
      <c r="AA194" s="1206"/>
      <c r="AB194" s="1206"/>
      <c r="AC194" s="1206"/>
      <c r="AD194" s="1206"/>
      <c r="AE194" s="1206"/>
      <c r="AF194" s="1206"/>
      <c r="AG194" s="1206"/>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2" t="s">
        <v>2600</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2" t="s">
        <v>2599</v>
      </c>
      <c r="D198" s="2202"/>
      <c r="E198" s="2202"/>
      <c r="F198" s="2202"/>
      <c r="G198" s="2202"/>
      <c r="H198" s="2202"/>
      <c r="I198" s="2202"/>
      <c r="J198" s="2202"/>
      <c r="K198" s="2202"/>
      <c r="L198" s="2202"/>
      <c r="M198" s="2202"/>
      <c r="N198" s="2202"/>
      <c r="O198" s="2203" t="s">
        <v>2598</v>
      </c>
      <c r="P198" s="2203"/>
      <c r="Q198" s="2203"/>
      <c r="R198" s="2203"/>
      <c r="S198" s="2203"/>
      <c r="T198" s="2203"/>
      <c r="U198" s="2203"/>
      <c r="V198" s="2203"/>
      <c r="W198" s="2203"/>
      <c r="X198" s="2203" t="s">
        <v>2597</v>
      </c>
      <c r="Y198" s="2203"/>
      <c r="Z198" s="2203"/>
      <c r="AA198" s="2203"/>
      <c r="AB198" s="2203"/>
      <c r="AC198" s="2203"/>
      <c r="AD198" s="2203"/>
      <c r="AE198" s="220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200" t="s">
        <v>2596</v>
      </c>
      <c r="D199" s="2200"/>
      <c r="E199" s="2200"/>
      <c r="F199" s="2200"/>
      <c r="G199" s="2200"/>
      <c r="H199" s="2200"/>
      <c r="I199" s="2200"/>
      <c r="J199" s="2200"/>
      <c r="K199" s="2200"/>
      <c r="L199" s="2200"/>
      <c r="M199" s="2200"/>
      <c r="N199" s="2200"/>
      <c r="O199" s="2495" t="s">
        <v>2595</v>
      </c>
      <c r="P199" s="2495"/>
      <c r="Q199" s="2495"/>
      <c r="R199" s="2495"/>
      <c r="S199" s="2495"/>
      <c r="T199" s="2495"/>
      <c r="U199" s="2495"/>
      <c r="V199" s="2495"/>
      <c r="W199" s="2495"/>
      <c r="X199" s="2516">
        <v>0.03</v>
      </c>
      <c r="Y199" s="2516"/>
      <c r="Z199" s="2516"/>
      <c r="AA199" s="2516"/>
      <c r="AB199" s="2516"/>
      <c r="AC199" s="2516"/>
      <c r="AD199" s="2516"/>
      <c r="AE199" s="25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200" t="s">
        <v>865</v>
      </c>
      <c r="D200" s="2200"/>
      <c r="E200" s="2200"/>
      <c r="F200" s="2200"/>
      <c r="G200" s="2200"/>
      <c r="H200" s="2200"/>
      <c r="I200" s="2200"/>
      <c r="J200" s="2200"/>
      <c r="K200" s="2200"/>
      <c r="L200" s="2200"/>
      <c r="M200" s="2200"/>
      <c r="N200" s="2200"/>
      <c r="O200" s="2495" t="s">
        <v>2595</v>
      </c>
      <c r="P200" s="2495"/>
      <c r="Q200" s="2495"/>
      <c r="R200" s="2495"/>
      <c r="S200" s="2495"/>
      <c r="T200" s="2495"/>
      <c r="U200" s="2495"/>
      <c r="V200" s="2495"/>
      <c r="W200" s="2495"/>
      <c r="X200" s="2516">
        <v>0.03</v>
      </c>
      <c r="Y200" s="2516"/>
      <c r="Z200" s="2516"/>
      <c r="AA200" s="2516"/>
      <c r="AB200" s="2516"/>
      <c r="AC200" s="2516"/>
      <c r="AD200" s="2516"/>
      <c r="AE200" s="25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200" t="s">
        <v>2594</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2593</v>
      </c>
      <c r="Y201" s="2205"/>
      <c r="Z201" s="2205"/>
      <c r="AA201" s="2205"/>
      <c r="AB201" s="2205"/>
      <c r="AC201" s="2205"/>
      <c r="AD201" s="2205"/>
      <c r="AE201" s="220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1" t="s">
        <v>2592</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7" t="s">
        <v>2591</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20" t="s">
        <v>2590</v>
      </c>
      <c r="D205" s="2521"/>
      <c r="E205" s="2521"/>
      <c r="F205" s="2522"/>
      <c r="G205" s="2526" t="s">
        <v>2589</v>
      </c>
      <c r="H205" s="2521"/>
      <c r="I205" s="2521"/>
      <c r="J205" s="2521"/>
      <c r="K205" s="2521"/>
      <c r="L205" s="2521"/>
      <c r="M205" s="2521"/>
      <c r="N205" s="2521"/>
      <c r="O205" s="2522"/>
      <c r="P205" s="2528" t="s">
        <v>2588</v>
      </c>
      <c r="Q205" s="2529"/>
      <c r="R205" s="2529"/>
      <c r="S205" s="2529"/>
      <c r="T205" s="2530"/>
      <c r="U205" s="2534" t="s">
        <v>2587</v>
      </c>
      <c r="V205" s="2535"/>
      <c r="W205" s="2535"/>
      <c r="X205" s="2536"/>
      <c r="Y205" s="2534" t="s">
        <v>2586</v>
      </c>
      <c r="Z205" s="2535"/>
      <c r="AA205" s="2535"/>
      <c r="AB205" s="2536"/>
      <c r="AC205" s="2534" t="s">
        <v>2585</v>
      </c>
      <c r="AD205" s="2535"/>
      <c r="AE205" s="2535"/>
      <c r="AF205" s="2536"/>
      <c r="AG205" s="2526" t="s">
        <v>2584</v>
      </c>
      <c r="AH205" s="2521"/>
      <c r="AI205" s="2521"/>
      <c r="AJ205" s="2521"/>
      <c r="AK205" s="258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9">
        <v>1</v>
      </c>
      <c r="D207" s="2180"/>
      <c r="E207" s="2180"/>
      <c r="F207" s="2180"/>
      <c r="G207" s="2181" t="s">
        <v>2152</v>
      </c>
      <c r="H207" s="2181"/>
      <c r="I207" s="2181"/>
      <c r="J207" s="2181"/>
      <c r="K207" s="2181"/>
      <c r="L207" s="2181"/>
      <c r="M207" s="2181"/>
      <c r="N207" s="2181"/>
      <c r="O207" s="2181"/>
      <c r="P207" s="2182"/>
      <c r="Q207" s="2586"/>
      <c r="R207" s="2586"/>
      <c r="S207" s="2586"/>
      <c r="T207" s="2586"/>
      <c r="U207" s="2183" t="s">
        <v>2152</v>
      </c>
      <c r="V207" s="2183"/>
      <c r="W207" s="2183"/>
      <c r="X207" s="2183"/>
      <c r="Y207" s="2183" t="s">
        <v>2152</v>
      </c>
      <c r="Z207" s="2183"/>
      <c r="AA207" s="2183"/>
      <c r="AB207" s="2183"/>
      <c r="AC207" s="2184" t="s">
        <v>2152</v>
      </c>
      <c r="AD207" s="2184"/>
      <c r="AE207" s="2184"/>
      <c r="AF207" s="2184"/>
      <c r="AG207" s="2578"/>
      <c r="AH207" s="2579"/>
      <c r="AI207" s="2579"/>
      <c r="AJ207" s="2579"/>
      <c r="AK207" s="258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9">
        <v>2</v>
      </c>
      <c r="D208" s="2180"/>
      <c r="E208" s="2180"/>
      <c r="F208" s="2180"/>
      <c r="G208" s="2181" t="s">
        <v>2152</v>
      </c>
      <c r="H208" s="2181"/>
      <c r="I208" s="2181"/>
      <c r="J208" s="2181"/>
      <c r="K208" s="2181"/>
      <c r="L208" s="2181"/>
      <c r="M208" s="2181"/>
      <c r="N208" s="2181"/>
      <c r="O208" s="2181"/>
      <c r="P208" s="2182"/>
      <c r="Q208" s="2182"/>
      <c r="R208" s="2182"/>
      <c r="S208" s="2182"/>
      <c r="T208" s="2182"/>
      <c r="U208" s="2183" t="s">
        <v>2152</v>
      </c>
      <c r="V208" s="2183"/>
      <c r="W208" s="2183"/>
      <c r="X208" s="2183"/>
      <c r="Y208" s="2183" t="s">
        <v>2152</v>
      </c>
      <c r="Z208" s="2183"/>
      <c r="AA208" s="2183"/>
      <c r="AB208" s="2183"/>
      <c r="AC208" s="2184" t="s">
        <v>2152</v>
      </c>
      <c r="AD208" s="2184"/>
      <c r="AE208" s="2184"/>
      <c r="AF208" s="2184"/>
      <c r="AG208" s="2578"/>
      <c r="AH208" s="2579"/>
      <c r="AI208" s="2579"/>
      <c r="AJ208" s="2579"/>
      <c r="AK208" s="258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9">
        <v>3</v>
      </c>
      <c r="D209" s="2180"/>
      <c r="E209" s="2180"/>
      <c r="F209" s="2180"/>
      <c r="G209" s="2181" t="s">
        <v>2152</v>
      </c>
      <c r="H209" s="2181"/>
      <c r="I209" s="2181"/>
      <c r="J209" s="2181"/>
      <c r="K209" s="2181"/>
      <c r="L209" s="2181"/>
      <c r="M209" s="2181"/>
      <c r="N209" s="2181"/>
      <c r="O209" s="2181"/>
      <c r="P209" s="2182"/>
      <c r="Q209" s="2182"/>
      <c r="R209" s="2182"/>
      <c r="S209" s="2182"/>
      <c r="T209" s="2182"/>
      <c r="U209" s="2183" t="s">
        <v>2152</v>
      </c>
      <c r="V209" s="2183"/>
      <c r="W209" s="2183"/>
      <c r="X209" s="2183"/>
      <c r="Y209" s="2183" t="s">
        <v>2152</v>
      </c>
      <c r="Z209" s="2183"/>
      <c r="AA209" s="2183"/>
      <c r="AB209" s="2183"/>
      <c r="AC209" s="2184" t="s">
        <v>2152</v>
      </c>
      <c r="AD209" s="2184"/>
      <c r="AE209" s="2184"/>
      <c r="AF209" s="2184"/>
      <c r="AG209" s="2578"/>
      <c r="AH209" s="2579"/>
      <c r="AI209" s="2579"/>
      <c r="AJ209" s="2579"/>
      <c r="AK209" s="258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9">
        <v>4</v>
      </c>
      <c r="D210" s="2180"/>
      <c r="E210" s="2180"/>
      <c r="F210" s="2180"/>
      <c r="G210" s="2181" t="s">
        <v>2152</v>
      </c>
      <c r="H210" s="2181"/>
      <c r="I210" s="2181"/>
      <c r="J210" s="2181"/>
      <c r="K210" s="2181"/>
      <c r="L210" s="2181"/>
      <c r="M210" s="2181"/>
      <c r="N210" s="2181"/>
      <c r="O210" s="2181"/>
      <c r="P210" s="2182"/>
      <c r="Q210" s="2182"/>
      <c r="R210" s="2182"/>
      <c r="S210" s="2182"/>
      <c r="T210" s="2182"/>
      <c r="U210" s="2183" t="s">
        <v>2152</v>
      </c>
      <c r="V210" s="2183"/>
      <c r="W210" s="2183"/>
      <c r="X210" s="2183"/>
      <c r="Y210" s="2183" t="s">
        <v>2152</v>
      </c>
      <c r="Z210" s="2183"/>
      <c r="AA210" s="2183"/>
      <c r="AB210" s="2183"/>
      <c r="AC210" s="2184" t="s">
        <v>2152</v>
      </c>
      <c r="AD210" s="2184"/>
      <c r="AE210" s="2184"/>
      <c r="AF210" s="2184"/>
      <c r="AG210" s="2578"/>
      <c r="AH210" s="2579"/>
      <c r="AI210" s="2579"/>
      <c r="AJ210" s="2579"/>
      <c r="AK210" s="258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2152</v>
      </c>
      <c r="V211" s="2183"/>
      <c r="W211" s="2183"/>
      <c r="X211" s="2183"/>
      <c r="Y211" s="2183" t="s">
        <v>2152</v>
      </c>
      <c r="Z211" s="2183"/>
      <c r="AA211" s="2183"/>
      <c r="AB211" s="2183"/>
      <c r="AC211" s="2184" t="s">
        <v>2152</v>
      </c>
      <c r="AD211" s="2184"/>
      <c r="AE211" s="2184"/>
      <c r="AF211" s="2184"/>
      <c r="AG211" s="2578"/>
      <c r="AH211" s="2579"/>
      <c r="AI211" s="2579"/>
      <c r="AJ211" s="2579"/>
      <c r="AK211" s="258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9">
        <v>6</v>
      </c>
      <c r="D212" s="2180"/>
      <c r="E212" s="2180"/>
      <c r="F212" s="2180"/>
      <c r="G212" s="2181" t="s">
        <v>2152</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2152</v>
      </c>
      <c r="AD212" s="2184"/>
      <c r="AE212" s="2184"/>
      <c r="AF212" s="2184"/>
      <c r="AG212" s="2578"/>
      <c r="AH212" s="2579"/>
      <c r="AI212" s="2579"/>
      <c r="AJ212" s="2579"/>
      <c r="AK212" s="258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2152</v>
      </c>
      <c r="AD213" s="2184"/>
      <c r="AE213" s="2184"/>
      <c r="AF213" s="2184"/>
      <c r="AG213" s="2578"/>
      <c r="AH213" s="2579"/>
      <c r="AI213" s="2579"/>
      <c r="AJ213" s="2579"/>
      <c r="AK213" s="258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4" t="s">
        <v>2583</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4" t="s">
        <v>1852</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2"/>
    </row>
    <row r="220" spans="1:57" ht="15.75" customHeight="1">
      <c r="A220" s="1206"/>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2"/>
    </row>
    <row r="221" spans="1:57" ht="15.75" customHeight="1">
      <c r="A221" s="1206"/>
      <c r="B221" s="2560" t="s">
        <v>1853</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2"/>
    </row>
    <row r="222" spans="1:57" ht="15.75" customHeight="1">
      <c r="A222" s="1206"/>
      <c r="B222" s="2560" t="s">
        <v>1854</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3" t="s">
        <v>1855</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7" t="s">
        <v>1857</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6" t="s">
        <v>2496</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6"/>
      <c r="BB230" s="1206"/>
      <c r="BC230" s="1206"/>
      <c r="BD230" s="1202"/>
      <c r="BE230" s="1202"/>
    </row>
    <row r="231" spans="1:57" ht="15.75" customHeight="1">
      <c r="A231" s="1206"/>
      <c r="B231" s="1212"/>
      <c r="C231" s="1206"/>
      <c r="D231" s="1206"/>
      <c r="E231" s="1206"/>
      <c r="F231" s="1206"/>
      <c r="G231" s="1206"/>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6"/>
      <c r="BB231" s="1206"/>
      <c r="BC231" s="1206"/>
      <c r="BD231" s="1202"/>
      <c r="BE231" s="1202"/>
    </row>
    <row r="232" spans="1:57" ht="15.75" customHeight="1">
      <c r="A232" s="1206"/>
      <c r="B232" s="1212"/>
      <c r="C232" s="1206"/>
      <c r="D232" s="1206"/>
      <c r="E232" s="1206"/>
      <c r="F232" s="1206"/>
      <c r="G232" s="1206"/>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6"/>
      <c r="BB232" s="1206"/>
      <c r="BC232" s="1206"/>
      <c r="BD232" s="1202"/>
      <c r="BE232" s="1202"/>
    </row>
    <row r="233" spans="1:57" ht="15.75" customHeight="1">
      <c r="A233" s="1206"/>
      <c r="B233" s="1212"/>
      <c r="C233" s="1206"/>
      <c r="D233" s="1206"/>
      <c r="E233" s="1206"/>
      <c r="F233" s="1206"/>
      <c r="G233" s="1206"/>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5" t="s">
        <v>1858</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1" t="s">
        <v>1859</v>
      </c>
      <c r="I237" s="2551"/>
      <c r="J237" s="2551"/>
      <c r="K237" s="2551"/>
      <c r="L237" s="1208"/>
      <c r="M237" s="1208"/>
      <c r="N237" s="1208"/>
      <c r="O237" s="1208"/>
      <c r="P237" s="1208"/>
      <c r="Q237" s="1208"/>
      <c r="R237" s="1208"/>
      <c r="S237" s="2572"/>
      <c r="T237" s="2573"/>
      <c r="U237" s="2573"/>
      <c r="V237" s="2573"/>
      <c r="W237" s="2573"/>
      <c r="X237" s="2573"/>
      <c r="Y237" s="2573"/>
      <c r="Z237" s="2573"/>
      <c r="AA237" s="2573"/>
      <c r="AB237" s="2573"/>
      <c r="AC237" s="2573"/>
      <c r="AD237" s="2573"/>
      <c r="AE237" s="2573"/>
      <c r="AF237" s="2573"/>
      <c r="AG237" s="2573"/>
      <c r="AH237" s="2573"/>
      <c r="AI237" s="2573"/>
      <c r="AJ237" s="257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1" t="s">
        <v>1860</v>
      </c>
      <c r="I239" s="2551"/>
      <c r="J239" s="2551"/>
      <c r="K239" s="1210"/>
      <c r="L239" s="1208"/>
      <c r="M239" s="1208"/>
      <c r="N239" s="1208"/>
      <c r="O239" s="1208"/>
      <c r="P239" s="1208"/>
      <c r="Q239" s="1208"/>
      <c r="R239" s="1208"/>
      <c r="S239" s="2569"/>
      <c r="T239" s="2570"/>
      <c r="U239" s="2570"/>
      <c r="V239" s="2570"/>
      <c r="W239" s="2570"/>
      <c r="X239" s="2570"/>
      <c r="Y239" s="2570"/>
      <c r="Z239" s="2570"/>
      <c r="AA239" s="2570"/>
      <c r="AB239" s="2570"/>
      <c r="AC239" s="2570"/>
      <c r="AD239" s="2570"/>
      <c r="AE239" s="2570"/>
      <c r="AF239" s="2570"/>
      <c r="AG239" s="2570"/>
      <c r="AH239" s="2570"/>
      <c r="AI239" s="2570"/>
      <c r="AJ239" s="257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1" t="s">
        <v>443</v>
      </c>
      <c r="I241" s="2551"/>
      <c r="J241" s="1210"/>
      <c r="K241" s="1210"/>
      <c r="L241" s="1208"/>
      <c r="M241" s="1208"/>
      <c r="N241" s="1208"/>
      <c r="O241" s="1208"/>
      <c r="P241" s="1208"/>
      <c r="Q241" s="1208"/>
      <c r="R241" s="1208"/>
      <c r="S241" s="2569"/>
      <c r="T241" s="2570"/>
      <c r="U241" s="2570"/>
      <c r="V241" s="2570"/>
      <c r="W241" s="2570"/>
      <c r="X241" s="2570"/>
      <c r="Y241" s="2570"/>
      <c r="Z241" s="2570"/>
      <c r="AA241" s="2570"/>
      <c r="AB241" s="2570"/>
      <c r="AC241" s="2570"/>
      <c r="AD241" s="2570"/>
      <c r="AE241" s="2570"/>
      <c r="AF241" s="2570"/>
      <c r="AG241" s="2570"/>
      <c r="AH241" s="2570"/>
      <c r="AI241" s="2570"/>
      <c r="AJ241" s="257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2" t="s">
        <v>1861</v>
      </c>
      <c r="I243" s="2552"/>
      <c r="J243" s="2552"/>
      <c r="K243" s="2552"/>
      <c r="L243" s="2552"/>
      <c r="M243" s="2552"/>
      <c r="N243" s="2552"/>
      <c r="O243" s="2552"/>
      <c r="P243" s="1208"/>
      <c r="Q243" s="1208"/>
      <c r="R243" s="1208"/>
      <c r="S243" s="2569"/>
      <c r="T243" s="2570"/>
      <c r="U243" s="2570"/>
      <c r="V243" s="2570"/>
      <c r="W243" s="2570"/>
      <c r="X243" s="2570"/>
      <c r="Y243" s="2570"/>
      <c r="Z243" s="2570"/>
      <c r="AA243" s="2570"/>
      <c r="AB243" s="2570"/>
      <c r="AC243" s="2570"/>
      <c r="AD243" s="2570"/>
      <c r="AE243" s="2570"/>
      <c r="AF243" s="2570"/>
      <c r="AG243" s="2570"/>
      <c r="AH243" s="2570"/>
      <c r="AI243" s="2570"/>
      <c r="AJ243" s="257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3" t="s">
        <v>1862</v>
      </c>
      <c r="I245" s="2553"/>
      <c r="J245" s="1208"/>
      <c r="K245" s="1208"/>
      <c r="L245" s="1208"/>
      <c r="M245" s="1208"/>
      <c r="N245" s="1208"/>
      <c r="O245" s="1208"/>
      <c r="P245" s="1208"/>
      <c r="Q245" s="1208"/>
      <c r="R245" s="1208"/>
      <c r="S245" s="2566"/>
      <c r="T245" s="2567"/>
      <c r="U245" s="2567"/>
      <c r="V245" s="2567"/>
      <c r="W245" s="2567"/>
      <c r="X245" s="2567"/>
      <c r="Y245" s="2567"/>
      <c r="Z245" s="2567"/>
      <c r="AA245" s="2567"/>
      <c r="AB245" s="2567"/>
      <c r="AC245" s="2567"/>
      <c r="AD245" s="2567"/>
      <c r="AE245" s="2567"/>
      <c r="AF245" s="2567"/>
      <c r="AG245" s="2567"/>
      <c r="AH245" s="2567"/>
      <c r="AI245" s="2567"/>
      <c r="AJ245" s="256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8" workbookViewId="0">
      <selection activeCell="AB79" sqref="AB79:AF79"/>
    </sheetView>
  </sheetViews>
  <sheetFormatPr defaultColWidth="0" defaultRowHeight="13.15" customHeight="1"/>
  <cols>
    <col min="1" max="1" width="1.453125" style="433" customWidth="1"/>
    <col min="2" max="2" width="0.7265625" style="433" customWidth="1"/>
    <col min="3" max="18" width="2.453125" style="433" customWidth="1"/>
    <col min="19" max="19" width="6.26953125" style="433" customWidth="1"/>
    <col min="20" max="39" width="2.7265625" style="433" customWidth="1"/>
    <col min="40" max="40" width="1.453125" style="433" customWidth="1"/>
    <col min="41" max="256" width="2.453125" style="433" hidden="1"/>
    <col min="257" max="257" width="1.453125" style="433" hidden="1" customWidth="1"/>
    <col min="258" max="258" width="0.7265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7265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7265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7265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7265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7265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7265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7265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7265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7265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7265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7265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7265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7265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7265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7265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7265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7265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7265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7265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7265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7265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7265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7265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7265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7265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7265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7265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7265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7265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7265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7265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7265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7265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7265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7265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7265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7265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7265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7265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7265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7265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7265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7265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7265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7265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7265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7265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7265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7265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7265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7265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7265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7265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7265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7265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7265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7265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7265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7265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7265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7265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7265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15" customHeight="1">
      <c r="A1" s="2663" t="s">
        <v>1388</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3.15"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3.1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15" customHeight="1">
      <c r="A4" s="435"/>
    </row>
    <row r="5" spans="1:40" ht="13.15" customHeight="1">
      <c r="A5" s="435" t="s">
        <v>320</v>
      </c>
      <c r="C5" s="435" t="s">
        <v>122</v>
      </c>
      <c r="F5" s="435"/>
    </row>
    <row r="6" spans="1:40" ht="13.15" customHeight="1">
      <c r="A6" s="435"/>
      <c r="C6" s="433" t="s">
        <v>1345</v>
      </c>
    </row>
    <row r="7" spans="1:40" ht="13.15"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15"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15"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15"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15" customHeight="1">
      <c r="B11" s="2626" t="s">
        <v>376</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55448672.400000006</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3.15" customHeight="1">
      <c r="B12" s="2667" t="s">
        <v>505</v>
      </c>
      <c r="C12" s="1283"/>
      <c r="D12" s="1283"/>
      <c r="E12" s="1283"/>
      <c r="F12" s="1283"/>
      <c r="G12" s="1283"/>
      <c r="H12" s="1283"/>
      <c r="I12" s="1283"/>
      <c r="J12" s="1283"/>
      <c r="K12" s="1283"/>
      <c r="L12" s="1283"/>
      <c r="M12" s="1283"/>
      <c r="N12" s="1283"/>
      <c r="O12" s="1283"/>
      <c r="P12" s="1283"/>
      <c r="Q12" s="1283"/>
      <c r="R12" s="1283"/>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3.15" customHeight="1">
      <c r="B13" s="467"/>
      <c r="C13" s="2669" t="s">
        <v>506</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3.15" customHeight="1">
      <c r="B14" s="467"/>
      <c r="C14" s="2669" t="s">
        <v>507</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3.15" customHeight="1">
      <c r="B15" s="467"/>
      <c r="C15" s="2669" t="s">
        <v>508</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3.15" customHeight="1">
      <c r="B16" s="467"/>
      <c r="C16" s="2669" t="s">
        <v>814</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3.15" customHeight="1">
      <c r="B17" s="467"/>
      <c r="C17" s="2669" t="s">
        <v>509</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3.15" customHeight="1">
      <c r="A18"/>
      <c r="B18" s="1194"/>
      <c r="C18" s="1720" t="s">
        <v>979</v>
      </c>
      <c r="D18" s="1720"/>
      <c r="E18" s="1720"/>
      <c r="F18" s="1720"/>
      <c r="G18" s="1720"/>
      <c r="H18" s="1720"/>
      <c r="I18" s="1720"/>
      <c r="J18" s="1720"/>
      <c r="K18" s="1720"/>
      <c r="L18" s="1720"/>
      <c r="M18" s="1720"/>
      <c r="N18" s="1720"/>
      <c r="O18" s="1720"/>
      <c r="P18" s="1720"/>
      <c r="Q18" s="1720"/>
      <c r="R18" s="1720"/>
      <c r="S18" s="1721"/>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3.15" customHeight="1">
      <c r="B19" s="1194"/>
      <c r="C19" s="1720" t="s">
        <v>979</v>
      </c>
      <c r="D19" s="1720"/>
      <c r="E19" s="1720"/>
      <c r="F19" s="1720"/>
      <c r="G19" s="1720"/>
      <c r="H19" s="1720"/>
      <c r="I19" s="1720"/>
      <c r="J19" s="1720"/>
      <c r="K19" s="1720"/>
      <c r="L19" s="1720"/>
      <c r="M19" s="1720"/>
      <c r="N19" s="1720"/>
      <c r="O19" s="1720"/>
      <c r="P19" s="1720"/>
      <c r="Q19" s="1720"/>
      <c r="R19" s="1720"/>
      <c r="S19" s="1721"/>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3.15" customHeight="1">
      <c r="B20" s="2626" t="s">
        <v>510</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3.15" customHeight="1">
      <c r="B21" s="2626" t="s">
        <v>1371</v>
      </c>
      <c r="C21" s="2627"/>
      <c r="D21" s="2627"/>
      <c r="E21" s="2627"/>
      <c r="F21" s="2627"/>
      <c r="G21" s="2627"/>
      <c r="H21" s="2627"/>
      <c r="I21" s="2627"/>
      <c r="J21" s="2627"/>
      <c r="K21" s="2627"/>
      <c r="L21" s="2627"/>
      <c r="M21" s="2627"/>
      <c r="N21" s="2627"/>
      <c r="O21" s="2627"/>
      <c r="P21" s="2627"/>
      <c r="Q21" s="2627"/>
      <c r="R21" s="2627"/>
      <c r="S21" s="2628"/>
      <c r="T21" s="2651"/>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3.15" customHeight="1">
      <c r="B22" s="2626" t="s">
        <v>511</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15" customHeight="1">
      <c r="B23" s="2626" t="s">
        <v>512</v>
      </c>
      <c r="C23" s="2627"/>
      <c r="D23" s="2627"/>
      <c r="E23" s="2627"/>
      <c r="F23" s="2627"/>
      <c r="G23" s="2627"/>
      <c r="H23" s="2627"/>
      <c r="I23" s="2627"/>
      <c r="J23" s="2627"/>
      <c r="K23" s="2627"/>
      <c r="L23" s="2627"/>
      <c r="M23" s="2627"/>
      <c r="N23" s="2627"/>
      <c r="O23" s="2627"/>
      <c r="P23" s="2627"/>
      <c r="Q23" s="2627"/>
      <c r="R23" s="2627"/>
      <c r="S23" s="2628"/>
      <c r="T23" s="2642">
        <f>T11+T22</f>
        <v>55448672.400000006</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3.15" customHeight="1">
      <c r="B24" s="2626" t="s">
        <v>980</v>
      </c>
      <c r="C24" s="2627"/>
      <c r="D24" s="2627"/>
      <c r="E24" s="2627"/>
      <c r="F24" s="2627"/>
      <c r="G24" s="2627"/>
      <c r="H24" s="2627"/>
      <c r="I24" s="2627"/>
      <c r="J24" s="2627"/>
      <c r="K24" s="2627"/>
      <c r="L24" s="2627"/>
      <c r="M24" s="2627"/>
      <c r="N24" s="2627"/>
      <c r="O24" s="2627"/>
      <c r="P24" s="2627"/>
      <c r="Q24" s="2627"/>
      <c r="R24" s="2627"/>
      <c r="S24" s="2628"/>
      <c r="T24" s="2630">
        <f>Application!AJ1052</f>
        <v>87479726.349999994</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3.15" customHeight="1">
      <c r="B25" s="2673" t="s">
        <v>1372</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15" customHeight="1">
      <c r="B26" s="2626" t="s">
        <v>513</v>
      </c>
      <c r="C26" s="2627"/>
      <c r="D26" s="2627"/>
      <c r="E26" s="2627"/>
      <c r="F26" s="2627"/>
      <c r="G26" s="2627"/>
      <c r="H26" s="2627"/>
      <c r="I26" s="2627"/>
      <c r="J26" s="2627"/>
      <c r="K26" s="2627"/>
      <c r="L26" s="2627"/>
      <c r="M26" s="2627"/>
      <c r="N26" s="2627"/>
      <c r="O26" s="2627"/>
      <c r="P26" s="2627"/>
      <c r="Q26" s="2627"/>
      <c r="R26" s="2627"/>
      <c r="S26" s="2628"/>
      <c r="T26" s="2642">
        <f>T23*T25</f>
        <v>72083274.120000005</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3.15" customHeight="1">
      <c r="A27" s="441"/>
      <c r="B27" s="2676" t="s">
        <v>427</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3.15" customHeight="1">
      <c r="A28" s="435"/>
      <c r="B28" s="2626" t="s">
        <v>514</v>
      </c>
      <c r="C28" s="2627"/>
      <c r="D28" s="2627"/>
      <c r="E28" s="2627"/>
      <c r="F28" s="2627"/>
      <c r="G28" s="2627"/>
      <c r="H28" s="2627"/>
      <c r="I28" s="2627"/>
      <c r="J28" s="2627"/>
      <c r="K28" s="2627"/>
      <c r="L28" s="2627"/>
      <c r="M28" s="2627"/>
      <c r="N28" s="2627"/>
      <c r="O28" s="2627"/>
      <c r="P28" s="2627"/>
      <c r="Q28" s="2627"/>
      <c r="R28" s="2627"/>
      <c r="S28" s="2628"/>
      <c r="T28" s="2642">
        <f>IF(ISERROR((T26*T27)),0,(T26*T27))</f>
        <v>72083274.120000005</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3.15" customHeight="1">
      <c r="B29" s="2626" t="s">
        <v>531</v>
      </c>
      <c r="C29" s="2627"/>
      <c r="D29" s="2627"/>
      <c r="E29" s="2627"/>
      <c r="F29" s="2627"/>
      <c r="G29" s="2627"/>
      <c r="H29" s="2627"/>
      <c r="I29" s="2627"/>
      <c r="J29" s="2627"/>
      <c r="K29" s="2627"/>
      <c r="L29" s="2627"/>
      <c r="M29" s="2627"/>
      <c r="N29" s="2627"/>
      <c r="O29" s="2627"/>
      <c r="P29" s="2627"/>
      <c r="Q29" s="2627"/>
      <c r="R29" s="2627"/>
      <c r="S29" s="2628"/>
      <c r="T29" s="2630">
        <f>T28+Y28+AD28+AI28</f>
        <v>72083274.120000005</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3.15" customHeight="1">
      <c r="B30" s="2646" t="s">
        <v>1374</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3.15" customHeight="1">
      <c r="B31" s="2646" t="s">
        <v>1373</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3.1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15" customHeight="1">
      <c r="A34" s="435" t="s">
        <v>584</v>
      </c>
      <c r="C34" s="435" t="s">
        <v>576</v>
      </c>
    </row>
    <row r="35" spans="1:76" ht="13.1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1256</v>
      </c>
      <c r="Z35" s="2643"/>
      <c r="AA35" s="2643"/>
      <c r="AB35" s="2643"/>
      <c r="AC35" s="2643"/>
      <c r="AD35" s="2644" t="s">
        <v>370</v>
      </c>
      <c r="AE35" s="2644"/>
      <c r="AF35" s="2644"/>
      <c r="AG35" s="2644"/>
      <c r="AH35" s="2644"/>
    </row>
    <row r="36" spans="1:76" ht="13.15" customHeight="1">
      <c r="B36" s="438"/>
      <c r="X36" s="443"/>
      <c r="Y36" s="2643"/>
      <c r="Z36" s="2643"/>
      <c r="AA36" s="2643"/>
      <c r="AB36" s="2643"/>
      <c r="AC36" s="2643"/>
      <c r="AD36" s="2644"/>
      <c r="AE36" s="2644"/>
      <c r="AF36" s="2644"/>
      <c r="AG36" s="2644"/>
      <c r="AH36" s="2644"/>
    </row>
    <row r="37" spans="1:76" ht="13.1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3.15" customHeight="1">
      <c r="A38" s="435"/>
      <c r="B38" s="2626" t="s">
        <v>514</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72083274.120000005</v>
      </c>
      <c r="Z38" s="2620"/>
      <c r="AA38" s="2620"/>
      <c r="AB38" s="2620"/>
      <c r="AC38" s="2620"/>
      <c r="AD38" s="2620">
        <f>IF(T24&gt;=(T23+Y23+AD23+AI23),AD28+AI28,0)</f>
        <v>0</v>
      </c>
      <c r="AE38" s="2620"/>
      <c r="AF38" s="2620"/>
      <c r="AG38" s="2620"/>
      <c r="AH38" s="2620"/>
    </row>
    <row r="39" spans="1:76" ht="13.15" customHeight="1">
      <c r="B39" s="2626" t="s">
        <v>1879</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3.15" customHeight="1">
      <c r="A40" s="435"/>
      <c r="B40" s="2626" t="s">
        <v>650</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2883331</v>
      </c>
      <c r="Z40" s="2620"/>
      <c r="AA40" s="2620"/>
      <c r="AB40" s="2620"/>
      <c r="AC40" s="2620"/>
      <c r="AD40" s="2642">
        <f>ROUND(AD38*AD39,0)</f>
        <v>0</v>
      </c>
      <c r="AE40" s="2620"/>
      <c r="AF40" s="2620"/>
      <c r="AG40" s="2620"/>
      <c r="AH40" s="2620"/>
    </row>
    <row r="41" spans="1:76" ht="13.15" customHeight="1">
      <c r="B41" s="2626" t="s">
        <v>651</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2883331</v>
      </c>
      <c r="Z41" s="2641"/>
      <c r="AA41" s="2641"/>
      <c r="AB41" s="2641"/>
      <c r="AC41" s="2641"/>
      <c r="AD41" s="2641"/>
      <c r="AE41" s="2641"/>
      <c r="AF41" s="2641"/>
      <c r="AG41" s="2641"/>
      <c r="AH41" s="2642"/>
    </row>
    <row r="42" spans="1:76" ht="13.1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1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15" customHeight="1" thickBot="1">
      <c r="A44" s="2640" t="s">
        <v>1384</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3.15" customHeight="1" thickTop="1"/>
    <row r="46" spans="1:76" ht="13.15" customHeight="1">
      <c r="A46" s="435" t="s">
        <v>594</v>
      </c>
      <c r="C46" s="435" t="s">
        <v>283</v>
      </c>
    </row>
    <row r="47" spans="1:76" ht="13.15" customHeight="1">
      <c r="D47" s="435" t="s">
        <v>284</v>
      </c>
      <c r="AB47" s="2634">
        <f>'Sources and Uses Budget'!B105-MAX(IF('Sources and Uses Budget'!B15="",0,'Sources and Uses Budget'!B15),IF(Application!AG394="",0,Application!AG394))</f>
        <v>66557707.400000006</v>
      </c>
      <c r="AC47" s="2635"/>
      <c r="AD47" s="2635"/>
      <c r="AE47" s="2635"/>
      <c r="AF47" s="2636"/>
    </row>
    <row r="48" spans="1:76" ht="13.15" customHeight="1">
      <c r="D48" s="435" t="s">
        <v>21</v>
      </c>
      <c r="AB48" s="2634">
        <f>Application!AO639-MAX(IF('Sources and Uses Budget'!B15="",0,'Sources and Uses Budget'!B15),IF(Application!AG394="",0,Application!AG394))</f>
        <v>28057240</v>
      </c>
      <c r="AC48" s="2635"/>
      <c r="AD48" s="2635"/>
      <c r="AE48" s="2635"/>
      <c r="AF48" s="2636"/>
    </row>
    <row r="49" spans="1:76" ht="13.15" customHeight="1">
      <c r="D49" s="435" t="s">
        <v>91</v>
      </c>
      <c r="AB49" s="2634">
        <f>AB47-AB48</f>
        <v>38500467.400000006</v>
      </c>
      <c r="AC49" s="2635"/>
      <c r="AD49" s="2635"/>
      <c r="AE49" s="2635"/>
      <c r="AF49" s="2636"/>
    </row>
    <row r="50" spans="1:76" ht="13.15" customHeight="1">
      <c r="D50" s="435" t="s">
        <v>689</v>
      </c>
      <c r="AA50" s="446"/>
      <c r="AB50" s="2622">
        <v>0.84991500499999995</v>
      </c>
      <c r="AC50" s="2623"/>
      <c r="AD50" s="2623"/>
      <c r="AE50" s="2623"/>
      <c r="AF50" s="2624"/>
    </row>
    <row r="51" spans="1:76" s="448" customFormat="1" ht="13.15" customHeight="1">
      <c r="A51" s="433"/>
      <c r="B51" s="433"/>
      <c r="C51" s="433"/>
      <c r="D51" s="433"/>
      <c r="E51" s="2633" t="s">
        <v>2039</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3.15"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3.1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15" customHeight="1">
      <c r="D54" s="435" t="s">
        <v>333</v>
      </c>
      <c r="AB54" s="2634">
        <f>ROUND(IF(ISERROR((AB49/AB50)),0,(AB49/AB50)),0)</f>
        <v>45299197</v>
      </c>
      <c r="AC54" s="2635"/>
      <c r="AD54" s="2635"/>
      <c r="AE54" s="2635"/>
      <c r="AF54" s="2636"/>
    </row>
    <row r="55" spans="1:76" ht="13.15" customHeight="1">
      <c r="D55" s="435" t="s">
        <v>334</v>
      </c>
      <c r="AB55" s="2634">
        <f>(AB54/10)</f>
        <v>4529919.7</v>
      </c>
      <c r="AC55" s="2635"/>
      <c r="AD55" s="2635"/>
      <c r="AE55" s="2635"/>
      <c r="AF55" s="2636"/>
    </row>
    <row r="56" spans="1:76" ht="13.15" customHeight="1">
      <c r="D56" s="435" t="s">
        <v>765</v>
      </c>
      <c r="AB56" s="2637">
        <f>(IF((Y41&lt;AB55),Y41,AB55))</f>
        <v>2883331</v>
      </c>
      <c r="AC56" s="2638"/>
      <c r="AD56" s="2638"/>
      <c r="AE56" s="2638"/>
      <c r="AF56" s="2639"/>
    </row>
    <row r="57" spans="1:76" ht="13.15" customHeight="1">
      <c r="D57" s="435" t="s">
        <v>764</v>
      </c>
      <c r="AB57" s="2634">
        <f>ROUND((10*AB56*AB50),0)</f>
        <v>24505863</v>
      </c>
      <c r="AC57" s="2635"/>
      <c r="AD57" s="2635"/>
      <c r="AE57" s="2635"/>
      <c r="AF57" s="2636"/>
    </row>
    <row r="58" spans="1:76" ht="13.15" customHeight="1">
      <c r="D58" s="435"/>
      <c r="AB58" s="454"/>
      <c r="AC58" s="454"/>
      <c r="AD58" s="454"/>
      <c r="AE58" s="454"/>
      <c r="AF58" s="454"/>
    </row>
    <row r="59" spans="1:76" ht="13.15" customHeight="1">
      <c r="D59" s="435" t="s">
        <v>763</v>
      </c>
      <c r="AB59" s="2618">
        <f>AB49-AB57</f>
        <v>13994604.400000006</v>
      </c>
      <c r="AC59" s="2618"/>
      <c r="AD59" s="2618"/>
      <c r="AE59" s="2618"/>
      <c r="AF59" s="2618"/>
    </row>
    <row r="60" spans="1:76" ht="13.15" customHeight="1">
      <c r="D60" s="435"/>
      <c r="AB60" s="454"/>
      <c r="AC60" s="454"/>
      <c r="AD60" s="454"/>
      <c r="AE60" s="454"/>
      <c r="AF60" s="454"/>
    </row>
    <row r="61" spans="1:76" s="218" customFormat="1" ht="13.15"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3.15" customHeight="1" thickTop="1"/>
    <row r="63" spans="1:76" ht="13.15" customHeight="1">
      <c r="A63" s="435" t="s">
        <v>597</v>
      </c>
      <c r="C63" s="219" t="s">
        <v>1356</v>
      </c>
      <c r="Y63" s="2629" t="s">
        <v>1003</v>
      </c>
      <c r="Z63" s="2629"/>
      <c r="AA63" s="2629"/>
      <c r="AB63" s="2629"/>
      <c r="AC63" s="2629"/>
      <c r="AD63" s="2629" t="s">
        <v>370</v>
      </c>
      <c r="AE63" s="2629"/>
      <c r="AF63" s="2629"/>
      <c r="AG63" s="2629"/>
      <c r="AH63" s="2629"/>
    </row>
    <row r="64" spans="1:76" ht="13.1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55448672.400000006</v>
      </c>
      <c r="Z64" s="2631"/>
      <c r="AA64" s="2631"/>
      <c r="AB64" s="2631"/>
      <c r="AC64" s="2632"/>
      <c r="AD64" s="2630">
        <f>IF(AND(OR(Application!D211="At-Risk",Application!D211="At-Risk and Special Needs"),Application!M358="yes"),AD28+AI28,0)</f>
        <v>0</v>
      </c>
      <c r="AE64" s="2631"/>
      <c r="AF64" s="2631"/>
      <c r="AG64" s="2631"/>
      <c r="AH64" s="2632"/>
    </row>
    <row r="65" spans="1:36" ht="13.1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1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9">
        <f>IF(OR(Application!Z205="State Farmworker Credit",Application!Z205="$500M (Farmworker Housing)"),0.75,IF(Application!Z205="15% set-aside",0.13,IF(Application!Z205="15% set-aside with qualifying low value rehab",0.95,0.3)))</f>
        <v>0.3</v>
      </c>
      <c r="Z67" s="2619"/>
      <c r="AA67" s="2619"/>
      <c r="AB67" s="2619"/>
      <c r="AC67" s="2619"/>
      <c r="AD67" s="2619">
        <f>IF(Application!Z205="15% set-aside with qualifying low value rehab", 0.95,0.13)</f>
        <v>0.13</v>
      </c>
      <c r="AE67" s="2619"/>
      <c r="AF67" s="2619"/>
      <c r="AG67" s="2619"/>
      <c r="AH67" s="2619"/>
    </row>
    <row r="68" spans="1:36" ht="13.15" customHeight="1">
      <c r="C68" s="435"/>
      <c r="D68" s="219" t="s">
        <v>2635</v>
      </c>
      <c r="Y68" s="2620">
        <f>ROUND(Y64*Y67,0)</f>
        <v>16634602</v>
      </c>
      <c r="Z68" s="2621"/>
      <c r="AA68" s="2621"/>
      <c r="AB68" s="2621"/>
      <c r="AC68" s="2621"/>
      <c r="AD68" s="2620">
        <f>ROUND(AD64*AD67,0)</f>
        <v>0</v>
      </c>
      <c r="AE68" s="2621"/>
      <c r="AF68" s="2621"/>
      <c r="AG68" s="2621"/>
      <c r="AH68" s="2621"/>
    </row>
    <row r="69" spans="1:36" ht="13.15" customHeight="1">
      <c r="C69" s="435"/>
      <c r="D69" s="219" t="s">
        <v>2636</v>
      </c>
      <c r="Y69" s="2620">
        <f>IF(OR(Application!Z205="State Farmworker Credit",Application!Z205="$500M (Farmworker Housing)"),Y68+AD68,MIN(Y68+AD68,200000*(Application!G753+Application!O777)))</f>
        <v>16634602</v>
      </c>
      <c r="Z69" s="2620"/>
      <c r="AA69" s="2620"/>
      <c r="AB69" s="2620"/>
      <c r="AC69" s="2620"/>
      <c r="AD69" s="2620"/>
      <c r="AE69" s="2620"/>
      <c r="AF69" s="2620"/>
      <c r="AG69" s="2620"/>
      <c r="AH69" s="2620"/>
    </row>
    <row r="70" spans="1:36" ht="13.15" customHeight="1">
      <c r="C70" s="435"/>
      <c r="E70" s="435"/>
      <c r="AB70" s="453"/>
      <c r="AC70" s="453"/>
      <c r="AD70" s="453"/>
      <c r="AE70" s="453"/>
      <c r="AF70" s="453"/>
    </row>
    <row r="71" spans="1:36" ht="13.15" customHeight="1">
      <c r="A71" s="435" t="s">
        <v>598</v>
      </c>
      <c r="C71" s="219" t="s">
        <v>285</v>
      </c>
    </row>
    <row r="72" spans="1:36" ht="13.15" customHeight="1">
      <c r="A72" s="435"/>
      <c r="C72" s="435"/>
      <c r="D72" s="219" t="s">
        <v>1358</v>
      </c>
      <c r="AB72" s="2622">
        <v>0.9</v>
      </c>
      <c r="AC72" s="2623"/>
      <c r="AD72" s="2623"/>
      <c r="AE72" s="2623"/>
      <c r="AF72" s="2624"/>
    </row>
    <row r="73" spans="1:36" ht="13.15" customHeight="1">
      <c r="A73" s="435"/>
      <c r="C73" s="435"/>
      <c r="D73" s="435"/>
      <c r="E73" s="2625" t="s">
        <v>1359</v>
      </c>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3.15"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3.15" customHeight="1">
      <c r="A75" s="435"/>
      <c r="C75" s="435"/>
      <c r="D75" s="435"/>
      <c r="E75" s="2625"/>
      <c r="F75" s="2625"/>
      <c r="G75" s="2625"/>
      <c r="H75" s="2625"/>
      <c r="I75" s="2625"/>
      <c r="J75" s="2625"/>
      <c r="K75" s="2625"/>
      <c r="L75" s="2625"/>
      <c r="M75" s="2625"/>
      <c r="N75" s="2625"/>
      <c r="O75" s="2625"/>
      <c r="P75" s="2625"/>
      <c r="Q75" s="2625"/>
      <c r="R75" s="2625"/>
      <c r="S75" s="2625"/>
      <c r="T75" s="2625"/>
      <c r="U75" s="2625"/>
      <c r="V75" s="2625"/>
      <c r="W75" s="2625"/>
      <c r="X75" s="2625"/>
      <c r="Y75" s="2625"/>
      <c r="Z75" s="2625"/>
      <c r="AA75" s="2625"/>
      <c r="AB75" s="471"/>
      <c r="AC75" s="471"/>
    </row>
    <row r="76" spans="1:36" ht="13.1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15" customHeight="1">
      <c r="C77" s="435"/>
      <c r="D77" s="219" t="s">
        <v>1360</v>
      </c>
      <c r="AB77" s="2613">
        <f>ROUND(IF(ISERROR((AB59/AB72)),0,(AB59/AB72)),0)</f>
        <v>15549560</v>
      </c>
      <c r="AC77" s="2613"/>
      <c r="AD77" s="2613"/>
      <c r="AE77" s="2613"/>
      <c r="AF77" s="2613"/>
    </row>
    <row r="78" spans="1:36" ht="13.15" customHeight="1">
      <c r="C78" s="435"/>
      <c r="D78" s="219" t="s">
        <v>1361</v>
      </c>
      <c r="AB78" s="2614">
        <f>MIN(Y69,AB77)</f>
        <v>15549560</v>
      </c>
      <c r="AC78" s="2615"/>
      <c r="AD78" s="2615"/>
      <c r="AE78" s="2615"/>
      <c r="AF78" s="2616"/>
    </row>
    <row r="79" spans="1:36" ht="13.15" customHeight="1">
      <c r="C79" s="435"/>
      <c r="D79" s="219" t="s">
        <v>1362</v>
      </c>
      <c r="AB79" s="2617">
        <f>AB78*AB72</f>
        <v>13994604</v>
      </c>
      <c r="AC79" s="2617"/>
      <c r="AD79" s="2617"/>
      <c r="AE79" s="2617"/>
      <c r="AF79" s="2617"/>
    </row>
    <row r="80" spans="1:36" ht="13.15" customHeight="1">
      <c r="C80" s="435"/>
      <c r="D80" s="435"/>
      <c r="AB80" s="456"/>
      <c r="AC80" s="456"/>
      <c r="AD80" s="456"/>
      <c r="AE80" s="456"/>
      <c r="AF80" s="456"/>
    </row>
    <row r="81" spans="1:78" ht="13.15" customHeight="1">
      <c r="D81" s="435" t="s">
        <v>763</v>
      </c>
      <c r="AB81" s="2618">
        <f>AB49-(AB57+AB79)</f>
        <v>0.40000000596046448</v>
      </c>
      <c r="AC81" s="2618"/>
      <c r="AD81" s="2618"/>
      <c r="AE81" s="2618"/>
      <c r="AF81" s="2618"/>
    </row>
    <row r="82" spans="1:78" ht="13.15" customHeight="1">
      <c r="F82" s="556"/>
      <c r="J82" s="556" t="str">
        <f>IF(AB81&gt;0,"FUNDING GAP MUST NOT EXCEED ZERO","")</f>
        <v>FUNDING GAP MUST NOT EXCEED ZERO</v>
      </c>
    </row>
    <row r="83" spans="1:78" ht="13.15" customHeight="1">
      <c r="D83" s="557"/>
    </row>
    <row r="84" spans="1:78" ht="13.15" customHeight="1" thickBot="1">
      <c r="A84" s="2640"/>
      <c r="B84" s="2640"/>
      <c r="C84" s="2640"/>
      <c r="D84" s="2640"/>
      <c r="E84" s="2640"/>
      <c r="F84" s="2640"/>
      <c r="G84" s="2640"/>
      <c r="H84" s="2640"/>
      <c r="I84" s="2640"/>
      <c r="J84" s="2640"/>
      <c r="K84" s="2640"/>
      <c r="L84" s="2640"/>
      <c r="M84" s="2640"/>
      <c r="N84" s="2640"/>
      <c r="O84" s="2640"/>
      <c r="P84" s="2640"/>
      <c r="Q84" s="2640"/>
      <c r="R84" s="2640"/>
      <c r="S84" s="2640"/>
      <c r="T84" s="2640"/>
      <c r="U84" s="2640"/>
      <c r="V84" s="2640"/>
      <c r="W84" s="2640"/>
      <c r="X84" s="2640"/>
      <c r="Y84" s="2640"/>
      <c r="Z84" s="2640"/>
      <c r="AA84" s="2640"/>
      <c r="AB84" s="2640"/>
      <c r="AC84" s="2640"/>
      <c r="AD84" s="2640"/>
      <c r="AE84" s="2640"/>
      <c r="AF84" s="2640"/>
      <c r="AG84" s="2640"/>
      <c r="AH84" s="2640"/>
      <c r="AI84" s="2640"/>
      <c r="AJ84" s="2640"/>
      <c r="AK84" s="2640"/>
      <c r="AL84" s="2640"/>
      <c r="AM84" s="2640"/>
      <c r="AN84" s="2640"/>
      <c r="AO84" s="2640"/>
      <c r="AP84" s="2640"/>
      <c r="AQ84" s="2640"/>
      <c r="AR84" s="2640"/>
      <c r="AS84" s="2640"/>
      <c r="AT84" s="2640"/>
      <c r="AU84" s="2640"/>
      <c r="AV84" s="2640"/>
      <c r="AW84" s="2640"/>
      <c r="AX84" s="2640"/>
      <c r="AY84" s="2640"/>
      <c r="AZ84" s="2640"/>
      <c r="BA84" s="2640"/>
      <c r="BB84" s="2640"/>
      <c r="BC84" s="2640"/>
      <c r="BD84" s="2640"/>
      <c r="BE84" s="2640"/>
      <c r="BF84" s="2640"/>
      <c r="BG84" s="2640"/>
      <c r="BH84" s="2640"/>
      <c r="BI84" s="2640"/>
      <c r="BJ84" s="2640"/>
      <c r="BK84" s="2640"/>
      <c r="BL84" s="2640"/>
      <c r="BM84" s="2640"/>
      <c r="BN84" s="2640"/>
      <c r="BO84" s="2640"/>
      <c r="BP84" s="2640"/>
      <c r="BQ84" s="2640"/>
      <c r="BR84" s="2640"/>
      <c r="BS84" s="2640"/>
      <c r="BT84" s="2640"/>
      <c r="BU84" s="2640"/>
      <c r="BV84" s="2640"/>
      <c r="BW84" s="2640"/>
      <c r="BX84" s="2640"/>
    </row>
    <row r="85" spans="1:78" ht="13.15" customHeight="1" thickTop="1"/>
    <row r="86" spans="1:78" ht="13.15" customHeight="1">
      <c r="A86" s="435"/>
      <c r="C86" s="219"/>
    </row>
    <row r="87" spans="1:78" ht="13.15" customHeight="1">
      <c r="D87" s="219"/>
      <c r="AB87" s="2672"/>
      <c r="AC87" s="2672"/>
      <c r="AD87" s="2672"/>
      <c r="AE87" s="2672"/>
      <c r="AF87" s="2672"/>
    </row>
    <row r="88" spans="1:78" ht="13.15" customHeight="1" thickBot="1">
      <c r="D88" s="219"/>
      <c r="AB88" s="2671"/>
      <c r="AC88" s="2671"/>
      <c r="AD88" s="2671"/>
      <c r="AE88" s="2671"/>
      <c r="AF88" s="267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5"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44"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84">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7</v>
      </c>
      <c r="C4" s="1122"/>
      <c r="D4" s="459">
        <f>Application!O718</f>
        <v>768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v>
      </c>
      <c r="C5" s="1122"/>
      <c r="D5" s="459">
        <f>Application!O719</f>
        <v>1336</v>
      </c>
      <c r="E5" s="460"/>
      <c r="F5" s="1123"/>
      <c r="G5" s="459">
        <f t="shared" ref="G5:G38" si="2">F5*B5</f>
        <v>0</v>
      </c>
      <c r="H5" s="460"/>
      <c r="I5" s="459" t="str">
        <f t="shared" si="0"/>
        <v/>
      </c>
      <c r="J5" s="459" t="str">
        <f t="shared" si="1"/>
        <v/>
      </c>
      <c r="K5" s="218"/>
      <c r="L5" s="328"/>
    </row>
    <row r="6" spans="1:12">
      <c r="A6" s="459" t="str">
        <f>Application!B720</f>
        <v>1 Bedroom</v>
      </c>
      <c r="B6" s="1121">
        <f>Application!G720</f>
        <v>20</v>
      </c>
      <c r="C6" s="1122"/>
      <c r="D6" s="459">
        <f>Application!O720</f>
        <v>1620</v>
      </c>
      <c r="E6" s="460"/>
      <c r="F6" s="1123"/>
      <c r="G6" s="459">
        <f t="shared" si="2"/>
        <v>0</v>
      </c>
      <c r="H6" s="460"/>
      <c r="I6" s="459" t="str">
        <f t="shared" si="0"/>
        <v/>
      </c>
      <c r="J6" s="459" t="str">
        <f t="shared" si="1"/>
        <v/>
      </c>
      <c r="K6" s="218"/>
      <c r="L6" s="328"/>
    </row>
    <row r="7" spans="1:12">
      <c r="A7" s="459" t="str">
        <f>Application!B721</f>
        <v>1 Bedroom</v>
      </c>
      <c r="B7" s="1121">
        <f>Application!G721</f>
        <v>4</v>
      </c>
      <c r="C7" s="1122"/>
      <c r="D7" s="459">
        <f>Application!O721</f>
        <v>1904</v>
      </c>
      <c r="E7" s="460"/>
      <c r="F7" s="1123"/>
      <c r="G7" s="459">
        <f t="shared" si="2"/>
        <v>0</v>
      </c>
      <c r="H7" s="460"/>
      <c r="I7" s="459" t="str">
        <f t="shared" si="0"/>
        <v/>
      </c>
      <c r="J7" s="459" t="str">
        <f t="shared" si="1"/>
        <v/>
      </c>
      <c r="K7" s="218"/>
      <c r="L7" s="328"/>
    </row>
    <row r="8" spans="1:12">
      <c r="A8" s="459" t="str">
        <f>Application!B722</f>
        <v>2 Bedrooms</v>
      </c>
      <c r="B8" s="1121">
        <f>Application!G722</f>
        <v>4</v>
      </c>
      <c r="C8" s="1122"/>
      <c r="D8" s="459">
        <f>Application!O722</f>
        <v>912</v>
      </c>
      <c r="E8" s="460"/>
      <c r="F8" s="1123"/>
      <c r="G8" s="459">
        <f t="shared" si="2"/>
        <v>0</v>
      </c>
      <c r="H8" s="460"/>
      <c r="I8" s="459" t="str">
        <f t="shared" si="0"/>
        <v/>
      </c>
      <c r="J8" s="459" t="str">
        <f t="shared" si="1"/>
        <v/>
      </c>
      <c r="K8" s="218"/>
      <c r="L8" s="328"/>
    </row>
    <row r="9" spans="1:12">
      <c r="A9" s="459" t="str">
        <f>Application!B723</f>
        <v>2 Bedrooms</v>
      </c>
      <c r="B9" s="1121">
        <f>Application!G723</f>
        <v>3</v>
      </c>
      <c r="C9" s="1122"/>
      <c r="D9" s="459">
        <f>Application!O723</f>
        <v>1594</v>
      </c>
      <c r="E9" s="460"/>
      <c r="F9" s="1123"/>
      <c r="G9" s="459">
        <f t="shared" si="2"/>
        <v>0</v>
      </c>
      <c r="H9" s="460"/>
      <c r="I9" s="459" t="str">
        <f t="shared" si="0"/>
        <v/>
      </c>
      <c r="J9" s="459" t="str">
        <f t="shared" si="1"/>
        <v/>
      </c>
      <c r="K9" s="218"/>
      <c r="L9" s="328"/>
    </row>
    <row r="10" spans="1:12">
      <c r="A10" s="459" t="str">
        <f>Application!B724</f>
        <v>2 Bedrooms</v>
      </c>
      <c r="B10" s="1121">
        <f>Application!G724</f>
        <v>10</v>
      </c>
      <c r="C10" s="1122"/>
      <c r="D10" s="459">
        <f>Application!O724</f>
        <v>1935</v>
      </c>
      <c r="E10" s="460"/>
      <c r="F10" s="1123"/>
      <c r="G10" s="459">
        <f t="shared" si="2"/>
        <v>0</v>
      </c>
      <c r="H10" s="460"/>
      <c r="I10" s="459" t="str">
        <f t="shared" si="0"/>
        <v/>
      </c>
      <c r="J10" s="459" t="str">
        <f t="shared" si="1"/>
        <v/>
      </c>
      <c r="K10" s="218"/>
      <c r="L10" s="328"/>
    </row>
    <row r="11" spans="1:12">
      <c r="A11" s="459" t="str">
        <f>Application!B725</f>
        <v>2 Bedrooms</v>
      </c>
      <c r="B11" s="1121">
        <f>Application!G725</f>
        <v>11</v>
      </c>
      <c r="C11" s="1122"/>
      <c r="D11" s="459">
        <f>Application!O725</f>
        <v>2276</v>
      </c>
      <c r="E11" s="460"/>
      <c r="F11" s="1123"/>
      <c r="G11" s="459">
        <f t="shared" si="2"/>
        <v>0</v>
      </c>
      <c r="H11" s="460"/>
      <c r="I11" s="459" t="str">
        <f t="shared" si="0"/>
        <v/>
      </c>
      <c r="J11" s="459" t="str">
        <f t="shared" si="1"/>
        <v/>
      </c>
      <c r="K11" s="218"/>
      <c r="L11" s="328"/>
    </row>
    <row r="12" spans="1:12">
      <c r="A12" s="459" t="str">
        <f>Application!B726</f>
        <v>3 Bedrooms</v>
      </c>
      <c r="B12" s="1121">
        <f>Application!G726</f>
        <v>4</v>
      </c>
      <c r="C12" s="1122"/>
      <c r="D12" s="459">
        <f>Application!O726</f>
        <v>1037</v>
      </c>
      <c r="E12" s="460"/>
      <c r="F12" s="1123"/>
      <c r="G12" s="459">
        <f t="shared" si="2"/>
        <v>0</v>
      </c>
      <c r="H12" s="460"/>
      <c r="I12" s="459" t="str">
        <f t="shared" si="0"/>
        <v/>
      </c>
      <c r="J12" s="459" t="str">
        <f t="shared" si="1"/>
        <v/>
      </c>
      <c r="K12" s="218"/>
      <c r="L12" s="328"/>
    </row>
    <row r="13" spans="1:12">
      <c r="A13" s="459" t="str">
        <f>Application!B727</f>
        <v>3 Bedrooms</v>
      </c>
      <c r="B13" s="1121">
        <f>Application!G727</f>
        <v>4</v>
      </c>
      <c r="C13" s="1122"/>
      <c r="D13" s="459">
        <f>Application!O727</f>
        <v>1825</v>
      </c>
      <c r="E13" s="460"/>
      <c r="F13" s="1123"/>
      <c r="G13" s="459">
        <f t="shared" si="2"/>
        <v>0</v>
      </c>
      <c r="H13" s="460"/>
      <c r="I13" s="459" t="str">
        <f t="shared" si="0"/>
        <v/>
      </c>
      <c r="J13" s="459" t="str">
        <f t="shared" si="1"/>
        <v/>
      </c>
      <c r="K13" s="218"/>
      <c r="L13" s="328"/>
    </row>
    <row r="14" spans="1:12">
      <c r="A14" s="459" t="str">
        <f>Application!B728</f>
        <v>3 Bedrooms</v>
      </c>
      <c r="B14" s="1121">
        <f>Application!G728</f>
        <v>10</v>
      </c>
      <c r="C14" s="1122"/>
      <c r="D14" s="459">
        <f>Application!O728</f>
        <v>2219</v>
      </c>
      <c r="E14" s="460"/>
      <c r="F14" s="1123"/>
      <c r="G14" s="459">
        <f t="shared" si="2"/>
        <v>0</v>
      </c>
      <c r="H14" s="460"/>
      <c r="I14" s="459" t="str">
        <f t="shared" si="0"/>
        <v/>
      </c>
      <c r="J14" s="459" t="str">
        <f t="shared" si="1"/>
        <v/>
      </c>
      <c r="K14" s="218"/>
      <c r="L14" s="328"/>
    </row>
    <row r="15" spans="1:12">
      <c r="A15" s="459" t="str">
        <f>Application!B729</f>
        <v>3 Bedrooms</v>
      </c>
      <c r="B15" s="1121">
        <f>Application!G729</f>
        <v>16</v>
      </c>
      <c r="C15" s="1122"/>
      <c r="D15" s="459">
        <f>Application!O729</f>
        <v>2613</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178998</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W67" workbookViewId="0">
      <selection activeCell="AE62" sqref="AE62"/>
    </sheetView>
  </sheetViews>
  <sheetFormatPr defaultColWidth="0" defaultRowHeight="12.5" zeroHeight="1"/>
  <cols>
    <col min="1" max="1" width="3.7265625" customWidth="1"/>
    <col min="2" max="2" width="30.45312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7265625" hidden="1"/>
  </cols>
  <sheetData>
    <row r="1" spans="1:34" ht="18">
      <c r="A1" s="226" t="s">
        <v>2408</v>
      </c>
      <c r="B1" s="226"/>
    </row>
    <row r="2" spans="1:34"/>
    <row r="3" spans="1:34" ht="15.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2147976</v>
      </c>
      <c r="G4" s="235">
        <f>E4*$C$4</f>
        <v>2201675.4</v>
      </c>
      <c r="I4" s="235">
        <f>G4*$C$4</f>
        <v>2256717.2849999997</v>
      </c>
      <c r="K4" s="235">
        <f>I4*$C$4</f>
        <v>2313135.2171249995</v>
      </c>
      <c r="M4" s="235">
        <f>K4*$C$4</f>
        <v>2370963.5975531242</v>
      </c>
      <c r="O4" s="235">
        <f>M4*$C$4</f>
        <v>2430237.687491952</v>
      </c>
      <c r="Q4" s="235">
        <f>O4*$C$4</f>
        <v>2490993.6296792505</v>
      </c>
      <c r="S4" s="235">
        <f>Q4*$C$4</f>
        <v>2553268.4704212314</v>
      </c>
      <c r="U4" s="235">
        <f>S4*$C$4</f>
        <v>2617100.1821817621</v>
      </c>
      <c r="W4" s="235">
        <f>U4*$C$4</f>
        <v>2682527.6867363057</v>
      </c>
      <c r="Y4" s="235">
        <f>W4*$C$4</f>
        <v>2749590.8789047133</v>
      </c>
      <c r="AA4" s="235">
        <f>Y4*$C$4</f>
        <v>2818330.6508773309</v>
      </c>
      <c r="AC4" s="235">
        <f>AA4*$C$4</f>
        <v>2888788.9171492639</v>
      </c>
      <c r="AE4" s="235">
        <f>AC4*$C$4</f>
        <v>2961008.6400779951</v>
      </c>
      <c r="AG4" s="235">
        <f>AE4*$C$4</f>
        <v>3035033.8560799449</v>
      </c>
    </row>
    <row r="5" spans="1:34" s="225" customFormat="1" ht="14">
      <c r="B5" s="225" t="s">
        <v>849</v>
      </c>
      <c r="C5" s="254">
        <f>IF(Application!$D$211="Special Needs",0.1,0.05)</f>
        <v>0.05</v>
      </c>
      <c r="E5" s="237">
        <f>-E4*$C$5</f>
        <v>-107398.8</v>
      </c>
      <c r="F5" s="237"/>
      <c r="G5" s="237">
        <f>-G4*$C$5</f>
        <v>-110083.77</v>
      </c>
      <c r="H5" s="237"/>
      <c r="I5" s="237">
        <f>-I4*$C$5</f>
        <v>-112835.86424999998</v>
      </c>
      <c r="J5" s="237"/>
      <c r="K5" s="237">
        <f>-K4*$C$5</f>
        <v>-115656.76085624998</v>
      </c>
      <c r="L5" s="237"/>
      <c r="M5" s="237">
        <f>-M4*$C$5</f>
        <v>-118548.17987765622</v>
      </c>
      <c r="N5" s="237"/>
      <c r="O5" s="237">
        <f>-O4*$C$5</f>
        <v>-121511.8843745976</v>
      </c>
      <c r="P5" s="237"/>
      <c r="Q5" s="237">
        <f>-Q4*$C$5</f>
        <v>-124549.68148396253</v>
      </c>
      <c r="R5" s="237"/>
      <c r="S5" s="237">
        <f>-S4*$C$5</f>
        <v>-127663.42352106157</v>
      </c>
      <c r="T5" s="237"/>
      <c r="U5" s="237">
        <f>-U4*$C$5</f>
        <v>-130855.0091090881</v>
      </c>
      <c r="V5" s="237"/>
      <c r="W5" s="237">
        <f>-W4*$C$5</f>
        <v>-134126.3843368153</v>
      </c>
      <c r="X5" s="237"/>
      <c r="Y5" s="237">
        <f>-Y4*$C$5</f>
        <v>-137479.54394523567</v>
      </c>
      <c r="Z5" s="237"/>
      <c r="AA5" s="237">
        <f>-AA4*$C$5</f>
        <v>-140916.53254386655</v>
      </c>
      <c r="AB5" s="237"/>
      <c r="AC5" s="237">
        <f>-AC4*$C$5</f>
        <v>-144439.4458574632</v>
      </c>
      <c r="AD5" s="237"/>
      <c r="AE5" s="237">
        <f>-AE4*$C$5</f>
        <v>-148050.43200389977</v>
      </c>
      <c r="AF5" s="237"/>
      <c r="AG5" s="237">
        <f>-AG4*$C$5</f>
        <v>-151751.69280399726</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18816</v>
      </c>
      <c r="F8" s="238"/>
      <c r="G8" s="238">
        <f>E8*$C$8</f>
        <v>19286.399999999998</v>
      </c>
      <c r="H8" s="238"/>
      <c r="I8" s="238">
        <f>G8*$C$8</f>
        <v>19768.559999999998</v>
      </c>
      <c r="J8" s="238"/>
      <c r="K8" s="238">
        <f>I8*$C$8</f>
        <v>20262.773999999998</v>
      </c>
      <c r="L8" s="238"/>
      <c r="M8" s="238">
        <f>K8*$C$8</f>
        <v>20769.343349999996</v>
      </c>
      <c r="N8" s="238"/>
      <c r="O8" s="238">
        <f>M8*$C$8</f>
        <v>21288.576933749995</v>
      </c>
      <c r="P8" s="238"/>
      <c r="Q8" s="238">
        <f>O8*$C$8</f>
        <v>21820.791357093742</v>
      </c>
      <c r="R8" s="238"/>
      <c r="S8" s="238">
        <f>Q8*$C$8</f>
        <v>22366.311141021084</v>
      </c>
      <c r="T8" s="238"/>
      <c r="U8" s="238">
        <f>S8*$C$8</f>
        <v>22925.468919546609</v>
      </c>
      <c r="V8" s="238"/>
      <c r="W8" s="238">
        <f>U8*$C$8</f>
        <v>23498.605642535273</v>
      </c>
      <c r="X8" s="238"/>
      <c r="Y8" s="238">
        <f>W8*$C$8</f>
        <v>24086.070783598654</v>
      </c>
      <c r="Z8" s="238"/>
      <c r="AA8" s="238">
        <f>Y8*$C$8</f>
        <v>24688.222553188618</v>
      </c>
      <c r="AB8" s="238"/>
      <c r="AC8" s="238">
        <f>AA8*$C$8</f>
        <v>25305.428117018331</v>
      </c>
      <c r="AD8" s="238"/>
      <c r="AE8" s="238">
        <f>AC8*$C$8</f>
        <v>25938.063819943789</v>
      </c>
      <c r="AF8" s="238"/>
      <c r="AG8" s="238">
        <f>AE8*$C$8</f>
        <v>26586.51541544238</v>
      </c>
    </row>
    <row r="9" spans="1:34" s="225" customFormat="1" ht="14">
      <c r="B9" s="225" t="s">
        <v>849</v>
      </c>
      <c r="C9" s="254">
        <f>IF(Application!$D$211="Special Needs",0.1,0.05)</f>
        <v>0.05</v>
      </c>
      <c r="E9" s="237">
        <f>-E8*$C$9</f>
        <v>-940.80000000000007</v>
      </c>
      <c r="F9" s="237"/>
      <c r="G9" s="237">
        <f>-G8*$C$9</f>
        <v>-964.31999999999994</v>
      </c>
      <c r="H9" s="237"/>
      <c r="I9" s="237">
        <f>-I8*$C$9</f>
        <v>-988.42799999999988</v>
      </c>
      <c r="J9" s="237"/>
      <c r="K9" s="237">
        <f>-K8*$C$9</f>
        <v>-1013.1387</v>
      </c>
      <c r="L9" s="237"/>
      <c r="M9" s="237">
        <f>-M8*$C$9</f>
        <v>-1038.4671674999997</v>
      </c>
      <c r="N9" s="237"/>
      <c r="O9" s="237">
        <f>-O8*$C$9</f>
        <v>-1064.4288466874998</v>
      </c>
      <c r="P9" s="237"/>
      <c r="Q9" s="237">
        <f>-Q8*$C$9</f>
        <v>-1091.0395678546872</v>
      </c>
      <c r="R9" s="237"/>
      <c r="S9" s="237">
        <f>-S8*$C$9</f>
        <v>-1118.3155570510542</v>
      </c>
      <c r="T9" s="237"/>
      <c r="U9" s="237">
        <f>-U8*$C$9</f>
        <v>-1146.2734459773305</v>
      </c>
      <c r="V9" s="237"/>
      <c r="W9" s="237">
        <f>-W8*$C$9</f>
        <v>-1174.9302821267636</v>
      </c>
      <c r="X9" s="237"/>
      <c r="Y9" s="237">
        <f>-Y8*$C$9</f>
        <v>-1204.3035391799328</v>
      </c>
      <c r="Z9" s="237"/>
      <c r="AA9" s="237">
        <f>-AA8*$C$9</f>
        <v>-1234.411127659431</v>
      </c>
      <c r="AB9" s="237"/>
      <c r="AC9" s="237">
        <f>-AC8*$C$9</f>
        <v>-1265.2714058509166</v>
      </c>
      <c r="AD9" s="237"/>
      <c r="AE9" s="237">
        <f>-AE8*$C$9</f>
        <v>-1296.9031909971895</v>
      </c>
      <c r="AF9" s="237"/>
      <c r="AG9" s="237">
        <f>-AG8*$C$9</f>
        <v>-1329.3257707721191</v>
      </c>
    </row>
    <row r="10" spans="1:34" s="225" customFormat="1" ht="14">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2058452.4</v>
      </c>
      <c r="G11" s="239">
        <f>SUM(G4:G10)</f>
        <v>2109913.71</v>
      </c>
      <c r="I11" s="239">
        <f>SUM(I4:I10)</f>
        <v>2162661.5527499998</v>
      </c>
      <c r="K11" s="239">
        <f>SUM(K4:K10)</f>
        <v>2216728.0915687499</v>
      </c>
      <c r="M11" s="239">
        <f>SUM(M4:M10)</f>
        <v>2272146.2938579684</v>
      </c>
      <c r="O11" s="239">
        <f>SUM(O4:O10)</f>
        <v>2328949.9512044168</v>
      </c>
      <c r="Q11" s="239">
        <f>SUM(Q4:Q10)</f>
        <v>2387173.6999845272</v>
      </c>
      <c r="S11" s="239">
        <f>SUM(S4:S10)</f>
        <v>2446853.04248414</v>
      </c>
      <c r="U11" s="239">
        <f>SUM(U4:U10)</f>
        <v>2508024.3685462433</v>
      </c>
      <c r="W11" s="239">
        <f>SUM(W4:W10)</f>
        <v>2570724.9777598991</v>
      </c>
      <c r="Y11" s="239">
        <f>SUM(Y4:Y10)</f>
        <v>2634993.1022038967</v>
      </c>
      <c r="AA11" s="239">
        <f>SUM(AA4:AA10)</f>
        <v>2700867.9297589934</v>
      </c>
      <c r="AC11" s="239">
        <f>SUM(AC4:AC10)</f>
        <v>2768389.6280029677</v>
      </c>
      <c r="AE11" s="239">
        <f>SUM(AE4:AE10)</f>
        <v>2837599.3687030422</v>
      </c>
      <c r="AG11" s="239">
        <f>SUM(AG4:AG10)</f>
        <v>2908539.3529206179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110500</v>
      </c>
      <c r="G15" s="235">
        <f>E15*$C$14</f>
        <v>114367.49999999999</v>
      </c>
      <c r="I15" s="235">
        <f>G15*$C$14</f>
        <v>118370.36249999997</v>
      </c>
      <c r="K15" s="235">
        <f>I15*$C$14</f>
        <v>122513.32518749997</v>
      </c>
      <c r="M15" s="235">
        <f>K15*$C$14</f>
        <v>126801.29156906246</v>
      </c>
      <c r="O15" s="235">
        <f>M15*$C$14</f>
        <v>131239.33677397965</v>
      </c>
      <c r="Q15" s="235">
        <f>O15*$C$14</f>
        <v>135832.71356106893</v>
      </c>
      <c r="S15" s="235">
        <f>Q15*$C$14</f>
        <v>140586.85853570633</v>
      </c>
      <c r="U15" s="235">
        <f>S15*$C$14</f>
        <v>145507.39858445604</v>
      </c>
      <c r="W15" s="235">
        <f>U15*$C$14</f>
        <v>150600.157534912</v>
      </c>
      <c r="Y15" s="235">
        <f>W15*$C$14</f>
        <v>155871.1630486339</v>
      </c>
      <c r="AA15" s="235">
        <f>Y15*$C$14</f>
        <v>161326.65375533607</v>
      </c>
      <c r="AC15" s="235">
        <f>AA15*$C$14</f>
        <v>166973.08663677282</v>
      </c>
      <c r="AE15" s="235">
        <f>AC15*$C$14</f>
        <v>172817.14466905984</v>
      </c>
      <c r="AG15" s="235">
        <f>AE15*$C$14</f>
        <v>178865.74473247692</v>
      </c>
    </row>
    <row r="16" spans="1:34" s="225" customFormat="1" ht="14">
      <c r="A16" s="225" t="s">
        <v>345</v>
      </c>
      <c r="C16" s="249"/>
      <c r="E16" s="238">
        <f>Application!W849</f>
        <v>85000</v>
      </c>
      <c r="F16" s="238"/>
      <c r="G16" s="238">
        <f t="shared" ref="G16:AG21" si="0">E16*$C$14</f>
        <v>87975</v>
      </c>
      <c r="H16" s="238"/>
      <c r="I16" s="238">
        <f t="shared" si="0"/>
        <v>91054.125</v>
      </c>
      <c r="J16" s="238"/>
      <c r="K16" s="238">
        <f t="shared" si="0"/>
        <v>94241.019374999989</v>
      </c>
      <c r="L16" s="238"/>
      <c r="M16" s="238">
        <f t="shared" si="0"/>
        <v>97539.455053124984</v>
      </c>
      <c r="N16" s="238"/>
      <c r="O16" s="238">
        <f t="shared" si="0"/>
        <v>100953.33597998435</v>
      </c>
      <c r="P16" s="238"/>
      <c r="Q16" s="238">
        <f t="shared" si="0"/>
        <v>104486.70273928379</v>
      </c>
      <c r="R16" s="238"/>
      <c r="S16" s="238">
        <f t="shared" si="0"/>
        <v>108143.73733515872</v>
      </c>
      <c r="T16" s="238"/>
      <c r="U16" s="238">
        <f t="shared" si="0"/>
        <v>111928.76814188926</v>
      </c>
      <c r="V16" s="238"/>
      <c r="W16" s="238">
        <f t="shared" si="0"/>
        <v>115846.27502685538</v>
      </c>
      <c r="X16" s="238"/>
      <c r="Y16" s="238">
        <f t="shared" si="0"/>
        <v>119900.89465279531</v>
      </c>
      <c r="Z16" s="238"/>
      <c r="AA16" s="238">
        <f t="shared" si="0"/>
        <v>124097.42596564314</v>
      </c>
      <c r="AB16" s="238"/>
      <c r="AC16" s="238">
        <f t="shared" si="0"/>
        <v>128440.83587444064</v>
      </c>
      <c r="AD16" s="238"/>
      <c r="AE16" s="238">
        <f t="shared" si="0"/>
        <v>132936.26513004606</v>
      </c>
      <c r="AF16" s="238"/>
      <c r="AG16" s="238">
        <f t="shared" si="0"/>
        <v>137589.03440959766</v>
      </c>
    </row>
    <row r="17" spans="1:33" s="225" customFormat="1" ht="14">
      <c r="A17" s="225" t="s">
        <v>569</v>
      </c>
      <c r="C17" s="249"/>
      <c r="E17" s="238">
        <f>Application!W855</f>
        <v>170000</v>
      </c>
      <c r="F17" s="238"/>
      <c r="G17" s="238">
        <f t="shared" si="0"/>
        <v>175950</v>
      </c>
      <c r="H17" s="238"/>
      <c r="I17" s="238">
        <f t="shared" si="0"/>
        <v>182108.25</v>
      </c>
      <c r="J17" s="238"/>
      <c r="K17" s="238">
        <f t="shared" si="0"/>
        <v>188482.03874999998</v>
      </c>
      <c r="L17" s="238"/>
      <c r="M17" s="238">
        <f t="shared" si="0"/>
        <v>195078.91010624997</v>
      </c>
      <c r="N17" s="238"/>
      <c r="O17" s="238">
        <f t="shared" si="0"/>
        <v>201906.67195996869</v>
      </c>
      <c r="P17" s="238"/>
      <c r="Q17" s="238">
        <f t="shared" si="0"/>
        <v>208973.40547856758</v>
      </c>
      <c r="R17" s="238"/>
      <c r="S17" s="238">
        <f t="shared" si="0"/>
        <v>216287.47467031743</v>
      </c>
      <c r="T17" s="238"/>
      <c r="U17" s="238">
        <f t="shared" si="0"/>
        <v>223857.53628377852</v>
      </c>
      <c r="V17" s="238"/>
      <c r="W17" s="238">
        <f t="shared" si="0"/>
        <v>231692.55005371076</v>
      </c>
      <c r="X17" s="238"/>
      <c r="Y17" s="238">
        <f t="shared" si="0"/>
        <v>239801.78930559062</v>
      </c>
      <c r="Z17" s="238"/>
      <c r="AA17" s="238">
        <f t="shared" si="0"/>
        <v>248194.85193128628</v>
      </c>
      <c r="AB17" s="238"/>
      <c r="AC17" s="238">
        <f t="shared" si="0"/>
        <v>256881.67174888129</v>
      </c>
      <c r="AD17" s="238"/>
      <c r="AE17" s="238">
        <f t="shared" si="0"/>
        <v>265872.53026009211</v>
      </c>
      <c r="AF17" s="238"/>
      <c r="AG17" s="238">
        <f t="shared" si="0"/>
        <v>275178.06881919532</v>
      </c>
    </row>
    <row r="18" spans="1:33" s="225" customFormat="1" ht="14">
      <c r="A18" s="225" t="s">
        <v>853</v>
      </c>
      <c r="C18" s="249"/>
      <c r="E18" s="238">
        <f>Application!W862</f>
        <v>153000</v>
      </c>
      <c r="F18" s="238"/>
      <c r="G18" s="238">
        <f t="shared" si="0"/>
        <v>158355</v>
      </c>
      <c r="H18" s="238"/>
      <c r="I18" s="238">
        <f t="shared" si="0"/>
        <v>163897.42499999999</v>
      </c>
      <c r="J18" s="238"/>
      <c r="K18" s="238">
        <f t="shared" si="0"/>
        <v>169633.83487499997</v>
      </c>
      <c r="L18" s="238"/>
      <c r="M18" s="238">
        <f t="shared" si="0"/>
        <v>175571.01909562494</v>
      </c>
      <c r="N18" s="238"/>
      <c r="O18" s="238">
        <f t="shared" si="0"/>
        <v>181716.00476397181</v>
      </c>
      <c r="P18" s="238"/>
      <c r="Q18" s="238">
        <f t="shared" si="0"/>
        <v>188076.0649307108</v>
      </c>
      <c r="R18" s="238"/>
      <c r="S18" s="238">
        <f t="shared" si="0"/>
        <v>194658.72720328567</v>
      </c>
      <c r="T18" s="238"/>
      <c r="U18" s="238">
        <f t="shared" si="0"/>
        <v>201471.78265540066</v>
      </c>
      <c r="V18" s="238"/>
      <c r="W18" s="238">
        <f t="shared" si="0"/>
        <v>208523.29504833967</v>
      </c>
      <c r="X18" s="238"/>
      <c r="Y18" s="238">
        <f t="shared" si="0"/>
        <v>215821.61037503154</v>
      </c>
      <c r="Z18" s="238"/>
      <c r="AA18" s="238">
        <f t="shared" si="0"/>
        <v>223375.36673815764</v>
      </c>
      <c r="AB18" s="238"/>
      <c r="AC18" s="238">
        <f t="shared" si="0"/>
        <v>231193.50457399312</v>
      </c>
      <c r="AD18" s="238"/>
      <c r="AE18" s="238">
        <f t="shared" si="0"/>
        <v>239285.27723408287</v>
      </c>
      <c r="AF18" s="238"/>
      <c r="AG18" s="238">
        <f t="shared" si="0"/>
        <v>247660.26193727576</v>
      </c>
    </row>
    <row r="19" spans="1:33" s="225" customFormat="1" ht="14">
      <c r="A19" s="225" t="s">
        <v>155</v>
      </c>
      <c r="C19" s="249"/>
      <c r="E19" s="238">
        <f>Application!W863</f>
        <v>80000</v>
      </c>
      <c r="F19" s="238"/>
      <c r="G19" s="238">
        <f t="shared" si="0"/>
        <v>82800</v>
      </c>
      <c r="H19" s="238"/>
      <c r="I19" s="238">
        <f t="shared" si="0"/>
        <v>85698</v>
      </c>
      <c r="J19" s="238"/>
      <c r="K19" s="238">
        <f t="shared" si="0"/>
        <v>88697.43</v>
      </c>
      <c r="L19" s="238"/>
      <c r="M19" s="238">
        <f t="shared" si="0"/>
        <v>91801.840049999984</v>
      </c>
      <c r="N19" s="238"/>
      <c r="O19" s="238">
        <f t="shared" si="0"/>
        <v>95014.904451749971</v>
      </c>
      <c r="P19" s="238"/>
      <c r="Q19" s="238">
        <f t="shared" si="0"/>
        <v>98340.426107561216</v>
      </c>
      <c r="R19" s="238"/>
      <c r="S19" s="238">
        <f t="shared" si="0"/>
        <v>101782.34102132585</v>
      </c>
      <c r="T19" s="238"/>
      <c r="U19" s="238">
        <f t="shared" si="0"/>
        <v>105344.72295707224</v>
      </c>
      <c r="V19" s="238"/>
      <c r="W19" s="238">
        <f t="shared" si="0"/>
        <v>109031.78826056977</v>
      </c>
      <c r="X19" s="238"/>
      <c r="Y19" s="238">
        <f t="shared" si="0"/>
        <v>112847.9008496897</v>
      </c>
      <c r="Z19" s="238"/>
      <c r="AA19" s="238">
        <f t="shared" si="0"/>
        <v>116797.57737942883</v>
      </c>
      <c r="AB19" s="238"/>
      <c r="AC19" s="238">
        <f t="shared" si="0"/>
        <v>120885.49258770882</v>
      </c>
      <c r="AD19" s="238"/>
      <c r="AE19" s="238">
        <f t="shared" si="0"/>
        <v>125116.48482827863</v>
      </c>
      <c r="AF19" s="238"/>
      <c r="AG19" s="238">
        <f t="shared" si="0"/>
        <v>129495.56179726837</v>
      </c>
    </row>
    <row r="20" spans="1:33" s="225" customFormat="1" ht="14">
      <c r="A20" s="225" t="s">
        <v>391</v>
      </c>
      <c r="C20" s="249"/>
      <c r="E20" s="238">
        <f>Application!W872</f>
        <v>161000</v>
      </c>
      <c r="F20" s="238"/>
      <c r="G20" s="238">
        <f t="shared" si="0"/>
        <v>166635</v>
      </c>
      <c r="H20" s="238"/>
      <c r="I20" s="238">
        <f t="shared" si="0"/>
        <v>172467.22499999998</v>
      </c>
      <c r="J20" s="238"/>
      <c r="K20" s="238">
        <f t="shared" si="0"/>
        <v>178503.57787499996</v>
      </c>
      <c r="L20" s="238"/>
      <c r="M20" s="238">
        <f t="shared" si="0"/>
        <v>184751.20310062493</v>
      </c>
      <c r="N20" s="238"/>
      <c r="O20" s="238">
        <f t="shared" si="0"/>
        <v>191217.49520914679</v>
      </c>
      <c r="P20" s="238"/>
      <c r="Q20" s="238">
        <f t="shared" si="0"/>
        <v>197910.10754146692</v>
      </c>
      <c r="R20" s="238"/>
      <c r="S20" s="238">
        <f t="shared" si="0"/>
        <v>204836.96130541826</v>
      </c>
      <c r="T20" s="238"/>
      <c r="U20" s="238">
        <f t="shared" si="0"/>
        <v>212006.25495110787</v>
      </c>
      <c r="V20" s="238"/>
      <c r="W20" s="238">
        <f t="shared" si="0"/>
        <v>219426.47387439662</v>
      </c>
      <c r="X20" s="238"/>
      <c r="Y20" s="238">
        <f t="shared" si="0"/>
        <v>227106.40046000047</v>
      </c>
      <c r="Z20" s="238"/>
      <c r="AA20" s="238">
        <f t="shared" si="0"/>
        <v>235055.12447610046</v>
      </c>
      <c r="AB20" s="238"/>
      <c r="AC20" s="238">
        <f t="shared" si="0"/>
        <v>243282.05383276395</v>
      </c>
      <c r="AD20" s="238"/>
      <c r="AE20" s="238">
        <f t="shared" si="0"/>
        <v>251796.92571691066</v>
      </c>
      <c r="AF20" s="238"/>
      <c r="AG20" s="238">
        <f t="shared" si="0"/>
        <v>260609.81811700252</v>
      </c>
    </row>
    <row r="21" spans="1:33" s="225" customFormat="1" ht="14">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854</v>
      </c>
      <c r="C22" s="249"/>
      <c r="E22" s="239">
        <f>SUM(E15:E21)</f>
        <v>759500</v>
      </c>
      <c r="G22" s="239">
        <f>SUM(G15:G21)</f>
        <v>786082.5</v>
      </c>
      <c r="I22" s="239">
        <f>SUM(I15:I21)</f>
        <v>813595.38749999995</v>
      </c>
      <c r="K22" s="239">
        <f>SUM(K15:K21)</f>
        <v>842071.22606249992</v>
      </c>
      <c r="M22" s="239">
        <f>SUM(M15:M21)</f>
        <v>871543.71897468728</v>
      </c>
      <c r="O22" s="239">
        <f>SUM(O15:O21)</f>
        <v>902047.74913880124</v>
      </c>
      <c r="Q22" s="239">
        <f>SUM(Q15:Q21)</f>
        <v>933619.42035865923</v>
      </c>
      <c r="S22" s="239">
        <f>SUM(S15:S21)</f>
        <v>966296.10007121228</v>
      </c>
      <c r="U22" s="239">
        <f>SUM(U15:U21)</f>
        <v>1000116.4635737046</v>
      </c>
      <c r="W22" s="239">
        <f>SUM(W15:W21)</f>
        <v>1035120.5397987843</v>
      </c>
      <c r="Y22" s="239">
        <f>SUM(Y15:Y21)</f>
        <v>1071349.7586917416</v>
      </c>
      <c r="AA22" s="239">
        <f>SUM(AA15:AA21)</f>
        <v>1108847.0002459525</v>
      </c>
      <c r="AC22" s="239">
        <f>SUM(AC15:AC21)</f>
        <v>1147656.6452545607</v>
      </c>
      <c r="AE22" s="239">
        <f>SUM(AE15:AE21)</f>
        <v>1187824.6278384703</v>
      </c>
      <c r="AG22" s="239">
        <f>SUM(AG15:AG21)</f>
        <v>1229398.4898128165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24500</v>
      </c>
      <c r="F27" s="238"/>
      <c r="G27" s="238">
        <f>E27*$C$27</f>
        <v>25357.499999999996</v>
      </c>
      <c r="H27" s="238"/>
      <c r="I27" s="238">
        <f>G27*$C$27</f>
        <v>26245.012499999993</v>
      </c>
      <c r="J27" s="238"/>
      <c r="K27" s="238">
        <f>I27*$C$27</f>
        <v>27163.587937499989</v>
      </c>
      <c r="L27" s="238"/>
      <c r="M27" s="238">
        <f>K27*$C$27</f>
        <v>28114.313515312486</v>
      </c>
      <c r="N27" s="238"/>
      <c r="O27" s="238">
        <f>M27*$C$27</f>
        <v>29098.31448834842</v>
      </c>
      <c r="P27" s="238"/>
      <c r="Q27" s="238">
        <f>O27*$C$27</f>
        <v>30116.755495440611</v>
      </c>
      <c r="R27" s="238"/>
      <c r="S27" s="238">
        <f>Q27*$C$27</f>
        <v>31170.841937781031</v>
      </c>
      <c r="T27" s="238"/>
      <c r="U27" s="238">
        <f>S27*$C$27</f>
        <v>32261.821405603365</v>
      </c>
      <c r="V27" s="238"/>
      <c r="W27" s="238">
        <f>U27*$C$27</f>
        <v>33390.985154799477</v>
      </c>
      <c r="X27" s="238"/>
      <c r="Y27" s="238">
        <f>W27*$C$27</f>
        <v>34559.669635217455</v>
      </c>
      <c r="Z27" s="238"/>
      <c r="AA27" s="238">
        <f>Y27*$C$27</f>
        <v>35769.258072450066</v>
      </c>
      <c r="AB27" s="238"/>
      <c r="AC27" s="238">
        <f>AA27*$C$27</f>
        <v>37021.182104985812</v>
      </c>
      <c r="AD27" s="238"/>
      <c r="AE27" s="238">
        <f>AC27*$C$27</f>
        <v>38316.923478660312</v>
      </c>
      <c r="AF27" s="238"/>
      <c r="AG27" s="238">
        <f>AE27*$C$27</f>
        <v>39658.015800413421</v>
      </c>
    </row>
    <row r="28" spans="1:33" s="225" customFormat="1" ht="14">
      <c r="A28" s="225" t="s">
        <v>857</v>
      </c>
      <c r="C28" s="253"/>
      <c r="E28" s="238">
        <f>Application!AC889</f>
        <v>24500</v>
      </c>
      <c r="F28" s="238"/>
      <c r="G28" s="238">
        <f>$E$28</f>
        <v>24500</v>
      </c>
      <c r="H28" s="238"/>
      <c r="I28" s="238">
        <f>$E$28</f>
        <v>24500</v>
      </c>
      <c r="J28" s="238"/>
      <c r="K28" s="238">
        <f>$E$28</f>
        <v>24500</v>
      </c>
      <c r="L28" s="238"/>
      <c r="M28" s="238">
        <f>$E$28</f>
        <v>24500</v>
      </c>
      <c r="N28" s="238"/>
      <c r="O28" s="238">
        <f>$E$28</f>
        <v>24500</v>
      </c>
      <c r="P28" s="238"/>
      <c r="Q28" s="238">
        <f>$E$28</f>
        <v>24500</v>
      </c>
      <c r="R28" s="238"/>
      <c r="S28" s="238">
        <f>$E$28</f>
        <v>24500</v>
      </c>
      <c r="T28" s="238"/>
      <c r="U28" s="238">
        <f>$E$28</f>
        <v>24500</v>
      </c>
      <c r="V28" s="238"/>
      <c r="W28" s="238">
        <f>$E$28</f>
        <v>24500</v>
      </c>
      <c r="X28" s="238"/>
      <c r="Y28" s="238">
        <f>$E$28</f>
        <v>24500</v>
      </c>
      <c r="Z28" s="238"/>
      <c r="AA28" s="238">
        <f>$E$28</f>
        <v>24500</v>
      </c>
      <c r="AB28" s="238"/>
      <c r="AC28" s="238">
        <f>$E$28</f>
        <v>24500</v>
      </c>
      <c r="AD28" s="238"/>
      <c r="AE28" s="238">
        <f>$E$28</f>
        <v>24500</v>
      </c>
      <c r="AF28" s="238"/>
      <c r="AG28" s="238">
        <f>$E$28</f>
        <v>24500</v>
      </c>
    </row>
    <row r="29" spans="1:33" s="225" customFormat="1" ht="14">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(SDHC Issuer And Monitoring Fee):</v>
      </c>
      <c r="C32" s="340">
        <v>1</v>
      </c>
      <c r="E32" s="238">
        <f>Application!AC893</f>
        <v>15435</v>
      </c>
      <c r="F32" s="238"/>
      <c r="G32" s="238">
        <f>E32*$C$32</f>
        <v>15435</v>
      </c>
      <c r="H32" s="238"/>
      <c r="I32" s="238">
        <f>G32*$C$32</f>
        <v>15435</v>
      </c>
      <c r="J32" s="238"/>
      <c r="K32" s="238">
        <f>I32*$C$32</f>
        <v>15435</v>
      </c>
      <c r="L32" s="238"/>
      <c r="M32" s="238">
        <f>K32*$C$32</f>
        <v>15435</v>
      </c>
      <c r="N32" s="238"/>
      <c r="O32" s="238">
        <f>M32*$C$32</f>
        <v>15435</v>
      </c>
      <c r="P32" s="238"/>
      <c r="Q32" s="238">
        <f>O32*$C$32</f>
        <v>15435</v>
      </c>
      <c r="R32" s="238"/>
      <c r="S32" s="238">
        <f>Q32*$C$32</f>
        <v>15435</v>
      </c>
      <c r="T32" s="238"/>
      <c r="U32" s="238">
        <f>S32*$C$32</f>
        <v>15435</v>
      </c>
      <c r="V32" s="238"/>
      <c r="W32" s="238">
        <f>U32*$C$32</f>
        <v>15435</v>
      </c>
      <c r="X32" s="238"/>
      <c r="Y32" s="238">
        <f>W32*$C$32</f>
        <v>15435</v>
      </c>
      <c r="Z32" s="238"/>
      <c r="AA32" s="238">
        <f>Y32*$C$32</f>
        <v>15435</v>
      </c>
      <c r="AB32" s="238"/>
      <c r="AC32" s="238">
        <f>AA32*$C$32</f>
        <v>15435</v>
      </c>
      <c r="AD32" s="238"/>
      <c r="AE32" s="238">
        <f>AC32*$C$32</f>
        <v>15435</v>
      </c>
      <c r="AF32" s="238"/>
      <c r="AG32" s="238">
        <f>AE32*$C$32</f>
        <v>15435</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823935</v>
      </c>
      <c r="G35" s="239">
        <f>SUM(G22:G33)</f>
        <v>851375</v>
      </c>
      <c r="I35" s="239">
        <f>SUM(I22:I33)</f>
        <v>879775.39999999991</v>
      </c>
      <c r="K35" s="239">
        <f>SUM(K22:K33)</f>
        <v>909169.8139999999</v>
      </c>
      <c r="M35" s="239">
        <f>SUM(M22:M33)</f>
        <v>939593.03248999978</v>
      </c>
      <c r="O35" s="239">
        <f>SUM(O22:O33)</f>
        <v>971081.06362714968</v>
      </c>
      <c r="Q35" s="239">
        <f>SUM(Q22:Q33)</f>
        <v>1003671.1758540998</v>
      </c>
      <c r="S35" s="239">
        <f>SUM(S22:S33)</f>
        <v>1037401.9420089934</v>
      </c>
      <c r="U35" s="239">
        <f>SUM(U22:U33)</f>
        <v>1072313.284979308</v>
      </c>
      <c r="W35" s="239">
        <f>SUM(W22:W33)</f>
        <v>1108446.5249535837</v>
      </c>
      <c r="Y35" s="239">
        <f>SUM(Y22:Y33)</f>
        <v>1145844.428326959</v>
      </c>
      <c r="AA35" s="239">
        <f>SUM(AA22:AA33)</f>
        <v>1184551.2583184026</v>
      </c>
      <c r="AC35" s="239">
        <f>SUM(AC22:AC33)</f>
        <v>1224612.8273595464</v>
      </c>
      <c r="AE35" s="239">
        <f>SUM(AE22:AE33)</f>
        <v>1266076.5513171307</v>
      </c>
      <c r="AG35" s="239">
        <f>SUM(AG22:AG33)</f>
        <v>1308991.5056132299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1234517.3999999999</v>
      </c>
      <c r="G37" s="239">
        <f>G11-G35</f>
        <v>1258538.71</v>
      </c>
      <c r="I37" s="239">
        <f>I11-I35</f>
        <v>1282886.1527499999</v>
      </c>
      <c r="K37" s="239">
        <f>K11-K35</f>
        <v>1307558.2775687501</v>
      </c>
      <c r="M37" s="239">
        <f>M11-M35</f>
        <v>1332553.2613679687</v>
      </c>
      <c r="O37" s="239">
        <f>O11-O35</f>
        <v>1357868.8875772671</v>
      </c>
      <c r="Q37" s="239">
        <f>Q11-Q35</f>
        <v>1383502.5241304273</v>
      </c>
      <c r="S37" s="239">
        <f>S11-S35</f>
        <v>1409451.1004751467</v>
      </c>
      <c r="U37" s="239">
        <f>U11-U35</f>
        <v>1435711.0835669353</v>
      </c>
      <c r="W37" s="239">
        <f>W11-W35</f>
        <v>1462278.4528063154</v>
      </c>
      <c r="Y37" s="239">
        <f>Y11-Y35</f>
        <v>1489148.6738769377</v>
      </c>
      <c r="AA37" s="239">
        <f>AA11-AA35</f>
        <v>1516316.6714405909</v>
      </c>
      <c r="AC37" s="239">
        <f>AC11-AC35</f>
        <v>1543776.8006434212</v>
      </c>
      <c r="AE37" s="239">
        <f>AE11-AE35</f>
        <v>1571522.8173859115</v>
      </c>
      <c r="AG37" s="239">
        <f>AG11-AG35</f>
        <v>1599547.847307388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Permanent Loan</v>
      </c>
      <c r="B40" s="242"/>
      <c r="C40" s="236"/>
      <c r="E40" s="238">
        <f>Application!AF627</f>
        <v>1071480</v>
      </c>
      <c r="F40" s="238"/>
      <c r="G40" s="238">
        <f>$E$40</f>
        <v>1071480</v>
      </c>
      <c r="H40" s="238"/>
      <c r="I40" s="238">
        <f>$E$40</f>
        <v>1071480</v>
      </c>
      <c r="J40" s="238"/>
      <c r="K40" s="238">
        <f>$E$40</f>
        <v>1071480</v>
      </c>
      <c r="L40" s="238"/>
      <c r="M40" s="238">
        <f>$E$40</f>
        <v>1071480</v>
      </c>
      <c r="N40" s="238"/>
      <c r="O40" s="238">
        <f>$E$40</f>
        <v>1071480</v>
      </c>
      <c r="P40" s="238"/>
      <c r="Q40" s="238">
        <f>$E$40</f>
        <v>1071480</v>
      </c>
      <c r="R40" s="238"/>
      <c r="S40" s="238">
        <f>$E$40</f>
        <v>1071480</v>
      </c>
      <c r="T40" s="238"/>
      <c r="U40" s="238">
        <f>$E$40</f>
        <v>1071480</v>
      </c>
      <c r="V40" s="238"/>
      <c r="W40" s="238">
        <f>$E$40</f>
        <v>1071480</v>
      </c>
      <c r="X40" s="238"/>
      <c r="Y40" s="238">
        <f>$E$40</f>
        <v>1071480</v>
      </c>
      <c r="Z40" s="238"/>
      <c r="AA40" s="238">
        <f>$E$40</f>
        <v>1071480</v>
      </c>
      <c r="AB40" s="238"/>
      <c r="AC40" s="238">
        <f>$E$40</f>
        <v>1071480</v>
      </c>
      <c r="AD40" s="238"/>
      <c r="AE40" s="238">
        <f>$E$40</f>
        <v>1071480</v>
      </c>
      <c r="AF40" s="238"/>
      <c r="AG40" s="238">
        <f>$E$40</f>
        <v>1071480</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1071480</v>
      </c>
      <c r="G43" s="239">
        <f>SUM(G40:G42)</f>
        <v>1071480</v>
      </c>
      <c r="I43" s="239">
        <f>SUM(I40:I42)</f>
        <v>1071480</v>
      </c>
      <c r="K43" s="239">
        <f>SUM(K40:K42)</f>
        <v>1071480</v>
      </c>
      <c r="M43" s="239">
        <f>SUM(M40:M42)</f>
        <v>1071480</v>
      </c>
      <c r="O43" s="239">
        <f>SUM(O40:O42)</f>
        <v>1071480</v>
      </c>
      <c r="Q43" s="239">
        <f>SUM(Q40:Q42)</f>
        <v>1071480</v>
      </c>
      <c r="S43" s="239">
        <f>SUM(S40:S42)</f>
        <v>1071480</v>
      </c>
      <c r="U43" s="239">
        <f>SUM(U40:U42)</f>
        <v>1071480</v>
      </c>
      <c r="W43" s="239">
        <f>SUM(W40:W42)</f>
        <v>1071480</v>
      </c>
      <c r="Y43" s="239">
        <f>SUM(Y40:Y42)</f>
        <v>1071480</v>
      </c>
      <c r="AA43" s="239">
        <f>SUM(AA40:AA42)</f>
        <v>1071480</v>
      </c>
      <c r="AC43" s="239">
        <f>SUM(AC40:AC42)</f>
        <v>1071480</v>
      </c>
      <c r="AE43" s="239">
        <f>SUM(AE40:AE42)</f>
        <v>1071480</v>
      </c>
      <c r="AG43" s="239">
        <f>SUM(AG40:AG42)</f>
        <v>1071480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163037.39999999991</v>
      </c>
      <c r="G45" s="239">
        <f>G37-G43</f>
        <v>187058.70999999996</v>
      </c>
      <c r="I45" s="239">
        <f>I37-I43</f>
        <v>211406.15274999989</v>
      </c>
      <c r="K45" s="239">
        <f>K37-K43</f>
        <v>236078.27756875008</v>
      </c>
      <c r="M45" s="239">
        <f>M37-M43</f>
        <v>261073.26136796875</v>
      </c>
      <c r="O45" s="239">
        <f>O37-O43</f>
        <v>286388.88757726713</v>
      </c>
      <c r="Q45" s="239">
        <f>Q37-Q43</f>
        <v>312022.52413042728</v>
      </c>
      <c r="S45" s="239">
        <f>S37-S43</f>
        <v>337971.10047514667</v>
      </c>
      <c r="U45" s="239">
        <f>U37-U43</f>
        <v>364231.08356693527</v>
      </c>
      <c r="W45" s="239">
        <f>W37-W43</f>
        <v>390798.45280631538</v>
      </c>
      <c r="Y45" s="239">
        <f>Y37-Y43</f>
        <v>417668.67387693771</v>
      </c>
      <c r="AA45" s="239">
        <f>AA37-AA43</f>
        <v>444836.67144059087</v>
      </c>
      <c r="AC45" s="239">
        <f>AC37-AC43</f>
        <v>472296.80064342124</v>
      </c>
      <c r="AE45" s="239">
        <f>AE37-AE43</f>
        <v>500042.81738591148</v>
      </c>
      <c r="AG45" s="239">
        <f>AG37-AG43</f>
        <v>528067.84730738797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7.5243678211844939E-2</v>
      </c>
      <c r="G47" s="243">
        <f>G45/(G4+G6+G8)</f>
        <v>8.4224190618677003E-2</v>
      </c>
      <c r="I47" s="243">
        <f>I45/(I4+I6+I8)</f>
        <v>9.2865129477666453E-2</v>
      </c>
      <c r="K47" s="243">
        <f>K45/(K4+K6+K8)</f>
        <v>0.10117360110305479</v>
      </c>
      <c r="M47" s="243">
        <f>M45/(M4+M6+M8)</f>
        <v>0.10915652701149268</v>
      </c>
      <c r="O47" s="243">
        <f>O45/(O4+O6+O8)</f>
        <v>0.11682064831736853</v>
      </c>
      <c r="Q47" s="243">
        <f>Q45/(Q4+Q6+Q8)</f>
        <v>0.12417253001984196</v>
      </c>
      <c r="S47" s="243">
        <f>S45/(S4+S6+S8)</f>
        <v>0.13121856518421068</v>
      </c>
      <c r="U47" s="243">
        <f>U45/(U4+U6+U8)</f>
        <v>0.13796497902018232</v>
      </c>
      <c r="W47" s="243">
        <f>W45/(W4+W6+W8)</f>
        <v>0.14441783285955007</v>
      </c>
      <c r="Y47" s="243">
        <f>Y45/(Y4+Y6+Y8)</f>
        <v>0.15058302803571721</v>
      </c>
      <c r="AA47" s="243">
        <f>AA45/(AA4+AA6+AA8)</f>
        <v>0.15646630966745226</v>
      </c>
      <c r="AC47" s="243">
        <f>AC45/(AC4+AC6+AC8)</f>
        <v>0.16207327034920141</v>
      </c>
      <c r="AE47" s="243">
        <f>AE45/(AE4+AE6+AE8)</f>
        <v>0.16740935375022259</v>
      </c>
      <c r="AG47" s="243">
        <f>AG45/(AG4+AG6+AG8)</f>
        <v>0.17247985812475627</v>
      </c>
    </row>
    <row r="48" spans="1:33" s="243" customFormat="1" ht="14">
      <c r="A48" s="243" t="s">
        <v>863</v>
      </c>
      <c r="C48" s="236"/>
      <c r="E48" s="243">
        <f>E45/E43</f>
        <v>0.15216093627505872</v>
      </c>
      <c r="G48" s="243">
        <f>G45/G43</f>
        <v>0.17457974950535704</v>
      </c>
      <c r="I48" s="243">
        <f>I45/I43</f>
        <v>0.197302938692276</v>
      </c>
      <c r="K48" s="243">
        <f>K45/K43</f>
        <v>0.22032914993163669</v>
      </c>
      <c r="M48" s="243">
        <f>M45/M43</f>
        <v>0.24365668175604654</v>
      </c>
      <c r="O48" s="243">
        <f>O45/O43</f>
        <v>0.26728346546577364</v>
      </c>
      <c r="Q48" s="243">
        <f>Q45/Q43</f>
        <v>0.29120704458359209</v>
      </c>
      <c r="S48" s="243">
        <f>S45/S43</f>
        <v>0.31542455339824044</v>
      </c>
      <c r="U48" s="243">
        <f>U45/U43</f>
        <v>0.33993269455980069</v>
      </c>
      <c r="W48" s="243">
        <f>W45/W43</f>
        <v>0.36472771568887463</v>
      </c>
      <c r="Y48" s="243">
        <f>Y45/Y43</f>
        <v>0.38980538495999711</v>
      </c>
      <c r="AA48" s="243">
        <f>AA45/AA43</f>
        <v>0.41516096561820182</v>
      </c>
      <c r="AC48" s="243">
        <f>AC45/AC43</f>
        <v>0.44078918938610262</v>
      </c>
      <c r="AE48" s="243">
        <f>AE45/AE43</f>
        <v>0.46668422871720561</v>
      </c>
      <c r="AG48" s="243">
        <f>AG45/AG43</f>
        <v>0.49283966784950534</v>
      </c>
    </row>
    <row r="49" spans="1:35" s="244" customFormat="1" ht="14">
      <c r="A49" s="244" t="s">
        <v>861</v>
      </c>
      <c r="C49" s="245"/>
      <c r="E49" s="244">
        <f>E37/E43</f>
        <v>1.1521609362750587</v>
      </c>
      <c r="G49" s="244">
        <f>G37/G43</f>
        <v>1.1745797495053572</v>
      </c>
      <c r="I49" s="244">
        <f>I37/I43</f>
        <v>1.197302938692276</v>
      </c>
      <c r="K49" s="244">
        <f>K37/K43</f>
        <v>1.2203291499316367</v>
      </c>
      <c r="M49" s="244">
        <f>M37/M43</f>
        <v>1.2436566817560466</v>
      </c>
      <c r="O49" s="244">
        <f>O37/O43</f>
        <v>1.2672834654657736</v>
      </c>
      <c r="Q49" s="244">
        <f>Q37/Q43</f>
        <v>1.2912070445835921</v>
      </c>
      <c r="S49" s="244">
        <f>S37/S43</f>
        <v>1.3154245533982405</v>
      </c>
      <c r="U49" s="244">
        <f>U37/U43</f>
        <v>1.3399326945598007</v>
      </c>
      <c r="W49" s="244">
        <f>W37/W43</f>
        <v>1.3647277156888746</v>
      </c>
      <c r="Y49" s="244">
        <f>Y37/Y43</f>
        <v>1.3898053849599972</v>
      </c>
      <c r="AA49" s="244">
        <f>AA37/AA43</f>
        <v>1.4151609656182018</v>
      </c>
      <c r="AC49" s="244">
        <f>AC37/AC43</f>
        <v>1.4407891893861027</v>
      </c>
      <c r="AE49" s="244">
        <f>AE37/AE43</f>
        <v>1.4666842287172057</v>
      </c>
      <c r="AG49" s="244">
        <f>AG37/AG43</f>
        <v>1.4928396678495053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1290</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1.0349999999999999</v>
      </c>
      <c r="E53" s="999">
        <v>10800</v>
      </c>
      <c r="G53" s="995">
        <f>E53*$C$53</f>
        <v>11178</v>
      </c>
      <c r="I53" s="995">
        <f>G53*$C$53</f>
        <v>11569.23</v>
      </c>
      <c r="K53" s="995">
        <f>I53*$C$53</f>
        <v>11974.153049999999</v>
      </c>
      <c r="M53" s="995">
        <f>K53*$C$53</f>
        <v>12393.248406749997</v>
      </c>
      <c r="O53" s="995">
        <f>M53*$C$53</f>
        <v>12827.012100986247</v>
      </c>
      <c r="Q53" s="995">
        <f>O53*$C$53</f>
        <v>13275.957524520765</v>
      </c>
      <c r="S53" s="995">
        <f>Q53*$C$53</f>
        <v>13740.616037878992</v>
      </c>
      <c r="U53" s="995">
        <f>S53*$C$53</f>
        <v>14221.537599204756</v>
      </c>
      <c r="W53" s="995">
        <f>U53*$C$53</f>
        <v>14719.291415176922</v>
      </c>
      <c r="Y53" s="995">
        <f>W53*$C$53</f>
        <v>15234.466614708113</v>
      </c>
      <c r="AA53" s="995">
        <f>Y53*$C$53</f>
        <v>15767.672946222896</v>
      </c>
      <c r="AC53" s="995">
        <f>AA53*$C$53</f>
        <v>16319.541499340696</v>
      </c>
      <c r="AE53" s="995">
        <f>AC53*$C$53</f>
        <v>16890.72545181762</v>
      </c>
      <c r="AG53" s="995">
        <f>AE53*$C$53</f>
        <v>17481.900842631236</v>
      </c>
    </row>
    <row r="54" spans="1:35" s="3" customFormat="1">
      <c r="A54" s="3" t="s">
        <v>866</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15800</v>
      </c>
      <c r="F58" s="995"/>
      <c r="G58" s="995">
        <f>SUM(G53:G57)</f>
        <v>16353</v>
      </c>
      <c r="H58" s="995"/>
      <c r="I58" s="995">
        <f>SUM(I53:I57)</f>
        <v>16925.355</v>
      </c>
      <c r="J58" s="995"/>
      <c r="K58" s="995">
        <f>SUM(K53:K57)</f>
        <v>17517.742424999997</v>
      </c>
      <c r="L58" s="995"/>
      <c r="M58" s="995">
        <f>SUM(M53:M57)</f>
        <v>18130.863409874997</v>
      </c>
      <c r="N58" s="995"/>
      <c r="O58" s="995">
        <f>SUM(O53:O57)</f>
        <v>18765.443629220619</v>
      </c>
      <c r="P58" s="995"/>
      <c r="Q58" s="995">
        <f>SUM(Q53:Q57)</f>
        <v>19422.234156243343</v>
      </c>
      <c r="R58" s="995"/>
      <c r="S58" s="995">
        <f>SUM(S53:S57)</f>
        <v>20102.012351711855</v>
      </c>
      <c r="T58" s="995"/>
      <c r="U58" s="995">
        <f>SUM(U53:U57)</f>
        <v>20805.582784021772</v>
      </c>
      <c r="V58" s="995"/>
      <c r="W58" s="995">
        <f>SUM(W53:W57)</f>
        <v>21533.778181462534</v>
      </c>
      <c r="X58" s="995"/>
      <c r="Y58" s="995">
        <f>SUM(Y53:Y57)</f>
        <v>22287.46041781372</v>
      </c>
      <c r="Z58" s="995"/>
      <c r="AA58" s="995">
        <f>SUM(AA53:AA57)</f>
        <v>23067.521532437197</v>
      </c>
      <c r="AB58" s="995"/>
      <c r="AC58" s="995">
        <f>SUM(AC53:AC57)</f>
        <v>23874.884786072496</v>
      </c>
      <c r="AD58" s="995"/>
      <c r="AE58" s="995">
        <f>SUM(AE53:AE57)</f>
        <v>24710.505753585036</v>
      </c>
      <c r="AF58" s="995"/>
      <c r="AG58" s="995">
        <f>SUM(AG53:AG57)</f>
        <v>25575.373454960507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147237.39999999991</v>
      </c>
      <c r="G60" s="997">
        <f>G45-G58</f>
        <v>170705.70999999996</v>
      </c>
      <c r="I60" s="997">
        <f>I45-I58</f>
        <v>194480.79774999988</v>
      </c>
      <c r="K60" s="997">
        <f>K45-K58</f>
        <v>218560.53514375008</v>
      </c>
      <c r="M60" s="997">
        <f>M45-M58</f>
        <v>242942.39795809376</v>
      </c>
      <c r="O60" s="997">
        <f>O45-O58</f>
        <v>267623.44394804654</v>
      </c>
      <c r="Q60" s="997">
        <f>Q45-Q58</f>
        <v>292600.28997418395</v>
      </c>
      <c r="S60" s="997">
        <f>S45-S58</f>
        <v>317869.08812343481</v>
      </c>
      <c r="U60" s="997">
        <f>U45-U58</f>
        <v>343425.50078291347</v>
      </c>
      <c r="W60" s="997">
        <f>W45-W58</f>
        <v>369264.67462485284</v>
      </c>
      <c r="Y60" s="997">
        <f>Y45-Y58</f>
        <v>395381.21345912397</v>
      </c>
      <c r="AA60" s="997">
        <f>AA45-AA58</f>
        <v>421769.14990815369</v>
      </c>
      <c r="AC60" s="997">
        <f>AC45-AC58</f>
        <v>448421.91585734877</v>
      </c>
      <c r="AE60" s="997">
        <f>AE45-AE58</f>
        <v>475332.31163232645</v>
      </c>
      <c r="AG60" s="997">
        <f>AG45-AG58</f>
        <v>502492.47385242744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147237.39999999991</v>
      </c>
      <c r="G62" s="997">
        <f>G60*$C$62</f>
        <v>170705.70999999996</v>
      </c>
      <c r="I62" s="997">
        <f>I60*$C$62</f>
        <v>194480.79774999988</v>
      </c>
      <c r="K62" s="997">
        <f>K60*$C$62</f>
        <v>218560.53514375008</v>
      </c>
      <c r="M62" s="997">
        <f>M60*$C$62</f>
        <v>242942.39795809376</v>
      </c>
      <c r="O62" s="997">
        <f>O60*$C$62</f>
        <v>267623.44394804654</v>
      </c>
      <c r="Q62" s="997">
        <f>Q60*$C$62</f>
        <v>292600.28997418395</v>
      </c>
      <c r="S62" s="997">
        <f>S60*$C$62</f>
        <v>317869.08812343481</v>
      </c>
      <c r="U62" s="997">
        <f>U60*$C$62</f>
        <v>343425.50078291347</v>
      </c>
      <c r="W62" s="997">
        <f>W60*$C$62</f>
        <v>369264.67462485284</v>
      </c>
      <c r="Y62" s="997">
        <f>Y60*$C$62</f>
        <v>395381.21345912397</v>
      </c>
      <c r="AA62" s="997">
        <f>AA60*$C$62</f>
        <v>421769.14990815369</v>
      </c>
      <c r="AC62" s="997">
        <v>448422</v>
      </c>
      <c r="AE62" s="997">
        <v>324677</v>
      </c>
      <c r="AG62" s="997">
        <v>0</v>
      </c>
    </row>
    <row r="63" spans="1:35" s="997" customFormat="1">
      <c r="A63" s="2682" t="s">
        <v>1290</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2762</v>
      </c>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v>0</v>
      </c>
      <c r="AE66" s="995">
        <f>29256+46072</f>
        <v>75328</v>
      </c>
      <c r="AG66" s="995">
        <f>97579+153667</f>
        <v>251246</v>
      </c>
    </row>
    <row r="67" spans="1:35" s="995" customFormat="1">
      <c r="A67" s="1000" t="s">
        <v>2761</v>
      </c>
      <c r="B67" s="1000"/>
      <c r="C67" s="1005"/>
      <c r="E67" s="999"/>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v>0</v>
      </c>
      <c r="AE67" s="995">
        <v>67795</v>
      </c>
      <c r="AG67" s="995">
        <v>226122</v>
      </c>
    </row>
    <row r="68" spans="1:35" s="995" customFormat="1">
      <c r="A68" s="1000" t="s">
        <v>2763</v>
      </c>
      <c r="B68" s="1000"/>
      <c r="C68" s="1005"/>
      <c r="E68" s="1000"/>
      <c r="G68" s="995">
        <f t="shared" ref="G68:AC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v>0</v>
      </c>
      <c r="AE68" s="995">
        <v>7532</v>
      </c>
      <c r="AG68" s="995">
        <v>25122</v>
      </c>
    </row>
    <row r="69" spans="1:35" s="995" customFormat="1">
      <c r="A69" s="1000" t="s">
        <v>2764</v>
      </c>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v>0</v>
      </c>
      <c r="AG69" s="1003">
        <v>2</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150655</v>
      </c>
      <c r="AG70" s="995">
        <f>SUM(AG66:AG69)</f>
        <v>502492</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-8.4142651234287769E-2</v>
      </c>
      <c r="AE72" s="997">
        <f>AE60-AE62-AE70</f>
        <v>0.3116323264548555</v>
      </c>
      <c r="AG72" s="997">
        <f>AG60-AG62-AG70</f>
        <v>0.47385242744348943</v>
      </c>
    </row>
    <row r="73" spans="1:35" s="995" customFormat="1" ht="13">
      <c r="A73" s="563"/>
      <c r="C73" s="1005"/>
    </row>
    <row r="74" spans="1:35" s="233" customFormat="1" ht="13">
      <c r="A74" s="563"/>
      <c r="C74" s="192"/>
    </row>
    <row r="75" spans="1:35" s="233" customFormat="1">
      <c r="A75" s="995" t="s">
        <v>1910</v>
      </c>
      <c r="C75" s="192"/>
    </row>
    <row r="76" spans="1:35" s="233" customFormat="1">
      <c r="C76" s="192"/>
    </row>
    <row r="77" spans="1:35" s="250" customFormat="1" ht="30" customHeight="1">
      <c r="A77" s="2680" t="s">
        <v>1909</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7265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1323</v>
      </c>
      <c r="D1" s="301"/>
    </row>
    <row r="2" spans="1:7" s="296" customFormat="1" ht="13">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3">
      <c r="A4" s="284" t="s">
        <v>26</v>
      </c>
      <c r="B4" s="284"/>
      <c r="C4" s="284"/>
      <c r="D4" s="284"/>
      <c r="E4" s="303"/>
      <c r="F4" s="284"/>
      <c r="G4" s="383"/>
    </row>
    <row r="5" spans="1:7" s="380" customFormat="1">
      <c r="A5" s="395" t="s">
        <v>27</v>
      </c>
      <c r="B5" s="286">
        <f>'Sources and Uses Budget'!$C4</f>
        <v>8500000</v>
      </c>
      <c r="C5" s="286">
        <f>'Sources and Uses Budget'!$C4</f>
        <v>8500000</v>
      </c>
      <c r="D5" s="290">
        <f>C5-B5</f>
        <v>0</v>
      </c>
      <c r="E5" s="288"/>
      <c r="F5" s="287"/>
      <c r="G5" s="383"/>
    </row>
    <row r="6" spans="1:7" s="380" customFormat="1">
      <c r="A6" s="395" t="s">
        <v>28</v>
      </c>
      <c r="B6" s="286">
        <f>'Sources and Uses Budget'!$C5</f>
        <v>100000</v>
      </c>
      <c r="C6" s="286">
        <f>'Sources and Uses Budget'!$C5</f>
        <v>100000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8600000</v>
      </c>
      <c r="C9" s="290">
        <f>SUM(C5:C8)</f>
        <v>8600000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500000</v>
      </c>
      <c r="C11" s="286">
        <f>'Sources and Uses Budget'!$C10</f>
        <v>500000</v>
      </c>
      <c r="D11" s="290">
        <f t="shared" si="0"/>
        <v>0</v>
      </c>
      <c r="E11" s="288"/>
      <c r="F11" s="287"/>
      <c r="G11" s="383"/>
    </row>
    <row r="12" spans="1:7" s="380" customFormat="1">
      <c r="A12" s="396" t="s">
        <v>604</v>
      </c>
      <c r="B12" s="290">
        <f>SUM(B10:B11)</f>
        <v>500000</v>
      </c>
      <c r="C12" s="290">
        <f>SUM(C10:C11)</f>
        <v>500000</v>
      </c>
      <c r="D12" s="290">
        <f t="shared" si="0"/>
        <v>0</v>
      </c>
      <c r="E12" s="288"/>
      <c r="F12" s="287"/>
      <c r="G12" s="383"/>
    </row>
    <row r="13" spans="1:7" s="380" customFormat="1">
      <c r="A13" s="396" t="s">
        <v>84</v>
      </c>
      <c r="B13" s="290">
        <f>SUM(B9+B12)</f>
        <v>9100000</v>
      </c>
      <c r="C13" s="290">
        <f>SUM(C9+C12)</f>
        <v>9100000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3">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1000000</v>
      </c>
      <c r="C30" s="286">
        <f>'Sources and Uses Budget'!$C29</f>
        <v>1000000</v>
      </c>
      <c r="D30" s="290">
        <f t="shared" si="0"/>
        <v>0</v>
      </c>
      <c r="E30" s="288"/>
      <c r="F30" s="287"/>
      <c r="G30" s="383"/>
    </row>
    <row r="31" spans="1:7" s="380" customFormat="1">
      <c r="A31" s="145" t="s">
        <v>607</v>
      </c>
      <c r="B31" s="286">
        <f>'Sources and Uses Budget'!$C30</f>
        <v>30135763</v>
      </c>
      <c r="C31" s="286">
        <f>'Sources and Uses Budget'!$C30</f>
        <v>30135763</v>
      </c>
      <c r="D31" s="290">
        <f t="shared" si="0"/>
        <v>0</v>
      </c>
      <c r="E31" s="288"/>
      <c r="F31" s="287"/>
      <c r="G31" s="383"/>
    </row>
    <row r="32" spans="1:7" s="380" customFormat="1">
      <c r="A32" s="145" t="s">
        <v>608</v>
      </c>
      <c r="B32" s="286">
        <f>'Sources and Uses Budget'!$C31</f>
        <v>1898146</v>
      </c>
      <c r="C32" s="286">
        <f>'Sources and Uses Budget'!$C31</f>
        <v>1898146</v>
      </c>
      <c r="D32" s="290">
        <f t="shared" si="0"/>
        <v>0</v>
      </c>
      <c r="E32" s="288"/>
      <c r="F32" s="287"/>
      <c r="G32" s="383"/>
    </row>
    <row r="33" spans="1:7" s="380" customFormat="1">
      <c r="A33" s="145" t="s">
        <v>137</v>
      </c>
      <c r="B33" s="286">
        <f>'Sources and Uses Budget'!$C32</f>
        <v>1265430.5</v>
      </c>
      <c r="C33" s="286">
        <f>'Sources and Uses Budget'!$C32</f>
        <v>1265430.5</v>
      </c>
      <c r="D33" s="290">
        <f t="shared" si="0"/>
        <v>0</v>
      </c>
      <c r="E33" s="288"/>
      <c r="F33" s="287"/>
      <c r="G33" s="383"/>
    </row>
    <row r="34" spans="1:7" s="380" customFormat="1">
      <c r="A34" s="145" t="s">
        <v>138</v>
      </c>
      <c r="B34" s="286">
        <f>'Sources and Uses Budget'!$C33</f>
        <v>1265430.5</v>
      </c>
      <c r="C34" s="286">
        <f>'Sources and Uses Budget'!$C33</f>
        <v>1265430.5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360648</v>
      </c>
      <c r="C36" s="286">
        <f>'Sources and Uses Budget'!$C35</f>
        <v>360648</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ht="23">
      <c r="A38" s="155" t="str">
        <f>'Sources and Uses Budget'!A37</f>
        <v>Other: (Off Site Improvements + Bond Premium)</v>
      </c>
      <c r="B38" s="286">
        <f>'Sources and Uses Budget'!$C37</f>
        <v>0</v>
      </c>
      <c r="C38" s="286">
        <f>'Sources and Uses Budget'!$C37</f>
        <v>0</v>
      </c>
      <c r="D38" s="290">
        <f t="shared" si="0"/>
        <v>0</v>
      </c>
      <c r="E38" s="288"/>
      <c r="F38" s="287"/>
      <c r="G38" s="383"/>
    </row>
    <row r="39" spans="1:7" s="380" customFormat="1" ht="13">
      <c r="A39" s="291" t="s">
        <v>143</v>
      </c>
      <c r="B39" s="290">
        <f>SUM(B30:B38)</f>
        <v>35925418</v>
      </c>
      <c r="C39" s="290">
        <f>SUM(C30:C38)</f>
        <v>35925418</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1100000</v>
      </c>
      <c r="C41" s="286">
        <f>'Sources and Uses Budget'!$C40</f>
        <v>1100000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1100000</v>
      </c>
      <c r="C43" s="290">
        <f>SUM(C41:C42)</f>
        <v>1100000</v>
      </c>
      <c r="D43" s="290">
        <f t="shared" si="0"/>
        <v>0</v>
      </c>
      <c r="E43" s="288"/>
      <c r="F43" s="287"/>
      <c r="G43" s="383"/>
    </row>
    <row r="44" spans="1:7" s="380" customFormat="1" ht="13">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3953908</v>
      </c>
      <c r="C46" s="286">
        <f>'Sources and Uses Budget'!$C45</f>
        <v>3953908</v>
      </c>
      <c r="D46" s="290">
        <f t="shared" si="0"/>
        <v>0</v>
      </c>
      <c r="E46" s="288"/>
      <c r="F46" s="287"/>
      <c r="G46" s="383"/>
    </row>
    <row r="47" spans="1:7" s="380" customFormat="1">
      <c r="A47" s="145" t="s">
        <v>151</v>
      </c>
      <c r="B47" s="286">
        <f>'Sources and Uses Budget'!$C46</f>
        <v>313322</v>
      </c>
      <c r="C47" s="286">
        <f>'Sources and Uses Budget'!$C46</f>
        <v>313322</v>
      </c>
      <c r="D47" s="290">
        <f t="shared" si="0"/>
        <v>0</v>
      </c>
      <c r="E47" s="288"/>
      <c r="F47" s="287"/>
      <c r="G47" s="383"/>
    </row>
    <row r="48" spans="1:7" s="380" customFormat="1" ht="12" customHeight="1">
      <c r="A48" s="198" t="s">
        <v>152</v>
      </c>
      <c r="B48" s="286">
        <f>'Sources and Uses Budget'!$C47</f>
        <v>15000</v>
      </c>
      <c r="C48" s="286">
        <f>'Sources and Uses Budget'!$C47</f>
        <v>15000</v>
      </c>
      <c r="D48" s="290">
        <f t="shared" si="0"/>
        <v>0</v>
      </c>
      <c r="E48" s="288"/>
      <c r="F48" s="287"/>
      <c r="G48" s="383"/>
    </row>
    <row r="49" spans="1:7" s="380" customFormat="1">
      <c r="A49" s="145" t="s">
        <v>153</v>
      </c>
      <c r="B49" s="286">
        <f>'Sources and Uses Budget'!$C48</f>
        <v>324583</v>
      </c>
      <c r="C49" s="286">
        <f>'Sources and Uses Budget'!$C48</f>
        <v>324583</v>
      </c>
      <c r="D49" s="290">
        <f t="shared" si="0"/>
        <v>0</v>
      </c>
      <c r="E49" s="288"/>
      <c r="F49" s="287"/>
      <c r="G49" s="383"/>
    </row>
    <row r="50" spans="1:7" s="380" customFormat="1">
      <c r="A50" s="145" t="s">
        <v>57</v>
      </c>
      <c r="B50" s="286">
        <f>'Sources and Uses Budget'!$C49</f>
        <v>78331</v>
      </c>
      <c r="C50" s="286">
        <f>'Sources and Uses Budget'!$C49</f>
        <v>78331</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105000</v>
      </c>
      <c r="C52" s="286">
        <f>'Sources and Uses Budget'!$C51</f>
        <v>105000</v>
      </c>
      <c r="D52" s="290">
        <f t="shared" si="0"/>
        <v>0</v>
      </c>
      <c r="E52" s="288"/>
      <c r="F52" s="287"/>
      <c r="G52" s="383"/>
    </row>
    <row r="53" spans="1:7" s="380" customFormat="1">
      <c r="A53" s="145" t="s">
        <v>155</v>
      </c>
      <c r="B53" s="286">
        <f>'Sources and Uses Budget'!$C52</f>
        <v>551000</v>
      </c>
      <c r="C53" s="286">
        <f>'Sources and Uses Budget'!$C52</f>
        <v>551000</v>
      </c>
      <c r="D53" s="290">
        <f t="shared" si="0"/>
        <v>0</v>
      </c>
      <c r="E53" s="288"/>
      <c r="F53" s="287"/>
      <c r="G53" s="383"/>
    </row>
    <row r="54" spans="1:7" s="380" customFormat="1">
      <c r="A54" s="155" t="str">
        <f>'Sources and Uses Budget'!A53</f>
        <v>Other: (Employment Recording)</v>
      </c>
      <c r="B54" s="286">
        <f>'Sources and Uses Budget'!$C53</f>
        <v>25000</v>
      </c>
      <c r="C54" s="286">
        <f>'Sources and Uses Budget'!$C53</f>
        <v>25000</v>
      </c>
      <c r="D54" s="290">
        <f t="shared" si="0"/>
        <v>0</v>
      </c>
      <c r="E54" s="288"/>
      <c r="F54" s="287"/>
      <c r="G54" s="383"/>
    </row>
    <row r="55" spans="1:7" s="381" customFormat="1" ht="13">
      <c r="A55" s="291" t="s">
        <v>157</v>
      </c>
      <c r="B55" s="293">
        <f>SUM(B46:B54)</f>
        <v>5466144</v>
      </c>
      <c r="C55" s="293">
        <f>SUM(C46:C54)</f>
        <v>5466144</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(Legal for Perm Loan)</v>
      </c>
      <c r="B62" s="286">
        <f>'Sources and Uses Budget'!$C61</f>
        <v>15000</v>
      </c>
      <c r="C62" s="286">
        <f>'Sources and Uses Budget'!$C61</f>
        <v>15000</v>
      </c>
      <c r="D62" s="290">
        <f t="shared" si="0"/>
        <v>0</v>
      </c>
      <c r="E62" s="288"/>
      <c r="F62" s="287"/>
      <c r="G62" s="383"/>
    </row>
    <row r="63" spans="1:7" s="380" customFormat="1" ht="13.9" customHeight="1">
      <c r="A63" s="291" t="s">
        <v>302</v>
      </c>
      <c r="B63" s="290">
        <f>SUM(B57:B62)</f>
        <v>25000</v>
      </c>
      <c r="C63" s="290">
        <f>SUM(C57:C62)</f>
        <v>25000</v>
      </c>
      <c r="D63" s="290">
        <f t="shared" si="0"/>
        <v>0</v>
      </c>
      <c r="E63" s="288"/>
      <c r="F63" s="287"/>
      <c r="G63" s="383"/>
    </row>
    <row r="64" spans="1:7" s="380" customFormat="1" ht="13">
      <c r="A64" s="294" t="s">
        <v>303</v>
      </c>
      <c r="B64" s="290">
        <f>SUM(B9+B12+B14+B15+B17+B26+B28+B39+B43+B44+B55+B63)</f>
        <v>52266562</v>
      </c>
      <c r="C64" s="290">
        <f>SUM(C9+C12+C14+C15+C17+C26+C28+C39+C43+C44+C55+C63)</f>
        <v>52266562</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175000</v>
      </c>
      <c r="C66" s="286">
        <f>'Sources and Uses Budget'!$C65</f>
        <v>175000</v>
      </c>
      <c r="D66" s="290">
        <f t="shared" si="0"/>
        <v>0</v>
      </c>
      <c r="E66" s="288"/>
      <c r="F66" s="287"/>
      <c r="G66" s="383"/>
    </row>
    <row r="67" spans="1:7" s="380" customFormat="1" ht="23">
      <c r="A67" s="304" t="s">
        <v>1752</v>
      </c>
      <c r="B67" s="286">
        <f>'Sources and Uses Budget'!$C66</f>
        <v>0</v>
      </c>
      <c r="C67" s="286">
        <f>'Sources and Uses Budget'!$C66</f>
        <v>0</v>
      </c>
      <c r="D67" s="290"/>
      <c r="E67" s="288"/>
      <c r="F67" s="287"/>
      <c r="G67" s="383"/>
    </row>
    <row r="68" spans="1:7" s="380" customFormat="1" ht="23">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ht="23">
      <c r="A70" s="155" t="str">
        <f>'Sources and Uses Budget'!A69</f>
        <v>Other: (Investor Legal+ Bond issuer Legal+ MGP LEGAL)</v>
      </c>
      <c r="B70" s="286">
        <f>'Sources and Uses Budget'!$C69</f>
        <v>150000</v>
      </c>
      <c r="C70" s="286">
        <f>'Sources and Uses Budget'!$C69</f>
        <v>150000</v>
      </c>
      <c r="D70" s="290">
        <f t="shared" si="0"/>
        <v>0</v>
      </c>
      <c r="E70" s="288"/>
      <c r="F70" s="287"/>
      <c r="G70" s="383"/>
    </row>
    <row r="71" spans="1:7" s="380" customFormat="1">
      <c r="A71" s="149" t="s">
        <v>1756</v>
      </c>
      <c r="B71" s="290">
        <f>SUM(B66:B70)</f>
        <v>325000</v>
      </c>
      <c r="C71" s="290">
        <f>SUM(C66:C70)</f>
        <v>325000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473853.6</v>
      </c>
      <c r="C76" s="286">
        <f>'Sources and Uses Budget'!$C75</f>
        <v>473853.6</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614</v>
      </c>
      <c r="B78" s="290">
        <f>SUM(B73:B77)</f>
        <v>473853.6</v>
      </c>
      <c r="C78" s="290">
        <f>SUM(C73:C77)</f>
        <v>473853.6</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1842500</v>
      </c>
      <c r="C80" s="286">
        <f>'Sources and Uses Budget'!$C79</f>
        <v>1842500</v>
      </c>
      <c r="D80" s="290">
        <f t="shared" si="1"/>
        <v>0</v>
      </c>
      <c r="E80" s="288"/>
      <c r="F80" s="287"/>
      <c r="G80" s="383"/>
    </row>
    <row r="81" spans="1:7" s="380" customFormat="1">
      <c r="A81" s="544" t="s">
        <v>58</v>
      </c>
      <c r="B81" s="286">
        <f>'Sources and Uses Budget'!$C80</f>
        <v>482360</v>
      </c>
      <c r="C81" s="286">
        <f>'Sources and Uses Budget'!$C80</f>
        <v>482360</v>
      </c>
      <c r="D81" s="290">
        <f>C81-B81</f>
        <v>0</v>
      </c>
      <c r="E81" s="288"/>
      <c r="F81" s="287"/>
      <c r="G81" s="383"/>
    </row>
    <row r="82" spans="1:7" s="380" customFormat="1" ht="13">
      <c r="A82" s="291" t="s">
        <v>1315</v>
      </c>
      <c r="B82" s="290">
        <f>SUM(B80:B81)</f>
        <v>2324860</v>
      </c>
      <c r="C82" s="290">
        <f>SUM(C80:C81)</f>
        <v>2324860</v>
      </c>
      <c r="D82" s="290">
        <f t="shared" si="1"/>
        <v>0</v>
      </c>
      <c r="E82" s="288"/>
      <c r="F82" s="287"/>
      <c r="G82" s="383"/>
    </row>
    <row r="83" spans="1:7" s="380" customFormat="1" ht="13">
      <c r="A83" s="284" t="s">
        <v>774</v>
      </c>
      <c r="B83" s="284"/>
      <c r="C83" s="284"/>
      <c r="D83" s="284"/>
      <c r="E83" s="303"/>
      <c r="F83" s="284"/>
      <c r="G83" s="383"/>
    </row>
    <row r="84" spans="1:7" s="380" customFormat="1" ht="13.9" customHeight="1">
      <c r="A84" s="289" t="s">
        <v>775</v>
      </c>
      <c r="B84" s="286">
        <f>'Sources and Uses Budget'!$C83</f>
        <v>98732.6</v>
      </c>
      <c r="C84" s="286">
        <f>'Sources and Uses Budget'!$C83</f>
        <v>98732.6</v>
      </c>
      <c r="D84" s="290">
        <f t="shared" si="1"/>
        <v>0</v>
      </c>
      <c r="E84" s="288"/>
      <c r="F84" s="287"/>
      <c r="G84" s="383"/>
    </row>
    <row r="85" spans="1:7" s="380" customFormat="1">
      <c r="A85" s="289" t="s">
        <v>776</v>
      </c>
      <c r="B85" s="286">
        <f>'Sources and Uses Budget'!$C84</f>
        <v>50000</v>
      </c>
      <c r="C85" s="286">
        <f>'Sources and Uses Budget'!$C84</f>
        <v>50000</v>
      </c>
      <c r="D85" s="290">
        <f t="shared" si="1"/>
        <v>0</v>
      </c>
      <c r="E85" s="288"/>
      <c r="F85" s="287"/>
      <c r="G85" s="383"/>
    </row>
    <row r="86" spans="1:7" s="380" customFormat="1">
      <c r="A86" s="289" t="s">
        <v>777</v>
      </c>
      <c r="B86" s="286">
        <f>'Sources and Uses Budget'!$C85</f>
        <v>2225572.6</v>
      </c>
      <c r="C86" s="286">
        <f>'Sources and Uses Budget'!$C85</f>
        <v>2225572.6</v>
      </c>
      <c r="D86" s="290">
        <f t="shared" si="1"/>
        <v>0</v>
      </c>
      <c r="E86" s="288"/>
      <c r="F86" s="287"/>
      <c r="G86" s="383"/>
    </row>
    <row r="87" spans="1:7" s="380" customFormat="1">
      <c r="A87" s="289" t="s">
        <v>778</v>
      </c>
      <c r="B87" s="286">
        <f>'Sources and Uses Budget'!$C86</f>
        <v>714426.6</v>
      </c>
      <c r="C87" s="286">
        <f>'Sources and Uses Budget'!$C86</f>
        <v>714426.6</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150000</v>
      </c>
      <c r="C89" s="286">
        <f>'Sources and Uses Budget'!$C88</f>
        <v>150000</v>
      </c>
      <c r="D89" s="290">
        <f t="shared" si="1"/>
        <v>0</v>
      </c>
      <c r="E89" s="288"/>
      <c r="F89" s="287"/>
      <c r="G89" s="383"/>
    </row>
    <row r="90" spans="1:7" s="380" customFormat="1">
      <c r="A90" s="289" t="s">
        <v>781</v>
      </c>
      <c r="B90" s="286">
        <f>'Sources and Uses Budget'!$C89</f>
        <v>150000</v>
      </c>
      <c r="C90" s="286">
        <f>'Sources and Uses Budget'!$C89</f>
        <v>150000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373</v>
      </c>
      <c r="B92" s="286">
        <f>'Sources and Uses Budget'!$C91</f>
        <v>50000</v>
      </c>
      <c r="C92" s="286">
        <f>'Sources and Uses Budget'!$C91</f>
        <v>50000</v>
      </c>
      <c r="D92" s="290">
        <f t="shared" si="1"/>
        <v>0</v>
      </c>
      <c r="E92" s="288"/>
      <c r="F92" s="287"/>
      <c r="G92" s="383"/>
    </row>
    <row r="93" spans="1:7" s="380" customFormat="1">
      <c r="A93" s="544" t="s">
        <v>1317</v>
      </c>
      <c r="B93" s="286">
        <f>'Sources and Uses Budget'!$C92</f>
        <v>20000</v>
      </c>
      <c r="C93" s="286">
        <f>'Sources and Uses Budget'!$C92</f>
        <v>20000</v>
      </c>
      <c r="D93" s="290">
        <f t="shared" si="1"/>
        <v>0</v>
      </c>
      <c r="E93" s="288"/>
      <c r="F93" s="287"/>
      <c r="G93" s="383"/>
    </row>
    <row r="94" spans="1:7" s="380" customFormat="1">
      <c r="A94" s="292" t="s">
        <v>34</v>
      </c>
      <c r="B94" s="286">
        <f>'Sources and Uses Budget'!$C93</f>
        <v>11264.6</v>
      </c>
      <c r="C94" s="286">
        <f>'Sources and Uses Budget'!$C93</f>
        <v>11264.6</v>
      </c>
      <c r="D94" s="290">
        <f t="shared" si="1"/>
        <v>0</v>
      </c>
      <c r="E94" s="288"/>
      <c r="F94" s="287"/>
      <c r="G94" s="383"/>
    </row>
    <row r="95" spans="1:7" s="380" customFormat="1">
      <c r="A95" s="292" t="s">
        <v>34</v>
      </c>
      <c r="B95" s="286">
        <f>'Sources and Uses Budget'!$C94</f>
        <v>250000.4</v>
      </c>
      <c r="C95" s="286">
        <f>'Sources and Uses Budget'!$C94</f>
        <v>250000.4</v>
      </c>
      <c r="D95" s="290">
        <f t="shared" si="1"/>
        <v>0</v>
      </c>
      <c r="E95" s="288"/>
      <c r="F95" s="287"/>
      <c r="G95" s="383"/>
    </row>
    <row r="96" spans="1:7" s="380" customFormat="1">
      <c r="A96" s="292" t="s">
        <v>34</v>
      </c>
      <c r="B96" s="286">
        <f>'Sources and Uses Budget'!$C95</f>
        <v>200000.4</v>
      </c>
      <c r="C96" s="286">
        <f>'Sources and Uses Budget'!$C95</f>
        <v>200000.4</v>
      </c>
      <c r="D96" s="290">
        <f t="shared" si="1"/>
        <v>0</v>
      </c>
      <c r="E96" s="288"/>
      <c r="F96" s="287"/>
      <c r="G96" s="383"/>
    </row>
    <row r="97" spans="1:7" s="380" customFormat="1" ht="13">
      <c r="A97" s="291" t="s">
        <v>783</v>
      </c>
      <c r="B97" s="290">
        <f>SUM(B84:B96)</f>
        <v>3934997.2</v>
      </c>
      <c r="C97" s="290">
        <f>SUM(C84:C96)</f>
        <v>3934997.2</v>
      </c>
      <c r="D97" s="290">
        <f t="shared" si="1"/>
        <v>0</v>
      </c>
      <c r="E97" s="288"/>
      <c r="F97" s="287"/>
      <c r="G97" s="383"/>
    </row>
    <row r="98" spans="1:7" s="380" customFormat="1" ht="13">
      <c r="A98" s="291" t="s">
        <v>784</v>
      </c>
      <c r="B98" s="290">
        <f>SUM(B64+B71+B78+B82+B97)</f>
        <v>59325272.800000004</v>
      </c>
      <c r="C98" s="290">
        <f>SUM(C64+C71+C78+C82+C97)</f>
        <v>59325272.800000004</v>
      </c>
      <c r="D98" s="290">
        <f t="shared" si="1"/>
        <v>0</v>
      </c>
      <c r="E98" s="288"/>
      <c r="F98" s="287"/>
      <c r="G98" s="383"/>
    </row>
    <row r="99" spans="1:7" s="380" customFormat="1" ht="13">
      <c r="A99" s="284" t="s">
        <v>785</v>
      </c>
      <c r="B99" s="284"/>
      <c r="C99" s="284"/>
      <c r="D99" s="284"/>
      <c r="E99" s="303"/>
      <c r="F99" s="284"/>
      <c r="G99" s="383"/>
    </row>
    <row r="100" spans="1:7" s="380" customFormat="1">
      <c r="A100" s="145" t="s">
        <v>786</v>
      </c>
      <c r="B100" s="286">
        <f>'Sources and Uses Budget'!$C99</f>
        <v>7232434.5999999996</v>
      </c>
      <c r="C100" s="286">
        <f>'Sources and Uses Budget'!$C99</f>
        <v>7232434.5999999996</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788</v>
      </c>
      <c r="B105" s="290">
        <f>SUM(B100:B104)</f>
        <v>7232434.5999999996</v>
      </c>
      <c r="C105" s="290">
        <f>SUM(C100:C104)</f>
        <v>7232434.5999999996</v>
      </c>
      <c r="D105" s="290">
        <f t="shared" si="1"/>
        <v>0</v>
      </c>
      <c r="E105" s="288"/>
      <c r="F105" s="287"/>
      <c r="G105" s="383"/>
    </row>
    <row r="106" spans="1:7" s="380" customFormat="1" ht="13">
      <c r="A106" s="291" t="s">
        <v>789</v>
      </c>
      <c r="B106" s="293">
        <f>SUM(B98+B105)</f>
        <v>66557707.400000006</v>
      </c>
      <c r="C106" s="293">
        <f>SUM(C98+C105)</f>
        <v>66557707.400000006</v>
      </c>
      <c r="D106" s="290">
        <f t="shared" si="1"/>
        <v>0</v>
      </c>
      <c r="E106" s="288"/>
      <c r="F106" s="287"/>
      <c r="G106" s="383"/>
    </row>
    <row r="107" spans="1:7" s="380" customFormat="1" ht="13">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7265625" hidden="1"/>
  </cols>
  <sheetData>
    <row r="1" spans="1:9"/>
    <row r="2" spans="1:9" ht="13">
      <c r="A2" s="1302" t="s">
        <v>1068</v>
      </c>
      <c r="B2" s="1302"/>
      <c r="C2" s="1276"/>
      <c r="D2" s="1276"/>
      <c r="E2" s="1276"/>
      <c r="F2" s="1276"/>
      <c r="G2" s="1276"/>
    </row>
    <row r="3" spans="1:9" s="173" customFormat="1" ht="13">
      <c r="A3" s="1302" t="s">
        <v>1009</v>
      </c>
      <c r="B3" s="1302"/>
      <c r="C3" s="1276"/>
      <c r="D3" s="1276"/>
      <c r="E3" s="1276"/>
      <c r="F3" s="1276"/>
      <c r="G3" s="1276"/>
      <c r="I3" t="s">
        <v>308</v>
      </c>
    </row>
    <row r="4" spans="1:9">
      <c r="I4" s="3" t="s">
        <v>1069</v>
      </c>
    </row>
    <row r="5" spans="1:9" ht="13">
      <c r="A5" s="1304" t="s">
        <v>1010</v>
      </c>
      <c r="B5" s="1304"/>
      <c r="C5" s="1276"/>
      <c r="D5" s="1276"/>
      <c r="E5" s="1276"/>
      <c r="F5" s="1276"/>
      <c r="G5" s="1276"/>
      <c r="I5" s="3" t="s">
        <v>1070</v>
      </c>
    </row>
    <row r="6" spans="1:9" ht="13">
      <c r="A6" s="1304" t="s">
        <v>828</v>
      </c>
      <c r="B6" s="1304"/>
      <c r="C6" s="1276"/>
      <c r="D6" s="1276"/>
      <c r="E6" s="1276"/>
      <c r="F6" s="1276"/>
      <c r="G6" s="1276"/>
      <c r="I6" t="s">
        <v>599</v>
      </c>
    </row>
    <row r="7" spans="1:9" ht="11.65" customHeight="1"/>
    <row r="8" spans="1:9" ht="13">
      <c r="A8" s="1302" t="s">
        <v>1165</v>
      </c>
      <c r="B8" s="1302"/>
      <c r="C8" s="1303"/>
      <c r="D8" s="1303"/>
      <c r="E8" s="1303"/>
      <c r="F8" s="1303"/>
      <c r="G8" s="1303"/>
    </row>
    <row r="9" spans="1:9" ht="13">
      <c r="A9" s="1302" t="s">
        <v>1166</v>
      </c>
      <c r="B9" s="1302"/>
      <c r="C9" s="1303"/>
      <c r="D9" s="1303"/>
      <c r="E9" s="1303"/>
      <c r="F9" s="1303"/>
      <c r="G9" s="1303"/>
    </row>
    <row r="10" spans="1:9" ht="13">
      <c r="A10" s="174"/>
      <c r="B10" s="174"/>
      <c r="C10" s="172"/>
      <c r="D10" s="172"/>
      <c r="E10" s="172"/>
      <c r="F10" s="172"/>
    </row>
    <row r="11" spans="1:9" ht="13">
      <c r="A11" s="1283" t="s">
        <v>1168</v>
      </c>
      <c r="B11" s="1283"/>
      <c r="C11" s="1283"/>
      <c r="D11" s="1283"/>
      <c r="E11" s="1283"/>
      <c r="F11" s="1283"/>
      <c r="G11" s="1283"/>
    </row>
    <row r="12" spans="1:9" ht="13">
      <c r="A12" s="172"/>
      <c r="B12" s="172"/>
      <c r="E12" s="2"/>
    </row>
    <row r="13" spans="1:9" ht="13.15" customHeight="1">
      <c r="C13" s="172"/>
      <c r="D13" s="1316" t="s">
        <v>1167</v>
      </c>
      <c r="E13" s="1316"/>
      <c r="F13" s="1316"/>
    </row>
    <row r="14" spans="1:9" ht="13">
      <c r="C14" s="172"/>
      <c r="D14" s="1316"/>
      <c r="E14" s="1316"/>
      <c r="F14" s="1316"/>
    </row>
    <row r="15" spans="1:9" ht="13">
      <c r="A15" s="175"/>
      <c r="B15" s="175"/>
      <c r="C15" s="175"/>
      <c r="D15" s="1279" t="s">
        <v>1150</v>
      </c>
      <c r="E15" s="1279"/>
      <c r="F15" s="1279"/>
    </row>
    <row r="16" spans="1:9" ht="13">
      <c r="A16" s="175"/>
      <c r="B16" s="175"/>
      <c r="C16" s="175"/>
      <c r="D16" s="218"/>
    </row>
    <row r="17" spans="1:6" ht="13">
      <c r="A17" s="176"/>
      <c r="B17" s="468" t="s">
        <v>308</v>
      </c>
      <c r="C17" s="175"/>
      <c r="D17" s="1268" t="s">
        <v>1151</v>
      </c>
      <c r="E17" s="1268"/>
      <c r="F17" s="1268"/>
    </row>
    <row r="18" spans="1:6" ht="13">
      <c r="A18" s="175"/>
      <c r="B18" s="175"/>
      <c r="C18" s="175"/>
      <c r="D18" s="1268"/>
      <c r="E18" s="1268"/>
      <c r="F18" s="1268"/>
    </row>
    <row r="19" spans="1:6" ht="13">
      <c r="A19" s="175"/>
      <c r="B19" s="175"/>
      <c r="C19" s="175"/>
      <c r="D19" s="1268"/>
      <c r="E19" s="1268"/>
      <c r="F19" s="1268"/>
    </row>
    <row r="20" spans="1:6" ht="13">
      <c r="A20" s="175"/>
      <c r="B20" s="175"/>
      <c r="C20" s="175"/>
    </row>
    <row r="21" spans="1:6" ht="13">
      <c r="A21" s="176"/>
      <c r="B21" s="468" t="s">
        <v>308</v>
      </c>
      <c r="D21" s="1311" t="s">
        <v>1152</v>
      </c>
      <c r="E21" s="1311"/>
      <c r="F21" s="1311"/>
    </row>
    <row r="22" spans="1:6" ht="13">
      <c r="A22" s="176"/>
      <c r="B22" s="176"/>
      <c r="D22" s="35"/>
    </row>
    <row r="23" spans="1:6" ht="13">
      <c r="A23" s="176"/>
      <c r="B23" s="468" t="s">
        <v>308</v>
      </c>
      <c r="D23" s="1268" t="s">
        <v>1153</v>
      </c>
      <c r="E23" s="1268"/>
      <c r="F23" s="1268"/>
    </row>
    <row r="24" spans="1:6" ht="13">
      <c r="A24" s="176"/>
      <c r="B24" s="176"/>
      <c r="D24" s="1268"/>
      <c r="E24" s="1268"/>
      <c r="F24" s="1268"/>
    </row>
    <row r="25" spans="1:6"/>
    <row r="26" spans="1:6" ht="13">
      <c r="A26" s="176"/>
      <c r="B26" s="468" t="s">
        <v>308</v>
      </c>
      <c r="D26" s="1268" t="s">
        <v>1154</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308</v>
      </c>
      <c r="D32" s="1268" t="s">
        <v>1155</v>
      </c>
      <c r="E32" s="1268"/>
      <c r="F32" s="1268"/>
    </row>
    <row r="33" spans="1:6">
      <c r="D33" s="1268"/>
      <c r="E33" s="1268"/>
      <c r="F33" s="1268"/>
    </row>
    <row r="34" spans="1:6" ht="13">
      <c r="A34" s="176"/>
      <c r="B34" s="176"/>
      <c r="D34" s="220"/>
    </row>
    <row r="35" spans="1:6" ht="14.65" customHeight="1">
      <c r="A35" s="176"/>
      <c r="B35" s="468" t="s">
        <v>308</v>
      </c>
      <c r="D35" s="1268" t="s">
        <v>1156</v>
      </c>
      <c r="E35" s="1268"/>
      <c r="F35" s="1268"/>
    </row>
    <row r="36" spans="1:6" ht="13">
      <c r="A36" s="176"/>
      <c r="B36" s="176"/>
      <c r="D36" s="1268"/>
      <c r="E36" s="1268"/>
      <c r="F36" s="1268"/>
    </row>
    <row r="37" spans="1:6" ht="13">
      <c r="A37" s="176"/>
      <c r="B37" s="176"/>
      <c r="D37" s="1268"/>
      <c r="E37" s="1268"/>
      <c r="F37" s="1268"/>
    </row>
    <row r="38" spans="1:6" ht="13">
      <c r="A38" s="176"/>
      <c r="B38" s="176"/>
      <c r="D38"/>
    </row>
    <row r="39" spans="1:6" ht="13">
      <c r="A39" s="176"/>
      <c r="B39" s="468" t="s">
        <v>308</v>
      </c>
      <c r="D39" s="1268" t="s">
        <v>1157</v>
      </c>
      <c r="E39" s="1268"/>
      <c r="F39" s="1268"/>
    </row>
    <row r="40" spans="1:6" ht="13">
      <c r="A40" s="176"/>
      <c r="B40" s="176"/>
      <c r="D40" s="1268"/>
      <c r="E40" s="1268"/>
      <c r="F40" s="1268"/>
    </row>
    <row r="41" spans="1:6" ht="13">
      <c r="A41" s="176"/>
      <c r="B41" s="176"/>
      <c r="D41" s="1268"/>
      <c r="E41" s="1268"/>
      <c r="F41" s="1268"/>
    </row>
    <row r="42" spans="1:6" ht="13">
      <c r="A42" s="176"/>
      <c r="B42" s="176"/>
      <c r="D42" s="1268"/>
      <c r="E42" s="1268"/>
      <c r="F42" s="1268"/>
    </row>
    <row r="43" spans="1:6" ht="13">
      <c r="A43" s="176"/>
      <c r="B43" s="176"/>
      <c r="D43" s="1268"/>
      <c r="E43" s="1268"/>
      <c r="F43" s="1268"/>
    </row>
    <row r="44" spans="1:6" ht="13">
      <c r="A44" s="176"/>
      <c r="B44" s="176"/>
      <c r="D44" s="474"/>
      <c r="E44" s="474"/>
      <c r="F44" s="474"/>
    </row>
    <row r="45" spans="1:6" ht="13">
      <c r="A45" s="176"/>
      <c r="B45" s="468" t="s">
        <v>308</v>
      </c>
      <c r="D45" s="1268" t="s">
        <v>1158</v>
      </c>
      <c r="E45" s="1268"/>
      <c r="F45" s="1268"/>
    </row>
    <row r="46" spans="1:6" ht="13">
      <c r="A46" s="176"/>
      <c r="B46" s="176"/>
      <c r="D46" s="1268"/>
      <c r="E46" s="1268"/>
      <c r="F46" s="1268"/>
    </row>
    <row r="47" spans="1:6" ht="13">
      <c r="A47" s="176"/>
      <c r="B47" s="176"/>
      <c r="D47" s="1268"/>
      <c r="E47" s="1268"/>
      <c r="F47" s="1268"/>
    </row>
    <row r="48" spans="1:6" ht="23.25" customHeight="1">
      <c r="A48" s="176"/>
      <c r="B48" s="176"/>
      <c r="D48" s="1268"/>
      <c r="E48" s="1268"/>
      <c r="F48" s="1268"/>
    </row>
    <row r="49" spans="1:7" ht="13">
      <c r="A49" s="176"/>
      <c r="B49" s="176"/>
      <c r="D49" s="35"/>
    </row>
    <row r="50" spans="1:7" ht="14.65" customHeight="1">
      <c r="A50" s="176"/>
      <c r="B50" s="468" t="s">
        <v>308</v>
      </c>
      <c r="D50" s="1268" t="s">
        <v>1159</v>
      </c>
      <c r="E50" s="1268"/>
      <c r="F50" s="1268"/>
    </row>
    <row r="51" spans="1:7" ht="13">
      <c r="A51" s="176"/>
      <c r="B51" s="176"/>
      <c r="D51" s="1268"/>
      <c r="E51" s="1268"/>
      <c r="F51" s="1268"/>
    </row>
    <row r="52" spans="1:7" ht="13">
      <c r="A52" s="176"/>
      <c r="B52" s="176"/>
      <c r="D52" s="1268"/>
      <c r="E52" s="1268"/>
      <c r="F52" s="1268"/>
    </row>
    <row r="53" spans="1:7" ht="13">
      <c r="A53" s="176"/>
      <c r="B53" s="176"/>
      <c r="C53" s="385"/>
      <c r="D53" s="3"/>
      <c r="E53" s="3"/>
      <c r="F53" s="3"/>
      <c r="G53" s="3"/>
    </row>
    <row r="54" spans="1:7" ht="13">
      <c r="A54" s="176"/>
      <c r="B54" s="468" t="s">
        <v>308</v>
      </c>
      <c r="C54" s="385"/>
      <c r="D54" s="1268" t="s">
        <v>1160</v>
      </c>
      <c r="E54" s="1268"/>
      <c r="F54" s="1268"/>
      <c r="G54" s="3"/>
    </row>
    <row r="55" spans="1:7" ht="13">
      <c r="A55" s="176"/>
      <c r="B55" s="176"/>
      <c r="C55" s="385"/>
      <c r="D55" s="1268"/>
      <c r="E55" s="1268"/>
      <c r="F55" s="1268"/>
      <c r="G55" s="3"/>
    </row>
    <row r="56" spans="1:7">
      <c r="D56" s="220"/>
    </row>
    <row r="57" spans="1:7" ht="13">
      <c r="A57" s="176"/>
      <c r="B57" s="468" t="s">
        <v>308</v>
      </c>
      <c r="D57" s="1268" t="s">
        <v>1161</v>
      </c>
      <c r="E57" s="1268"/>
      <c r="F57" s="1268"/>
    </row>
    <row r="58" spans="1:7">
      <c r="D58" s="1268"/>
      <c r="E58" s="1268"/>
      <c r="F58" s="1268"/>
    </row>
    <row r="59" spans="1:7">
      <c r="D59" s="1268"/>
      <c r="E59" s="1268"/>
      <c r="F59" s="1268"/>
    </row>
    <row r="60" spans="1:7">
      <c r="D60" s="3"/>
    </row>
    <row r="61" spans="1:7" ht="13">
      <c r="A61" s="176"/>
      <c r="B61" s="468" t="s">
        <v>308</v>
      </c>
      <c r="D61" s="1268" t="s">
        <v>1162</v>
      </c>
      <c r="E61" s="1268"/>
      <c r="F61" s="1268"/>
    </row>
    <row r="62" spans="1:7">
      <c r="D62" s="1268"/>
      <c r="E62" s="1268"/>
      <c r="F62" s="1268"/>
    </row>
    <row r="63" spans="1:7"/>
    <row r="64" spans="1:7" ht="13">
      <c r="A64" s="176"/>
      <c r="B64" s="468" t="s">
        <v>308</v>
      </c>
      <c r="D64" s="1268" t="s">
        <v>1163</v>
      </c>
      <c r="E64" s="1268"/>
      <c r="F64" s="1268"/>
    </row>
    <row r="65" spans="1:7">
      <c r="D65" s="1268"/>
      <c r="E65" s="1268"/>
      <c r="F65" s="1268"/>
    </row>
    <row r="66" spans="1:7">
      <c r="D66" s="1268"/>
      <c r="E66" s="1268"/>
      <c r="F66" s="1268"/>
    </row>
    <row r="67" spans="1:7">
      <c r="D67"/>
    </row>
    <row r="68" spans="1:7" ht="13">
      <c r="A68" s="176"/>
      <c r="B68" s="468" t="s">
        <v>308</v>
      </c>
      <c r="D68" s="1268" t="s">
        <v>1164</v>
      </c>
      <c r="E68" s="1268"/>
      <c r="F68" s="1268"/>
    </row>
    <row r="69" spans="1:7">
      <c r="D69" s="1268"/>
      <c r="E69" s="1268"/>
      <c r="F69" s="1268"/>
    </row>
    <row r="70" spans="1:7" ht="13">
      <c r="A70" s="176"/>
      <c r="B70" s="176"/>
      <c r="D70" s="35"/>
    </row>
    <row r="71" spans="1:7" ht="13">
      <c r="A71" s="1283" t="s">
        <v>1071</v>
      </c>
      <c r="B71" s="1283"/>
      <c r="C71" s="1283"/>
      <c r="D71" s="1283"/>
      <c r="E71" s="1283"/>
      <c r="F71" s="1283"/>
      <c r="G71" s="1283"/>
    </row>
    <row r="72" spans="1:7"/>
    <row r="73" spans="1:7" ht="13">
      <c r="C73" s="177"/>
      <c r="D73" s="1301" t="s">
        <v>1169</v>
      </c>
      <c r="E73" s="1301"/>
      <c r="F73" s="1301"/>
    </row>
    <row r="74" spans="1:7">
      <c r="A74" s="35"/>
      <c r="B74" s="35"/>
      <c r="D74" s="1268" t="s">
        <v>1196</v>
      </c>
      <c r="E74" s="1268"/>
      <c r="F74" s="1268"/>
    </row>
    <row r="75" spans="1:7">
      <c r="A75" s="35"/>
      <c r="B75" s="35"/>
    </row>
    <row r="76" spans="1:7" ht="13">
      <c r="A76" s="176"/>
      <c r="B76" s="468" t="s">
        <v>308</v>
      </c>
      <c r="D76" s="1268" t="s">
        <v>1170</v>
      </c>
      <c r="E76" s="1268"/>
      <c r="F76" s="1268"/>
    </row>
    <row r="77" spans="1:7" ht="13">
      <c r="A77" s="176"/>
      <c r="B77" s="176"/>
      <c r="D77" s="1268"/>
      <c r="E77" s="1268"/>
      <c r="F77" s="1268"/>
    </row>
    <row r="78" spans="1:7" ht="13">
      <c r="A78" s="176"/>
      <c r="B78" s="176"/>
      <c r="D78" s="1268"/>
      <c r="E78" s="1268"/>
      <c r="F78" s="1268"/>
    </row>
    <row r="79" spans="1:7" ht="13">
      <c r="A79" s="176"/>
      <c r="B79" s="176"/>
      <c r="D79" s="1268"/>
      <c r="E79" s="1268"/>
      <c r="F79" s="1268"/>
    </row>
    <row r="80" spans="1:7" ht="13">
      <c r="A80" s="176"/>
      <c r="B80" s="176"/>
      <c r="D80" s="1268"/>
      <c r="E80" s="1268"/>
      <c r="F80" s="1268"/>
    </row>
    <row r="81" spans="1:6" ht="13">
      <c r="A81" s="176"/>
      <c r="B81" s="176"/>
      <c r="D81" s="1268"/>
      <c r="E81" s="1268"/>
      <c r="F81" s="1268"/>
    </row>
    <row r="82" spans="1:6" ht="13">
      <c r="A82" s="176"/>
      <c r="B82" s="176"/>
      <c r="D82" s="474"/>
      <c r="E82" s="474"/>
      <c r="F82" s="474"/>
    </row>
    <row r="83" spans="1:6" ht="14.65" customHeight="1">
      <c r="A83" s="176"/>
      <c r="B83" s="468" t="s">
        <v>308</v>
      </c>
      <c r="D83" s="1277" t="s">
        <v>1269</v>
      </c>
      <c r="E83" s="1277"/>
      <c r="F83" s="1277"/>
    </row>
    <row r="84" spans="1:6" ht="13">
      <c r="A84" s="176"/>
      <c r="B84" s="176"/>
      <c r="D84" s="1277"/>
      <c r="E84" s="1277"/>
      <c r="F84" s="1277"/>
    </row>
    <row r="85" spans="1:6" ht="13">
      <c r="A85" s="176"/>
      <c r="B85" s="176"/>
      <c r="D85" s="1277"/>
      <c r="E85" s="1277"/>
      <c r="F85" s="1277"/>
    </row>
    <row r="86" spans="1:6" ht="13">
      <c r="A86" s="176"/>
      <c r="B86" s="176"/>
      <c r="D86" s="1277"/>
      <c r="E86" s="1277"/>
      <c r="F86" s="1277"/>
    </row>
    <row r="87" spans="1:6" ht="13">
      <c r="A87" s="176"/>
      <c r="B87" s="176"/>
      <c r="D87" s="1277"/>
      <c r="E87" s="1277"/>
      <c r="F87" s="1277"/>
    </row>
    <row r="88" spans="1:6" ht="13">
      <c r="A88" s="176"/>
      <c r="B88" s="176"/>
      <c r="D88" s="1277"/>
      <c r="E88" s="1277"/>
      <c r="F88" s="1277"/>
    </row>
    <row r="89" spans="1:6" ht="13">
      <c r="A89" s="176"/>
      <c r="B89" s="176"/>
      <c r="D89" s="1277"/>
      <c r="E89" s="1277"/>
      <c r="F89" s="1277"/>
    </row>
    <row r="90" spans="1:6" ht="13">
      <c r="A90" s="176"/>
      <c r="B90" s="176"/>
      <c r="D90" s="1277"/>
      <c r="E90" s="1277"/>
      <c r="F90" s="1277"/>
    </row>
    <row r="91" spans="1:6" ht="13">
      <c r="A91" s="176"/>
      <c r="B91" s="176"/>
      <c r="D91" s="1277"/>
      <c r="E91" s="1277"/>
      <c r="F91" s="1277"/>
    </row>
    <row r="92" spans="1:6" ht="13">
      <c r="A92" s="176"/>
      <c r="B92" s="176"/>
      <c r="D92" s="1277"/>
      <c r="E92" s="1277"/>
      <c r="F92" s="1277"/>
    </row>
    <row r="93" spans="1:6" ht="13">
      <c r="A93" s="176"/>
      <c r="B93" s="176"/>
      <c r="D93" s="1277"/>
      <c r="E93" s="1277"/>
      <c r="F93" s="1277"/>
    </row>
    <row r="94" spans="1:6" ht="13">
      <c r="A94" s="176"/>
      <c r="B94" s="176"/>
      <c r="D94" s="1277"/>
      <c r="E94" s="1277"/>
      <c r="F94" s="1277"/>
    </row>
    <row r="95" spans="1:6" ht="13">
      <c r="A95" s="176"/>
      <c r="B95" s="176"/>
      <c r="D95" s="1277"/>
      <c r="E95" s="1277"/>
      <c r="F95" s="1277"/>
    </row>
    <row r="96" spans="1:6" ht="13">
      <c r="A96" s="176"/>
      <c r="B96" s="176"/>
      <c r="D96" s="1277"/>
      <c r="E96" s="1277"/>
      <c r="F96" s="1277"/>
    </row>
    <row r="97" spans="1:11" ht="13">
      <c r="A97" s="176"/>
      <c r="B97" s="468" t="s">
        <v>308</v>
      </c>
      <c r="D97" s="1268" t="s">
        <v>1171</v>
      </c>
      <c r="E97" s="1268"/>
      <c r="F97" s="1268"/>
    </row>
    <row r="98" spans="1:11" ht="13">
      <c r="A98" s="176"/>
      <c r="B98" s="176"/>
      <c r="D98" s="1268"/>
      <c r="E98" s="1268"/>
      <c r="F98" s="1268"/>
    </row>
    <row r="99" spans="1:11" ht="13">
      <c r="A99" s="176"/>
      <c r="B99" s="176"/>
      <c r="D99" s="1268"/>
      <c r="E99" s="1268"/>
      <c r="F99" s="1268"/>
    </row>
    <row r="100" spans="1:11" ht="13">
      <c r="A100" s="176"/>
      <c r="B100" s="176"/>
      <c r="D100" s="1268"/>
      <c r="E100" s="1268"/>
      <c r="F100" s="1268"/>
    </row>
    <row r="101" spans="1:11" ht="13">
      <c r="A101" s="176"/>
      <c r="B101" s="176"/>
      <c r="D101" s="1268"/>
      <c r="E101" s="1268"/>
      <c r="F101" s="1268"/>
    </row>
    <row r="102" spans="1:11" ht="13">
      <c r="A102" s="176"/>
      <c r="B102" s="176"/>
      <c r="D102" s="1268"/>
      <c r="E102" s="1268"/>
      <c r="F102" s="1268"/>
    </row>
    <row r="103" spans="1:11" ht="13">
      <c r="A103" s="176"/>
      <c r="B103" s="176"/>
      <c r="D103" s="1268"/>
      <c r="E103" s="1268"/>
      <c r="F103" s="1268"/>
    </row>
    <row r="104" spans="1:11" ht="13">
      <c r="A104" s="176"/>
      <c r="B104" s="176"/>
      <c r="D104" s="1268"/>
      <c r="E104" s="1268"/>
      <c r="F104" s="1268"/>
    </row>
    <row r="105" spans="1:11" ht="13">
      <c r="A105" s="176"/>
      <c r="B105" s="176"/>
      <c r="D105" s="474"/>
      <c r="E105" s="474"/>
      <c r="F105" s="474"/>
    </row>
    <row r="106" spans="1:11" ht="13">
      <c r="A106" s="176"/>
      <c r="B106" s="468" t="s">
        <v>308</v>
      </c>
      <c r="C106" s="179"/>
      <c r="D106" s="1305" t="s">
        <v>1172</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1173</v>
      </c>
      <c r="E114" s="1306"/>
      <c r="F114" s="1306"/>
      <c r="G114"/>
    </row>
    <row r="115" spans="1:7" ht="13">
      <c r="A115" s="176"/>
      <c r="B115" s="176"/>
      <c r="C115"/>
      <c r="D115" s="1306"/>
      <c r="E115" s="1306"/>
      <c r="F115" s="1306"/>
      <c r="G115"/>
    </row>
    <row r="116" spans="1:7"/>
    <row r="117" spans="1:7" ht="13">
      <c r="A117" s="176"/>
      <c r="B117" s="468" t="s">
        <v>308</v>
      </c>
      <c r="D117" s="1268" t="s">
        <v>1174</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3">
      <c r="A123" s="176"/>
      <c r="B123" s="468" t="s">
        <v>308</v>
      </c>
      <c r="D123" s="1268" t="s">
        <v>1175</v>
      </c>
      <c r="E123" s="1268"/>
      <c r="F123" s="1268"/>
    </row>
    <row r="124" spans="1:7" s="197" customFormat="1" ht="13.9" customHeight="1">
      <c r="A124" s="195"/>
      <c r="B124" s="195"/>
      <c r="C124" s="195"/>
      <c r="D124" s="1268"/>
      <c r="E124" s="1268"/>
      <c r="F124" s="1268"/>
      <c r="G124" s="196"/>
    </row>
    <row r="125" spans="1:7" ht="13.9" customHeight="1">
      <c r="D125" s="1268"/>
      <c r="E125" s="1268"/>
      <c r="F125" s="1268"/>
    </row>
    <row r="126" spans="1:7" ht="13.9" customHeight="1">
      <c r="D126" s="1268"/>
      <c r="E126" s="1268"/>
      <c r="F126" s="1268"/>
    </row>
    <row r="127" spans="1:7" ht="13.9" customHeight="1">
      <c r="D127" s="1268"/>
      <c r="E127" s="1268"/>
      <c r="F127" s="1268"/>
    </row>
    <row r="128" spans="1:7" ht="13.9" customHeight="1">
      <c r="A128" s="256"/>
      <c r="B128" s="256"/>
      <c r="D128" s="1268"/>
      <c r="E128" s="1268"/>
      <c r="F128" s="1268"/>
    </row>
    <row r="129" spans="2:6" ht="13.9" customHeight="1">
      <c r="D129" s="1268"/>
      <c r="E129" s="1268"/>
      <c r="F129" s="1268"/>
    </row>
    <row r="130" spans="2:6" ht="13.9" customHeight="1">
      <c r="D130" s="1268"/>
      <c r="E130" s="1268"/>
      <c r="F130" s="1268"/>
    </row>
    <row r="131" spans="2:6" ht="13.9" customHeight="1">
      <c r="D131" s="1268"/>
      <c r="E131" s="1268"/>
      <c r="F131" s="1268"/>
    </row>
    <row r="132" spans="2:6" ht="13.9" customHeight="1">
      <c r="D132" s="1268"/>
      <c r="E132" s="1268"/>
      <c r="F132" s="1268"/>
    </row>
    <row r="133" spans="2:6" ht="13.9" customHeight="1">
      <c r="D133" s="1268"/>
      <c r="E133" s="1268"/>
      <c r="F133" s="1268"/>
    </row>
    <row r="134" spans="2:6" ht="13.9" customHeight="1">
      <c r="D134" s="1268"/>
      <c r="E134" s="1268"/>
      <c r="F134" s="1268"/>
    </row>
    <row r="135" spans="2:6" ht="13.9" customHeight="1">
      <c r="D135" s="218"/>
      <c r="E135" s="35"/>
      <c r="F135" s="35"/>
    </row>
    <row r="136" spans="2:6" ht="13.9" customHeight="1">
      <c r="B136" s="468" t="s">
        <v>308</v>
      </c>
      <c r="D136" s="1268" t="s">
        <v>1283</v>
      </c>
      <c r="E136" s="1268"/>
      <c r="F136" s="1268"/>
    </row>
    <row r="137" spans="2:6" ht="13.9" customHeight="1">
      <c r="D137" s="1268"/>
      <c r="E137" s="1268"/>
      <c r="F137" s="1268"/>
    </row>
    <row r="138" spans="2:6" ht="13.9" customHeight="1">
      <c r="D138" s="1268"/>
      <c r="E138" s="1268"/>
      <c r="F138" s="1268"/>
    </row>
    <row r="139" spans="2:6" ht="13.9" customHeight="1">
      <c r="D139" s="1268"/>
      <c r="E139" s="1268"/>
      <c r="F139" s="1268"/>
    </row>
    <row r="140" spans="2:6" ht="13.9" customHeight="1">
      <c r="D140" s="1268"/>
      <c r="E140" s="1268"/>
      <c r="F140" s="1268"/>
    </row>
    <row r="141" spans="2:6" ht="13.9" customHeight="1">
      <c r="D141" s="1268"/>
      <c r="E141" s="1268"/>
      <c r="F141" s="1268"/>
    </row>
    <row r="142" spans="2:6" ht="13.9" customHeight="1">
      <c r="D142" s="1268"/>
      <c r="E142" s="1268"/>
      <c r="F142" s="1268"/>
    </row>
    <row r="143" spans="2:6" ht="13.9" customHeight="1">
      <c r="D143" s="1268"/>
      <c r="E143" s="1268"/>
      <c r="F143" s="1268"/>
    </row>
    <row r="144" spans="2:6" ht="13.9" customHeight="1">
      <c r="D144" s="1268"/>
      <c r="E144" s="1268"/>
      <c r="F144" s="1268"/>
    </row>
    <row r="145" spans="1:7" ht="13.9" customHeight="1">
      <c r="D145" s="1268"/>
      <c r="E145" s="1268"/>
      <c r="F145" s="1268"/>
    </row>
    <row r="146" spans="1:7" ht="13.9" customHeight="1">
      <c r="D146" s="1268"/>
      <c r="E146" s="1268"/>
      <c r="F146" s="1268"/>
    </row>
    <row r="147" spans="1:7" ht="13.9" customHeight="1">
      <c r="D147" s="1268"/>
      <c r="E147" s="1268"/>
      <c r="F147" s="1268"/>
    </row>
    <row r="148" spans="1:7" ht="13.9" customHeight="1">
      <c r="D148" s="1268"/>
      <c r="E148" s="1268"/>
      <c r="F148" s="1268"/>
    </row>
    <row r="149" spans="1:7" ht="13.9" customHeight="1">
      <c r="D149" s="1268"/>
      <c r="E149" s="1268"/>
      <c r="F149" s="1268"/>
    </row>
    <row r="150" spans="1:7" ht="13.9" customHeight="1">
      <c r="D150" s="1268"/>
      <c r="E150" s="1268"/>
      <c r="F150" s="1268"/>
    </row>
    <row r="151" spans="1:7" ht="13.9" customHeight="1">
      <c r="D151" s="1268"/>
      <c r="E151" s="1268"/>
      <c r="F151" s="1268"/>
    </row>
    <row r="152" spans="1:7" ht="13.9" customHeight="1">
      <c r="D152" s="1268"/>
      <c r="E152" s="1268"/>
      <c r="F152" s="1268"/>
    </row>
    <row r="153" spans="1:7" ht="13.9" customHeight="1">
      <c r="D153" s="1268"/>
      <c r="E153" s="1268"/>
      <c r="F153" s="1268"/>
    </row>
    <row r="154" spans="1:7" ht="13.9" customHeight="1">
      <c r="D154" s="1268"/>
      <c r="E154" s="1268"/>
      <c r="F154" s="1268"/>
    </row>
    <row r="155" spans="1:7" ht="13.9" customHeight="1">
      <c r="D155" s="218"/>
      <c r="E155" s="35"/>
      <c r="F155" s="35"/>
    </row>
    <row r="156" spans="1:7" ht="13.9" customHeight="1">
      <c r="A156" s="256"/>
      <c r="B156" s="468" t="s">
        <v>308</v>
      </c>
      <c r="C156" s="218"/>
      <c r="D156" s="1277" t="s">
        <v>1176</v>
      </c>
      <c r="E156" s="1277"/>
      <c r="F156" s="1277"/>
      <c r="G156" s="218"/>
    </row>
    <row r="157" spans="1:7" ht="13.9" customHeight="1">
      <c r="A157" s="256"/>
      <c r="B157" s="256"/>
      <c r="C157" s="218"/>
      <c r="D157" s="1277"/>
      <c r="E157" s="1277"/>
      <c r="F157" s="1277"/>
      <c r="G157" s="218"/>
    </row>
    <row r="158" spans="1:7" ht="13.9" customHeight="1">
      <c r="A158" s="256"/>
      <c r="B158" s="256"/>
      <c r="C158" s="218"/>
      <c r="D158" s="218"/>
      <c r="E158" s="218"/>
      <c r="F158" s="218"/>
      <c r="G158" s="218"/>
    </row>
    <row r="159" spans="1:7" ht="13.9" customHeight="1">
      <c r="A159" s="256"/>
      <c r="B159" s="468" t="s">
        <v>308</v>
      </c>
      <c r="C159" s="218"/>
      <c r="D159" s="1277" t="s">
        <v>1177</v>
      </c>
      <c r="E159" s="1277"/>
      <c r="F159" s="1277"/>
      <c r="G159" s="218"/>
    </row>
    <row r="160" spans="1:7" ht="13.9" customHeight="1">
      <c r="A160" s="256"/>
      <c r="B160" s="256"/>
      <c r="C160" s="218"/>
      <c r="D160" s="1277"/>
      <c r="E160" s="1277"/>
      <c r="F160" s="1277"/>
      <c r="G160" s="218"/>
    </row>
    <row r="161" spans="1:7" ht="13.9" customHeight="1">
      <c r="A161" s="256"/>
      <c r="B161" s="256"/>
      <c r="C161" s="218"/>
      <c r="D161" s="1277"/>
      <c r="E161" s="1277"/>
      <c r="F161" s="1277"/>
      <c r="G161" s="218"/>
    </row>
    <row r="162" spans="1:7" ht="13.9" customHeight="1">
      <c r="A162" s="256"/>
      <c r="B162" s="256"/>
      <c r="C162" s="218"/>
      <c r="D162" s="1277"/>
      <c r="E162" s="1277"/>
      <c r="F162" s="1277"/>
      <c r="G162" s="218"/>
    </row>
    <row r="163" spans="1:7" ht="13.9" customHeight="1">
      <c r="D163" s="35"/>
      <c r="E163" s="35"/>
      <c r="F163" s="35"/>
    </row>
    <row r="164" spans="1:7" ht="13.9" customHeight="1">
      <c r="B164" s="468" t="s">
        <v>308</v>
      </c>
      <c r="D164" s="1282" t="s">
        <v>1178</v>
      </c>
      <c r="E164" s="1282"/>
      <c r="F164" s="1282"/>
    </row>
    <row r="165" spans="1:7" ht="13.9" customHeight="1">
      <c r="D165" s="1282"/>
      <c r="E165" s="1282"/>
      <c r="F165" s="1282"/>
    </row>
    <row r="166" spans="1:7" ht="13.9" customHeight="1">
      <c r="D166" s="1282"/>
      <c r="E166" s="1282"/>
      <c r="F166" s="1282"/>
    </row>
    <row r="167" spans="1:7" ht="13.9" customHeight="1">
      <c r="A167" s="13"/>
      <c r="B167" s="13"/>
      <c r="E167" s="35"/>
      <c r="F167" s="35"/>
    </row>
    <row r="168" spans="1:7" ht="13">
      <c r="A168" s="1283" t="s">
        <v>1072</v>
      </c>
      <c r="B168" s="1283"/>
      <c r="C168" s="1283"/>
      <c r="D168" s="1283"/>
      <c r="E168" s="1283"/>
      <c r="F168" s="1283"/>
      <c r="G168" s="1283"/>
    </row>
    <row r="169" spans="1:7" ht="12" customHeight="1">
      <c r="D169" s="35"/>
      <c r="E169" s="35"/>
      <c r="F169" s="35"/>
    </row>
    <row r="170" spans="1:7">
      <c r="B170" s="1300" t="s">
        <v>448</v>
      </c>
      <c r="C170" s="1300"/>
      <c r="D170" s="1300"/>
      <c r="E170" s="1300"/>
      <c r="F170" s="1300"/>
    </row>
    <row r="171" spans="1:7" ht="12" customHeight="1">
      <c r="A171" s="172"/>
      <c r="B171" s="172"/>
      <c r="C171" s="172"/>
    </row>
    <row r="172" spans="1:7" ht="13">
      <c r="A172" s="1283" t="s">
        <v>1073</v>
      </c>
      <c r="B172" s="1283"/>
      <c r="C172" s="1283"/>
      <c r="D172" s="1283"/>
      <c r="E172" s="1283"/>
      <c r="F172" s="1283"/>
      <c r="G172" s="1283"/>
    </row>
    <row r="173" spans="1:7" ht="12" customHeight="1">
      <c r="A173" s="2"/>
      <c r="B173" s="2"/>
      <c r="E173" s="2"/>
    </row>
    <row r="174" spans="1:7" ht="13.15" customHeight="1">
      <c r="A174" s="2"/>
      <c r="B174" s="2"/>
      <c r="D174" s="1297" t="s">
        <v>1181</v>
      </c>
      <c r="E174" s="1297"/>
      <c r="F174" s="1297"/>
    </row>
    <row r="175" spans="1:7" ht="13">
      <c r="A175" s="2"/>
      <c r="B175" s="2"/>
      <c r="D175" s="1297"/>
      <c r="E175" s="1297"/>
      <c r="F175" s="1297"/>
    </row>
    <row r="176" spans="1:7" ht="13">
      <c r="A176" s="2"/>
      <c r="B176" s="2"/>
      <c r="D176" s="1298" t="s">
        <v>1182</v>
      </c>
      <c r="E176" s="1298"/>
      <c r="F176" s="1298"/>
    </row>
    <row r="177" spans="1:7" ht="12" customHeight="1">
      <c r="A177" s="2"/>
      <c r="B177" s="2"/>
      <c r="E177" s="2"/>
    </row>
    <row r="178" spans="1:7" ht="13">
      <c r="A178" s="176"/>
      <c r="B178" s="468" t="s">
        <v>308</v>
      </c>
      <c r="D178" s="1295" t="s">
        <v>1180</v>
      </c>
      <c r="E178" s="1295"/>
      <c r="F178" s="1295"/>
    </row>
    <row r="179" spans="1:7" ht="13">
      <c r="A179" s="176"/>
      <c r="B179" s="176"/>
      <c r="D179" s="1295"/>
      <c r="E179" s="1295"/>
      <c r="F179" s="1295"/>
    </row>
    <row r="180" spans="1:7" ht="13">
      <c r="A180" s="176"/>
      <c r="B180" s="176"/>
      <c r="D180" s="1295"/>
      <c r="E180" s="1295"/>
      <c r="F180" s="1295"/>
    </row>
    <row r="181" spans="1:7">
      <c r="D181" s="1295"/>
      <c r="E181" s="1295"/>
      <c r="F181" s="1295"/>
    </row>
    <row r="182" spans="1:7">
      <c r="D182" s="220"/>
    </row>
    <row r="183" spans="1:7">
      <c r="D183" s="1299" t="s">
        <v>1089</v>
      </c>
      <c r="E183" s="1299"/>
      <c r="F183" s="1299"/>
    </row>
    <row r="184" spans="1:7">
      <c r="D184" s="1299"/>
      <c r="E184" s="1299"/>
      <c r="F184" s="1299"/>
    </row>
    <row r="185" spans="1:7">
      <c r="D185" s="475"/>
      <c r="E185" s="475"/>
      <c r="F185" s="475"/>
    </row>
    <row r="186" spans="1:7" ht="13">
      <c r="A186" s="176"/>
      <c r="B186" s="468" t="s">
        <v>308</v>
      </c>
      <c r="C186" s="385"/>
      <c r="D186" s="1268" t="s">
        <v>1179</v>
      </c>
      <c r="E186" s="1268"/>
      <c r="F186" s="1268"/>
      <c r="G186" s="3"/>
    </row>
    <row r="187" spans="1:7" ht="14.65" customHeight="1">
      <c r="A187" s="176"/>
      <c r="B187"/>
      <c r="C187" s="385"/>
      <c r="D187" s="1268"/>
      <c r="E187" s="1268"/>
      <c r="F187" s="1268"/>
      <c r="G187" s="3"/>
    </row>
    <row r="188" spans="1:7" ht="13">
      <c r="A188" s="176"/>
      <c r="B188" s="385"/>
      <c r="C188" s="385"/>
      <c r="D188" s="1268"/>
      <c r="E188" s="1268"/>
      <c r="F188" s="1268"/>
      <c r="G188" s="3"/>
    </row>
    <row r="189" spans="1:7" ht="13">
      <c r="A189" s="176"/>
      <c r="B189" s="385"/>
      <c r="C189" s="385"/>
      <c r="D189" s="1268"/>
      <c r="E189" s="1268"/>
      <c r="F189" s="1268"/>
      <c r="G189" s="3"/>
    </row>
    <row r="190" spans="1:7">
      <c r="D190" s="475"/>
      <c r="E190" s="475"/>
      <c r="F190" s="475"/>
    </row>
    <row r="191" spans="1:7" ht="13">
      <c r="A191" s="1283" t="s">
        <v>1074</v>
      </c>
      <c r="B191" s="1283"/>
      <c r="C191" s="1283"/>
      <c r="D191" s="1283"/>
      <c r="E191" s="1283"/>
      <c r="F191" s="1283"/>
      <c r="G191" s="1283"/>
    </row>
    <row r="192" spans="1:7" ht="12" customHeight="1">
      <c r="D192" s="35"/>
      <c r="E192" s="35"/>
      <c r="F192" s="35"/>
    </row>
    <row r="193" spans="1:6" ht="13">
      <c r="C193" s="177"/>
      <c r="D193" s="1284" t="s">
        <v>209</v>
      </c>
      <c r="E193" s="1284"/>
      <c r="F193" s="1284"/>
    </row>
    <row r="194" spans="1:6" ht="13">
      <c r="A194" s="172"/>
      <c r="B194" s="172"/>
      <c r="C194" s="172"/>
      <c r="D194" s="1279" t="s">
        <v>1203</v>
      </c>
      <c r="E194" s="1287"/>
      <c r="F194" s="1287"/>
    </row>
    <row r="195" spans="1:6" ht="12" customHeight="1">
      <c r="A195" s="13"/>
      <c r="B195" s="13"/>
      <c r="C195" s="13"/>
    </row>
    <row r="196" spans="1:6" ht="13.15" customHeight="1">
      <c r="A196" s="13"/>
      <c r="C196" s="13"/>
      <c r="D196" s="1284" t="s">
        <v>554</v>
      </c>
      <c r="E196" s="1284"/>
      <c r="F196" s="1284"/>
    </row>
    <row r="197" spans="1:6" ht="13">
      <c r="A197" s="176"/>
      <c r="B197" s="468" t="s">
        <v>308</v>
      </c>
      <c r="D197" s="1268" t="s">
        <v>1197</v>
      </c>
      <c r="E197" s="1268"/>
      <c r="F197" s="1268"/>
    </row>
    <row r="198" spans="1:6" ht="13">
      <c r="A198" s="176"/>
      <c r="B198" s="176"/>
      <c r="D198" s="1268"/>
      <c r="E198" s="1268"/>
      <c r="F198" s="1268"/>
    </row>
    <row r="199" spans="1:6"/>
    <row r="200" spans="1:6" ht="13">
      <c r="A200" s="176"/>
      <c r="B200" s="468" t="s">
        <v>308</v>
      </c>
      <c r="D200" s="1268" t="s">
        <v>1198</v>
      </c>
      <c r="E200" s="1268"/>
      <c r="F200" s="1268"/>
    </row>
    <row r="201" spans="1:6" ht="13">
      <c r="A201" s="176"/>
      <c r="B201" s="176"/>
      <c r="D201" s="1268"/>
      <c r="E201" s="1268"/>
      <c r="F201" s="1268"/>
    </row>
    <row r="202" spans="1:6" ht="13">
      <c r="A202" s="176"/>
      <c r="B202" s="176"/>
      <c r="D202" s="1268"/>
      <c r="E202" s="1268"/>
      <c r="F202" s="1268"/>
    </row>
    <row r="203" spans="1:6" ht="4.9000000000000004" customHeight="1">
      <c r="A203" s="176"/>
      <c r="B203" s="176"/>
      <c r="D203" s="35"/>
      <c r="E203" s="35"/>
      <c r="F203" s="35"/>
    </row>
    <row r="204" spans="1:6" ht="13">
      <c r="A204" s="176"/>
      <c r="B204" s="176"/>
      <c r="D204" s="1268" t="s">
        <v>1199</v>
      </c>
      <c r="E204" s="1268"/>
      <c r="F204" s="1268"/>
    </row>
    <row r="205" spans="1:6" ht="13">
      <c r="A205" s="176"/>
      <c r="B205" s="176"/>
      <c r="D205" s="1268"/>
      <c r="E205" s="1268"/>
      <c r="F205" s="1268"/>
    </row>
    <row r="206" spans="1:6" ht="13">
      <c r="A206" s="176"/>
      <c r="B206" s="176"/>
      <c r="D206" s="1268"/>
      <c r="E206" s="1268"/>
      <c r="F206" s="1268"/>
    </row>
    <row r="207" spans="1:6" ht="13">
      <c r="A207" s="176"/>
      <c r="B207" s="176"/>
      <c r="D207" s="1268"/>
      <c r="E207" s="1268"/>
      <c r="F207" s="1268"/>
    </row>
    <row r="208" spans="1:6" ht="13">
      <c r="A208" s="176"/>
      <c r="B208" s="176"/>
      <c r="D208" s="1268"/>
      <c r="E208" s="1268"/>
      <c r="F208" s="1268"/>
    </row>
    <row r="209" spans="1:7" ht="13">
      <c r="A209" s="176"/>
      <c r="B209" s="176"/>
      <c r="D209" s="35"/>
      <c r="E209" s="35"/>
      <c r="F209" s="35"/>
    </row>
    <row r="210" spans="1:7" ht="13">
      <c r="A210" s="176"/>
      <c r="B210" s="468" t="s">
        <v>308</v>
      </c>
      <c r="D210" s="1268" t="s">
        <v>1200</v>
      </c>
      <c r="E210" s="1268"/>
      <c r="F210" s="1268"/>
    </row>
    <row r="211" spans="1:7" ht="13">
      <c r="A211" s="176"/>
      <c r="B211" s="176"/>
      <c r="D211" s="1268"/>
      <c r="E211" s="1268"/>
      <c r="F211" s="1268"/>
    </row>
    <row r="212" spans="1:7" ht="13">
      <c r="A212" s="176"/>
      <c r="B212" s="176"/>
      <c r="D212" s="1300" t="s">
        <v>909</v>
      </c>
      <c r="E212" s="1300"/>
      <c r="F212" s="1300"/>
    </row>
    <row r="213" spans="1:7" ht="13">
      <c r="A213" s="176"/>
      <c r="B213" s="176"/>
      <c r="D213" s="35"/>
      <c r="E213" s="35"/>
      <c r="F213" s="35"/>
    </row>
    <row r="214" spans="1:7" ht="14.65" customHeight="1">
      <c r="A214" s="176"/>
      <c r="B214" s="468" t="s">
        <v>308</v>
      </c>
      <c r="D214" s="1268" t="s">
        <v>1202</v>
      </c>
      <c r="E214" s="1268"/>
      <c r="F214" s="1268"/>
    </row>
    <row r="215" spans="1:7" ht="13">
      <c r="A215" s="176"/>
      <c r="B215" s="176"/>
      <c r="D215" s="1268"/>
      <c r="E215" s="1268"/>
      <c r="F215" s="1268"/>
    </row>
    <row r="216" spans="1:7" ht="13">
      <c r="A216" s="176"/>
      <c r="B216" s="176"/>
      <c r="D216" s="1268"/>
      <c r="E216" s="1268"/>
      <c r="F216" s="1268"/>
    </row>
    <row r="217" spans="1:7" ht="13">
      <c r="A217" s="176"/>
      <c r="B217" s="176"/>
      <c r="D217" s="1268"/>
      <c r="E217" s="1268"/>
      <c r="F217" s="1268"/>
    </row>
    <row r="218" spans="1:7" ht="13">
      <c r="A218" s="176"/>
      <c r="B218" s="176"/>
      <c r="D218" s="1268"/>
      <c r="E218" s="1268"/>
      <c r="F218" s="1268"/>
    </row>
    <row r="219" spans="1:7">
      <c r="D219" s="35"/>
      <c r="E219" s="35"/>
      <c r="F219" s="35"/>
    </row>
    <row r="220" spans="1:7" ht="13">
      <c r="A220" s="176"/>
      <c r="B220" s="468" t="s">
        <v>308</v>
      </c>
      <c r="D220" s="1268" t="s">
        <v>1201</v>
      </c>
      <c r="E220" s="1268"/>
      <c r="F220" s="1268"/>
    </row>
    <row r="221" spans="1:7" ht="13">
      <c r="A221" s="176"/>
      <c r="B221" s="176"/>
      <c r="D221" s="1268"/>
      <c r="E221" s="1268"/>
      <c r="F221" s="1268"/>
    </row>
    <row r="222" spans="1:7">
      <c r="D222" s="19"/>
    </row>
    <row r="223" spans="1:7" ht="13">
      <c r="A223" s="1283" t="s">
        <v>1075</v>
      </c>
      <c r="B223" s="1283"/>
      <c r="C223" s="1283"/>
      <c r="D223" s="1283"/>
      <c r="E223" s="1283"/>
      <c r="F223" s="1283"/>
      <c r="G223" s="1283"/>
    </row>
    <row r="224" spans="1:7">
      <c r="D224" s="19"/>
    </row>
    <row r="225" spans="1:6" ht="13">
      <c r="C225" s="177"/>
      <c r="D225" s="1284" t="s">
        <v>1204</v>
      </c>
      <c r="E225" s="1284"/>
      <c r="F225" s="1284"/>
    </row>
    <row r="226" spans="1:6" ht="13">
      <c r="A226" s="172"/>
      <c r="B226" s="172"/>
      <c r="C226" s="172"/>
      <c r="D226" s="35"/>
      <c r="E226" s="35"/>
      <c r="F226" s="35"/>
    </row>
    <row r="227" spans="1:6" ht="13">
      <c r="A227" s="175"/>
      <c r="B227" s="175"/>
      <c r="C227" s="175"/>
      <c r="D227" s="1284" t="s">
        <v>270</v>
      </c>
      <c r="E227" s="1284"/>
      <c r="F227" s="1284"/>
    </row>
    <row r="228" spans="1:6" ht="13">
      <c r="A228" s="176"/>
      <c r="B228" s="468" t="s">
        <v>308</v>
      </c>
      <c r="D228" s="1286" t="s">
        <v>1205</v>
      </c>
      <c r="E228" s="1286"/>
      <c r="F228" s="1286"/>
    </row>
    <row r="229" spans="1:6" ht="13">
      <c r="A229" s="176"/>
      <c r="B229" s="176"/>
      <c r="D229" s="1286"/>
      <c r="E229" s="1286"/>
      <c r="F229" s="1286"/>
    </row>
    <row r="230" spans="1:6">
      <c r="D230" s="35"/>
      <c r="E230" s="35"/>
      <c r="F230" s="35"/>
    </row>
    <row r="231" spans="1:6" ht="14.65" customHeight="1">
      <c r="A231" s="176"/>
      <c r="B231" s="468" t="s">
        <v>308</v>
      </c>
      <c r="D231" s="1268" t="s">
        <v>1206</v>
      </c>
      <c r="E231" s="1268"/>
      <c r="F231" s="1268"/>
    </row>
    <row r="232" spans="1:6">
      <c r="D232" s="1268"/>
      <c r="E232" s="1268"/>
      <c r="F232" s="1268"/>
    </row>
    <row r="233" spans="1:6" ht="13">
      <c r="D233" s="1287" t="s">
        <v>901</v>
      </c>
      <c r="E233" s="1287"/>
      <c r="F233" s="1287"/>
    </row>
    <row r="234" spans="1:6">
      <c r="D234" s="35"/>
      <c r="E234" s="35"/>
      <c r="F234" s="35"/>
    </row>
    <row r="235" spans="1:6" ht="14.65" customHeight="1">
      <c r="A235" s="176"/>
      <c r="B235" s="468" t="s">
        <v>308</v>
      </c>
      <c r="D235" s="1268" t="s">
        <v>1208</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3">
      <c r="A241" s="176"/>
      <c r="B241" s="468" t="s">
        <v>308</v>
      </c>
      <c r="D241" s="1268" t="s">
        <v>1207</v>
      </c>
      <c r="E241" s="1268"/>
      <c r="F241" s="1268"/>
    </row>
    <row r="242" spans="1:7">
      <c r="D242" s="1268"/>
      <c r="E242" s="1268"/>
      <c r="F242" s="1268"/>
    </row>
    <row r="243" spans="1:7">
      <c r="D243" s="1268"/>
      <c r="E243" s="1268"/>
      <c r="F243" s="1268"/>
    </row>
    <row r="244" spans="1:7">
      <c r="D244" s="178"/>
      <c r="E244" s="35"/>
      <c r="F244" s="35"/>
    </row>
    <row r="245" spans="1:7" ht="13">
      <c r="A245" s="1283" t="s">
        <v>1076</v>
      </c>
      <c r="B245" s="1283"/>
      <c r="C245" s="1283"/>
      <c r="D245" s="1283"/>
      <c r="E245" s="1283"/>
      <c r="F245" s="1283"/>
      <c r="G245" s="1283"/>
    </row>
    <row r="246" spans="1:7">
      <c r="D246" s="178"/>
      <c r="E246" s="35"/>
      <c r="F246" s="35"/>
    </row>
    <row r="247" spans="1:7" ht="13">
      <c r="C247" s="172"/>
      <c r="D247" s="1301" t="s">
        <v>1209</v>
      </c>
      <c r="E247" s="1301"/>
      <c r="F247" s="1301"/>
    </row>
    <row r="248" spans="1:7" ht="13">
      <c r="C248" s="172"/>
      <c r="D248" s="1301"/>
      <c r="E248" s="1301"/>
      <c r="F248" s="1301"/>
    </row>
    <row r="249" spans="1:7" ht="13">
      <c r="A249" s="175"/>
      <c r="B249" s="175"/>
      <c r="C249" s="175"/>
      <c r="D249" s="2"/>
      <c r="E249" s="3"/>
      <c r="F249" s="3"/>
    </row>
    <row r="250" spans="1:7" ht="13">
      <c r="C250" s="175"/>
      <c r="D250" s="1284" t="s">
        <v>210</v>
      </c>
      <c r="E250" s="1284"/>
      <c r="F250" s="1284"/>
    </row>
    <row r="251" spans="1:7" ht="15.75" customHeight="1">
      <c r="A251" s="176"/>
      <c r="B251" s="176"/>
      <c r="D251" s="1290" t="s">
        <v>1210</v>
      </c>
      <c r="E251" s="1290"/>
      <c r="F251" s="1290"/>
    </row>
    <row r="252" spans="1:7">
      <c r="E252" s="35"/>
      <c r="F252" s="35"/>
    </row>
    <row r="253" spans="1:7" ht="13">
      <c r="A253" s="176"/>
      <c r="B253" s="468" t="s">
        <v>308</v>
      </c>
      <c r="D253" s="1268" t="s">
        <v>1211</v>
      </c>
      <c r="E253" s="1268"/>
      <c r="F253" s="1268"/>
    </row>
    <row r="254" spans="1:7" ht="13">
      <c r="A254" s="176"/>
      <c r="B254" s="176"/>
      <c r="D254" s="1268"/>
      <c r="E254" s="1268"/>
      <c r="F254" s="1268"/>
    </row>
    <row r="255" spans="1:7">
      <c r="D255" s="35"/>
      <c r="E255" s="35"/>
      <c r="F255" s="35"/>
    </row>
    <row r="256" spans="1:7" ht="13">
      <c r="A256" s="176"/>
      <c r="B256" s="468" t="s">
        <v>308</v>
      </c>
      <c r="D256" s="1268" t="s">
        <v>1212</v>
      </c>
      <c r="E256" s="1268"/>
      <c r="F256" s="1268"/>
    </row>
    <row r="257" spans="1:7" ht="13">
      <c r="A257" s="176"/>
      <c r="B257" s="176"/>
      <c r="D257" s="1268"/>
      <c r="E257" s="1268"/>
      <c r="F257" s="1268"/>
    </row>
    <row r="258" spans="1:7" ht="13">
      <c r="A258" s="176"/>
      <c r="B258" s="176"/>
      <c r="D258" s="1268"/>
      <c r="E258" s="1268"/>
      <c r="F258" s="1268"/>
    </row>
    <row r="259" spans="1:7">
      <c r="D259" s="35"/>
      <c r="E259" s="35"/>
      <c r="F259" s="35"/>
    </row>
    <row r="260" spans="1:7" ht="13">
      <c r="A260" s="176"/>
      <c r="B260" s="468" t="s">
        <v>308</v>
      </c>
      <c r="D260" s="1268" t="s">
        <v>1213</v>
      </c>
      <c r="E260" s="1268"/>
      <c r="F260" s="1268"/>
    </row>
    <row r="261" spans="1:7" ht="13">
      <c r="A261" s="176"/>
      <c r="B261" s="176"/>
      <c r="D261" s="1268"/>
      <c r="E261" s="1268"/>
      <c r="F261" s="1268"/>
    </row>
    <row r="262" spans="1:7" ht="13">
      <c r="A262" s="13"/>
      <c r="B262" s="13"/>
      <c r="E262" s="35"/>
      <c r="F262" s="35"/>
    </row>
    <row r="263" spans="1:7" ht="13">
      <c r="A263" s="1283" t="s">
        <v>1077</v>
      </c>
      <c r="B263" s="1283"/>
      <c r="C263" s="1283"/>
      <c r="D263" s="1283"/>
      <c r="E263" s="1283"/>
      <c r="F263" s="1283"/>
      <c r="G263" s="1283"/>
    </row>
    <row r="264" spans="1:7" ht="13">
      <c r="A264" s="13"/>
      <c r="B264" s="13"/>
      <c r="D264" s="35"/>
      <c r="E264" s="35"/>
      <c r="F264" s="35"/>
    </row>
    <row r="265" spans="1:7" ht="13">
      <c r="C265" s="13"/>
      <c r="D265" s="1284" t="s">
        <v>690</v>
      </c>
      <c r="E265" s="1284"/>
      <c r="F265" s="1284"/>
    </row>
    <row r="266" spans="1:7" ht="13">
      <c r="C266" s="13"/>
      <c r="D266" s="1279" t="s">
        <v>1214</v>
      </c>
      <c r="E266" s="1279"/>
      <c r="F266" s="1279"/>
    </row>
    <row r="267" spans="1:7" ht="13">
      <c r="C267" s="13"/>
      <c r="D267" s="173"/>
    </row>
    <row r="268" spans="1:7">
      <c r="B268" s="468" t="s">
        <v>308</v>
      </c>
      <c r="D268" s="1279" t="s">
        <v>1215</v>
      </c>
      <c r="E268" s="1279"/>
      <c r="F268" s="1279"/>
    </row>
    <row r="269" spans="1:7" ht="13">
      <c r="A269" s="176"/>
      <c r="B269" s="176"/>
      <c r="D269" s="341"/>
      <c r="E269" s="342"/>
      <c r="F269" s="342"/>
    </row>
    <row r="270" spans="1:7" ht="13.15" customHeight="1">
      <c r="B270" s="468" t="s">
        <v>308</v>
      </c>
      <c r="D270" s="1288" t="s">
        <v>1216</v>
      </c>
      <c r="E270" s="1288"/>
      <c r="F270" s="1288"/>
    </row>
    <row r="271" spans="1:7" ht="13">
      <c r="A271" s="176"/>
      <c r="B271" s="176"/>
      <c r="D271" s="1288"/>
      <c r="E271" s="1288"/>
      <c r="F271" s="1288"/>
    </row>
    <row r="272" spans="1:7" ht="13">
      <c r="A272" s="176"/>
      <c r="B272" s="176"/>
      <c r="D272" s="1288"/>
      <c r="E272" s="1288"/>
      <c r="F272" s="1288"/>
    </row>
    <row r="273" spans="1:6" ht="13">
      <c r="A273" s="176"/>
      <c r="B273" s="176"/>
      <c r="D273" s="1288"/>
      <c r="E273" s="1288"/>
      <c r="F273" s="1288"/>
    </row>
    <row r="274" spans="1:6" ht="13">
      <c r="A274" s="176"/>
      <c r="B274" s="176"/>
      <c r="D274" s="1288"/>
      <c r="E274" s="1288"/>
      <c r="F274" s="1288"/>
    </row>
    <row r="275" spans="1:6" ht="13">
      <c r="A275" s="176"/>
      <c r="B275" s="176"/>
      <c r="D275" s="341"/>
      <c r="E275" s="342"/>
      <c r="F275" s="342"/>
    </row>
    <row r="276" spans="1:6" ht="13.15" customHeight="1">
      <c r="B276" s="468" t="s">
        <v>308</v>
      </c>
      <c r="D276" s="1288" t="s">
        <v>1217</v>
      </c>
      <c r="E276" s="1288"/>
      <c r="F276" s="1288"/>
    </row>
    <row r="277" spans="1:6">
      <c r="D277" s="1288"/>
      <c r="E277" s="1288"/>
      <c r="F277" s="1288"/>
    </row>
    <row r="278" spans="1:6" ht="13">
      <c r="A278" s="176"/>
      <c r="B278" s="176"/>
      <c r="D278" s="341"/>
      <c r="E278" s="342"/>
      <c r="F278" s="342"/>
    </row>
    <row r="279" spans="1:6">
      <c r="B279" s="468" t="s">
        <v>308</v>
      </c>
      <c r="D279" s="1279" t="s">
        <v>1218</v>
      </c>
      <c r="E279" s="1279"/>
      <c r="F279" s="1279"/>
    </row>
    <row r="280" spans="1:6">
      <c r="E280" s="35"/>
      <c r="F280" s="35"/>
    </row>
    <row r="281" spans="1:6" ht="13">
      <c r="A281" s="176"/>
      <c r="B281" s="468" t="s">
        <v>308</v>
      </c>
      <c r="D281" s="1268" t="s">
        <v>1219</v>
      </c>
      <c r="E281" s="1268"/>
      <c r="F281" s="1268"/>
    </row>
    <row r="282" spans="1:6" ht="13">
      <c r="A282" s="176"/>
      <c r="B282" s="176"/>
      <c r="D282" s="1268"/>
      <c r="E282" s="1268"/>
      <c r="F282" s="1268"/>
    </row>
    <row r="283" spans="1:6" ht="13">
      <c r="A283" s="176"/>
      <c r="B283" s="176"/>
      <c r="D283" s="1268"/>
      <c r="E283" s="1268"/>
      <c r="F283" s="1268"/>
    </row>
    <row r="284" spans="1:6" ht="13">
      <c r="A284" s="176"/>
      <c r="B284" s="176"/>
      <c r="D284" s="1268"/>
      <c r="E284" s="1268"/>
      <c r="F284" s="1268"/>
    </row>
    <row r="285" spans="1:6" ht="13">
      <c r="A285" s="176"/>
      <c r="B285" s="176"/>
      <c r="D285" s="1268"/>
      <c r="E285" s="1268"/>
      <c r="F285" s="1268"/>
    </row>
    <row r="286" spans="1:6" ht="13">
      <c r="A286" s="176"/>
      <c r="B286" s="176"/>
      <c r="D286" s="1268"/>
      <c r="E286" s="1268"/>
      <c r="F286" s="1268"/>
    </row>
    <row r="287" spans="1:6" ht="13">
      <c r="A287" s="176"/>
      <c r="B287" s="176"/>
      <c r="D287" s="1268"/>
      <c r="E287" s="1268"/>
      <c r="F287" s="1268"/>
    </row>
    <row r="288" spans="1:6" ht="13">
      <c r="A288" s="176"/>
      <c r="B288" s="176"/>
      <c r="D288" s="1268"/>
      <c r="E288" s="1268"/>
      <c r="F288" s="1268"/>
    </row>
    <row r="289" spans="1:6" ht="13">
      <c r="A289" s="176"/>
      <c r="B289" s="176"/>
      <c r="D289" s="1268"/>
      <c r="E289" s="1268"/>
      <c r="F289" s="1268"/>
    </row>
    <row r="290" spans="1:6" ht="13">
      <c r="A290" s="176"/>
      <c r="B290" s="176"/>
      <c r="D290" s="1268"/>
      <c r="E290" s="1268"/>
      <c r="F290" s="1268"/>
    </row>
    <row r="291" spans="1:6" ht="13">
      <c r="A291" s="176"/>
      <c r="B291" s="176"/>
      <c r="D291" s="1268"/>
      <c r="E291" s="1268"/>
      <c r="F291" s="1268"/>
    </row>
    <row r="292" spans="1:6" ht="13">
      <c r="A292" s="176"/>
      <c r="B292" s="176"/>
      <c r="D292" s="1268"/>
      <c r="E292" s="1268"/>
      <c r="F292" s="1268"/>
    </row>
    <row r="293" spans="1:6" ht="13">
      <c r="A293" s="176"/>
      <c r="B293" s="176"/>
      <c r="D293" s="1268"/>
      <c r="E293" s="1268"/>
      <c r="F293" s="1268"/>
    </row>
    <row r="294" spans="1:6" ht="13">
      <c r="A294" s="176"/>
      <c r="B294" s="176"/>
      <c r="D294" s="1268"/>
      <c r="E294" s="1268"/>
      <c r="F294" s="1268"/>
    </row>
    <row r="295" spans="1:6" ht="13">
      <c r="A295" s="176"/>
      <c r="B295" s="176"/>
      <c r="D295" s="1268"/>
      <c r="E295" s="1268"/>
      <c r="F295" s="1268"/>
    </row>
    <row r="296" spans="1:6">
      <c r="D296" s="35"/>
      <c r="E296" s="35"/>
      <c r="F296" s="35"/>
    </row>
    <row r="297" spans="1:6" ht="13">
      <c r="A297" s="176"/>
      <c r="B297" s="468" t="s">
        <v>308</v>
      </c>
      <c r="D297" s="1268" t="s">
        <v>1220</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3">
      <c r="A307" s="176"/>
      <c r="B307" s="468" t="s">
        <v>308</v>
      </c>
      <c r="D307" s="1268" t="s">
        <v>1221</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3.5" thickBot="1">
      <c r="D314" s="1291" t="s">
        <v>998</v>
      </c>
      <c r="E314" s="1291"/>
      <c r="F314" s="1291"/>
      <c r="G314"/>
    </row>
    <row r="315" spans="1:7" ht="13" thickTop="1">
      <c r="D315" s="1292" t="s">
        <v>1222</v>
      </c>
      <c r="E315" s="1292"/>
      <c r="F315" s="1292"/>
      <c r="G315"/>
    </row>
    <row r="316" spans="1:7">
      <c r="A316" s="218"/>
      <c r="B316" s="218"/>
      <c r="C316" s="218"/>
      <c r="D316" s="220"/>
      <c r="E316" s="220"/>
      <c r="F316" s="35"/>
      <c r="G316"/>
    </row>
    <row r="317" spans="1:7" ht="13">
      <c r="A317" s="176"/>
      <c r="B317" s="468" t="s">
        <v>308</v>
      </c>
      <c r="C317" s="218"/>
      <c r="D317" s="1281" t="s">
        <v>1223</v>
      </c>
      <c r="E317" s="1281"/>
      <c r="F317" s="1281"/>
      <c r="G317"/>
    </row>
    <row r="318" spans="1:7">
      <c r="A318" s="218"/>
      <c r="B318" s="218"/>
      <c r="C318" s="218"/>
      <c r="D318" s="220"/>
      <c r="E318" s="220"/>
      <c r="F318" s="35"/>
      <c r="G318"/>
    </row>
    <row r="319" spans="1:7">
      <c r="A319" s="218"/>
      <c r="B319" s="468" t="s">
        <v>308</v>
      </c>
      <c r="C319" s="218"/>
      <c r="D319" s="1277" t="s">
        <v>1224</v>
      </c>
      <c r="E319" s="1277"/>
      <c r="F319" s="1277"/>
      <c r="G319"/>
    </row>
    <row r="320" spans="1:7">
      <c r="A320" s="218"/>
      <c r="B320" s="218"/>
      <c r="C320" s="218"/>
      <c r="D320" s="1277"/>
      <c r="E320" s="1277"/>
      <c r="F320" s="1277"/>
      <c r="G320"/>
    </row>
    <row r="321" spans="1:7">
      <c r="A321" s="218"/>
      <c r="B321" s="218"/>
      <c r="C321" s="218"/>
      <c r="D321" s="1277"/>
      <c r="E321" s="1277"/>
      <c r="F321" s="1277"/>
      <c r="G321"/>
    </row>
    <row r="322" spans="1:7">
      <c r="A322" s="218"/>
      <c r="B322" s="218"/>
      <c r="C322" s="218"/>
      <c r="D322" s="1277"/>
      <c r="E322" s="1277"/>
      <c r="F322" s="1277"/>
      <c r="G322"/>
    </row>
    <row r="323" spans="1:7">
      <c r="A323" s="218"/>
      <c r="B323" s="218"/>
      <c r="C323" s="218"/>
      <c r="D323" s="1277"/>
      <c r="E323" s="1277"/>
      <c r="F323" s="1277"/>
      <c r="G323"/>
    </row>
    <row r="324" spans="1:7">
      <c r="A324" s="218"/>
      <c r="B324" s="218"/>
      <c r="C324" s="218"/>
      <c r="D324" s="1277"/>
      <c r="E324" s="1277"/>
      <c r="F324" s="1277"/>
      <c r="G324"/>
    </row>
    <row r="325" spans="1:7">
      <c r="A325" s="218"/>
      <c r="B325" s="218"/>
      <c r="C325" s="218"/>
      <c r="D325" s="1277"/>
      <c r="E325" s="1277"/>
      <c r="F325" s="1277"/>
      <c r="G325"/>
    </row>
    <row r="326" spans="1:7">
      <c r="A326" s="218"/>
      <c r="B326" s="218"/>
      <c r="C326" s="218"/>
      <c r="D326" s="1277"/>
      <c r="E326" s="1277"/>
      <c r="F326" s="1277"/>
      <c r="G326"/>
    </row>
    <row r="327" spans="1:7">
      <c r="A327" s="218"/>
      <c r="B327" s="218"/>
      <c r="C327" s="218"/>
      <c r="D327" s="1277"/>
      <c r="E327" s="1277"/>
      <c r="F327" s="1277"/>
      <c r="G327"/>
    </row>
    <row r="328" spans="1:7">
      <c r="A328" s="218"/>
      <c r="B328" s="218"/>
      <c r="C328" s="218"/>
      <c r="D328" s="1277"/>
      <c r="E328" s="1277"/>
      <c r="F328" s="1277"/>
      <c r="G328"/>
    </row>
    <row r="329" spans="1:7">
      <c r="A329" s="218"/>
      <c r="B329" s="218"/>
      <c r="C329" s="218"/>
      <c r="D329" s="1277"/>
      <c r="E329" s="1277"/>
      <c r="F329" s="1277"/>
      <c r="G329"/>
    </row>
    <row r="330" spans="1:7">
      <c r="A330" s="218"/>
      <c r="B330" s="218"/>
      <c r="C330" s="218"/>
      <c r="D330"/>
      <c r="E330" s="220"/>
      <c r="F330" s="35"/>
      <c r="G330"/>
    </row>
    <row r="331" spans="1:7" ht="13">
      <c r="A331" s="176"/>
      <c r="B331" s="468" t="s">
        <v>308</v>
      </c>
      <c r="C331" s="218"/>
      <c r="D331" s="1277" t="s">
        <v>1225</v>
      </c>
      <c r="E331" s="1277"/>
      <c r="F331" s="1277"/>
      <c r="G331"/>
    </row>
    <row r="332" spans="1:7">
      <c r="A332" s="218"/>
      <c r="B332" s="218"/>
      <c r="C332" s="218"/>
      <c r="D332" s="1277"/>
      <c r="E332" s="1277"/>
      <c r="F332" s="1277"/>
      <c r="G332"/>
    </row>
    <row r="333" spans="1:7">
      <c r="A333" s="218"/>
      <c r="B333" s="218"/>
      <c r="C333" s="218"/>
      <c r="D333" s="1277"/>
      <c r="E333" s="1277"/>
      <c r="F333" s="1277"/>
      <c r="G333"/>
    </row>
    <row r="334" spans="1:7">
      <c r="A334" s="218"/>
      <c r="B334" s="218"/>
      <c r="C334" s="218"/>
      <c r="D334" s="1277"/>
      <c r="E334" s="1277"/>
      <c r="F334" s="1277"/>
      <c r="G334"/>
    </row>
    <row r="335" spans="1:7">
      <c r="A335" s="218"/>
      <c r="B335" s="218"/>
      <c r="C335" s="218"/>
      <c r="D335" s="220"/>
      <c r="E335" s="220"/>
      <c r="F335" s="35"/>
      <c r="G335"/>
    </row>
    <row r="336" spans="1:7">
      <c r="A336" s="218"/>
      <c r="B336" s="218"/>
      <c r="C336" s="218"/>
      <c r="D336" s="1277" t="s">
        <v>1226</v>
      </c>
      <c r="E336" s="1277"/>
      <c r="F336" s="1277"/>
      <c r="G336"/>
    </row>
    <row r="337" spans="1:7">
      <c r="A337" s="218"/>
      <c r="B337" s="218"/>
      <c r="C337" s="218"/>
      <c r="D337" s="1277"/>
      <c r="E337" s="1277"/>
      <c r="F337" s="1277"/>
      <c r="G337"/>
    </row>
    <row r="338" spans="1:7">
      <c r="A338" s="218"/>
      <c r="B338" s="218"/>
      <c r="C338" s="218"/>
      <c r="D338" s="1277"/>
      <c r="E338" s="1277"/>
      <c r="F338" s="1277"/>
      <c r="G338"/>
    </row>
    <row r="339" spans="1:7">
      <c r="A339" s="218"/>
      <c r="B339" s="218"/>
      <c r="C339" s="218"/>
      <c r="D339" s="1277"/>
      <c r="E339" s="1277"/>
      <c r="F339" s="1277"/>
      <c r="G339"/>
    </row>
    <row r="340" spans="1:7" ht="18" customHeight="1">
      <c r="A340" s="218"/>
      <c r="B340" s="218"/>
      <c r="C340" s="218"/>
      <c r="D340" s="1277"/>
      <c r="E340" s="1277"/>
      <c r="F340" s="1277"/>
      <c r="G340"/>
    </row>
    <row r="341" spans="1:7">
      <c r="A341" s="218"/>
      <c r="B341" s="218"/>
      <c r="C341" s="218"/>
      <c r="D341" s="1277"/>
      <c r="E341" s="1277"/>
      <c r="F341" s="1277"/>
      <c r="G341"/>
    </row>
    <row r="342" spans="1:7">
      <c r="A342" s="218"/>
      <c r="B342" s="218"/>
      <c r="C342" s="218"/>
      <c r="D342" s="1277"/>
      <c r="E342" s="1277"/>
      <c r="F342" s="1277"/>
      <c r="G342"/>
    </row>
    <row r="343" spans="1:7">
      <c r="A343" s="218"/>
      <c r="B343" s="218"/>
      <c r="C343" s="218"/>
      <c r="D343" s="1277"/>
      <c r="E343" s="1277"/>
      <c r="F343" s="1277"/>
      <c r="G343"/>
    </row>
    <row r="344" spans="1:7" ht="8.25" customHeight="1">
      <c r="A344" s="218"/>
      <c r="B344" s="218"/>
      <c r="C344" s="218"/>
      <c r="D344" s="1277"/>
      <c r="E344" s="1277"/>
      <c r="F344" s="1277"/>
      <c r="G344"/>
    </row>
    <row r="345" spans="1:7" ht="13.15" customHeight="1">
      <c r="A345" s="218"/>
      <c r="B345" s="218"/>
      <c r="C345" s="218"/>
      <c r="D345" s="1277" t="s">
        <v>1227</v>
      </c>
      <c r="E345" s="1277"/>
      <c r="F345" s="1277"/>
      <c r="G345"/>
    </row>
    <row r="346" spans="1:7">
      <c r="A346" s="218"/>
      <c r="B346" s="218"/>
      <c r="C346" s="218"/>
      <c r="D346" s="1277"/>
      <c r="E346" s="1277"/>
      <c r="F346" s="1277"/>
      <c r="G346"/>
    </row>
    <row r="347" spans="1:7">
      <c r="A347" s="218"/>
      <c r="B347" s="218"/>
      <c r="C347" s="218"/>
      <c r="D347" s="1277"/>
      <c r="E347" s="1277"/>
      <c r="F347" s="1277"/>
      <c r="G347"/>
    </row>
    <row r="348" spans="1:7">
      <c r="A348" s="218"/>
      <c r="B348" s="218"/>
      <c r="C348" s="218"/>
      <c r="D348" s="1277"/>
      <c r="E348" s="1277"/>
      <c r="F348" s="1277"/>
      <c r="G348"/>
    </row>
    <row r="349" spans="1:7">
      <c r="A349" s="218"/>
      <c r="B349" s="218"/>
      <c r="C349" s="218"/>
      <c r="D349" s="1277"/>
      <c r="E349" s="1277"/>
      <c r="F349" s="1277"/>
      <c r="G349"/>
    </row>
    <row r="350" spans="1:7">
      <c r="A350" s="218"/>
      <c r="B350" s="218"/>
      <c r="C350" s="218"/>
      <c r="D350" s="1277"/>
      <c r="E350" s="1277"/>
      <c r="F350" s="1277"/>
      <c r="G350"/>
    </row>
    <row r="351" spans="1:7">
      <c r="A351" s="218"/>
      <c r="B351" s="218"/>
      <c r="C351" s="218"/>
      <c r="D351" s="1277"/>
      <c r="E351" s="1277"/>
      <c r="F351" s="1277"/>
      <c r="G351"/>
    </row>
    <row r="352" spans="1:7">
      <c r="A352" s="218"/>
      <c r="B352" s="218"/>
      <c r="C352" s="218"/>
      <c r="D352" s="1277"/>
      <c r="E352" s="1277"/>
      <c r="F352" s="1277"/>
      <c r="G352"/>
    </row>
    <row r="353" spans="1:7">
      <c r="A353" s="218"/>
      <c r="B353" s="218"/>
      <c r="C353" s="218"/>
      <c r="D353" s="1277"/>
      <c r="E353" s="1277"/>
      <c r="F353" s="1277"/>
      <c r="G353"/>
    </row>
    <row r="354" spans="1:7">
      <c r="A354" s="218"/>
      <c r="B354" s="218"/>
      <c r="C354" s="218"/>
      <c r="D354" s="1277"/>
      <c r="E354" s="1277"/>
      <c r="F354" s="1277"/>
      <c r="G354"/>
    </row>
    <row r="355" spans="1:7">
      <c r="A355" s="218"/>
      <c r="B355" s="218"/>
      <c r="C355" s="218"/>
      <c r="D355" s="1277"/>
      <c r="E355" s="1277"/>
      <c r="F355" s="1277"/>
      <c r="G355"/>
    </row>
    <row r="356" spans="1:7">
      <c r="A356" s="218"/>
      <c r="B356" s="218"/>
      <c r="C356" s="218"/>
      <c r="D356" s="1277"/>
      <c r="E356" s="1277"/>
      <c r="F356" s="1277"/>
      <c r="G356"/>
    </row>
    <row r="357" spans="1:7">
      <c r="A357" s="218"/>
      <c r="B357" s="218"/>
      <c r="C357" s="347"/>
      <c r="D357" s="1277"/>
      <c r="E357" s="1277"/>
      <c r="F357" s="1277"/>
      <c r="G357"/>
    </row>
    <row r="358" spans="1:7">
      <c r="A358" s="218"/>
      <c r="B358" s="218"/>
      <c r="C358" s="347"/>
      <c r="D358" s="1277"/>
      <c r="E358" s="1277"/>
      <c r="F358" s="1277"/>
      <c r="G358"/>
    </row>
    <row r="359" spans="1:7">
      <c r="A359" s="218"/>
      <c r="B359" s="218"/>
      <c r="C359" s="218"/>
      <c r="D359" s="1277"/>
      <c r="E359" s="1277"/>
      <c r="F359" s="1277"/>
      <c r="G359"/>
    </row>
    <row r="360" spans="1:7">
      <c r="A360" s="218"/>
      <c r="B360" s="218"/>
      <c r="C360" s="347"/>
      <c r="D360" s="1277"/>
      <c r="E360" s="1277"/>
      <c r="F360" s="1277"/>
      <c r="G360"/>
    </row>
    <row r="361" spans="1:7">
      <c r="A361" s="218"/>
      <c r="B361" s="218"/>
      <c r="C361" s="347"/>
      <c r="D361" s="1277"/>
      <c r="E361" s="1277"/>
      <c r="F361" s="1277"/>
      <c r="G361"/>
    </row>
    <row r="362" spans="1:7">
      <c r="A362" s="218"/>
      <c r="B362" s="218"/>
      <c r="C362" s="347"/>
      <c r="D362" s="1277"/>
      <c r="E362" s="1277"/>
      <c r="F362" s="1277"/>
      <c r="G362"/>
    </row>
    <row r="363" spans="1:7">
      <c r="A363" s="218"/>
      <c r="B363" s="218"/>
      <c r="C363" s="218"/>
      <c r="D363" s="220"/>
      <c r="E363" s="220"/>
      <c r="F363" s="35"/>
      <c r="G363"/>
    </row>
    <row r="364" spans="1:7">
      <c r="A364" s="218"/>
      <c r="B364" s="468" t="s">
        <v>308</v>
      </c>
      <c r="C364" s="218"/>
      <c r="D364" s="1277" t="s">
        <v>1228</v>
      </c>
      <c r="E364" s="1277"/>
      <c r="F364" s="1277"/>
      <c r="G364"/>
    </row>
    <row r="365" spans="1:7">
      <c r="A365" s="218"/>
      <c r="B365" s="218"/>
      <c r="C365" s="218"/>
      <c r="D365" s="1277"/>
      <c r="E365" s="1277"/>
      <c r="F365" s="1277"/>
      <c r="G365"/>
    </row>
    <row r="366" spans="1:7">
      <c r="A366" s="218"/>
      <c r="B366" s="218"/>
      <c r="C366" s="218"/>
      <c r="D366" s="220"/>
      <c r="E366" s="220"/>
      <c r="F366" s="35"/>
      <c r="G366"/>
    </row>
    <row r="367" spans="1:7" ht="13">
      <c r="A367" s="176"/>
      <c r="B367" s="468" t="s">
        <v>308</v>
      </c>
      <c r="C367" s="218"/>
      <c r="D367" s="1277" t="s">
        <v>1229</v>
      </c>
      <c r="E367" s="1277"/>
      <c r="F367" s="1277"/>
      <c r="G367"/>
    </row>
    <row r="368" spans="1:7" ht="13">
      <c r="A368" s="346"/>
      <c r="B368" s="346"/>
      <c r="C368" s="218"/>
      <c r="D368" s="1277"/>
      <c r="E368" s="1277"/>
      <c r="F368" s="1277"/>
      <c r="G368"/>
    </row>
    <row r="369" spans="1:7" ht="13">
      <c r="A369" s="346"/>
      <c r="B369" s="346"/>
      <c r="C369" s="218"/>
      <c r="D369" s="1277"/>
      <c r="E369" s="1277"/>
      <c r="F369" s="1277"/>
      <c r="G369"/>
    </row>
    <row r="370" spans="1:7" ht="13">
      <c r="A370" s="346"/>
      <c r="B370" s="346"/>
      <c r="C370" s="218"/>
      <c r="D370" s="1277"/>
      <c r="E370" s="1277"/>
      <c r="F370" s="1277"/>
      <c r="G370"/>
    </row>
    <row r="371" spans="1:7" ht="13">
      <c r="A371" s="346"/>
      <c r="B371" s="346"/>
      <c r="C371" s="218"/>
      <c r="D371" s="1277"/>
      <c r="E371" s="1277"/>
      <c r="F371" s="1277"/>
      <c r="G371"/>
    </row>
    <row r="372" spans="1:7">
      <c r="D372" s="35"/>
      <c r="E372" s="35"/>
      <c r="F372" s="35"/>
      <c r="G372"/>
    </row>
    <row r="373" spans="1:7" ht="13">
      <c r="A373" s="176"/>
      <c r="B373" s="468" t="s">
        <v>308</v>
      </c>
      <c r="C373" s="179"/>
      <c r="D373" s="1268" t="s">
        <v>1230</v>
      </c>
      <c r="E373" s="1268"/>
      <c r="F373" s="1268"/>
      <c r="G373"/>
    </row>
    <row r="374" spans="1:7" ht="13">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9" customHeight="1">
      <c r="D403" s="1268"/>
      <c r="E403" s="1268"/>
      <c r="F403" s="1268"/>
    </row>
    <row r="404" spans="1:7">
      <c r="D404" s="35"/>
      <c r="E404" s="35"/>
      <c r="F404" s="35"/>
    </row>
    <row r="405" spans="1:7" ht="13">
      <c r="A405" s="176"/>
      <c r="B405" s="468" t="s">
        <v>308</v>
      </c>
      <c r="C405" s="179"/>
      <c r="D405" s="1279" t="s">
        <v>1231</v>
      </c>
      <c r="E405" s="1279"/>
      <c r="F405" s="1279"/>
    </row>
    <row r="406" spans="1:7">
      <c r="D406" s="1289" t="s">
        <v>1006</v>
      </c>
      <c r="E406" s="1289"/>
      <c r="F406" s="1289"/>
    </row>
    <row r="407" spans="1:7">
      <c r="D407" s="1268" t="s">
        <v>1232</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3">
      <c r="A412" s="176"/>
      <c r="B412" s="468" t="s">
        <v>308</v>
      </c>
      <c r="C412" s="179"/>
      <c r="D412" s="1268" t="s">
        <v>1233</v>
      </c>
      <c r="E412" s="1268"/>
      <c r="F412" s="1268"/>
      <c r="G412"/>
    </row>
    <row r="413" spans="1:7">
      <c r="D413" s="1268"/>
      <c r="E413" s="1268"/>
      <c r="F413" s="1268"/>
      <c r="G413"/>
    </row>
    <row r="414" spans="1:7">
      <c r="D414" s="1268"/>
      <c r="E414" s="1268"/>
      <c r="F414" s="1268"/>
      <c r="G414"/>
    </row>
    <row r="415" spans="1:7">
      <c r="D415" s="474"/>
      <c r="E415" s="474"/>
      <c r="F415" s="474"/>
      <c r="G415"/>
    </row>
    <row r="416" spans="1:7" ht="13">
      <c r="B416" s="468" t="s">
        <v>308</v>
      </c>
      <c r="C416" s="176"/>
      <c r="D416" s="1268" t="s">
        <v>1234</v>
      </c>
      <c r="E416" s="1268"/>
      <c r="F416" s="1268"/>
      <c r="G416"/>
    </row>
    <row r="417" spans="1:7">
      <c r="D417" s="1268"/>
      <c r="E417" s="1268"/>
      <c r="F417" s="1268"/>
      <c r="G417"/>
    </row>
    <row r="418" spans="1:7">
      <c r="D418" s="35"/>
      <c r="E418" s="35"/>
      <c r="F418" s="35"/>
      <c r="G418"/>
    </row>
    <row r="419" spans="1:7" ht="13">
      <c r="B419" s="468" t="s">
        <v>308</v>
      </c>
      <c r="C419" s="176"/>
      <c r="D419" s="1268" t="s">
        <v>1235</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308</v>
      </c>
      <c r="C430"/>
      <c r="D430" s="1268"/>
      <c r="E430" s="1268"/>
      <c r="F430" s="1268"/>
      <c r="G430"/>
    </row>
    <row r="431" spans="1:7">
      <c r="A431"/>
      <c r="B431"/>
      <c r="C431"/>
      <c r="D431" s="1268"/>
      <c r="E431" s="1268"/>
      <c r="F431" s="1268"/>
      <c r="G431"/>
    </row>
    <row r="432" spans="1:7">
      <c r="A432"/>
      <c r="B432" s="468" t="s">
        <v>308</v>
      </c>
      <c r="C432"/>
      <c r="D432" s="1268"/>
      <c r="E432" s="1268"/>
      <c r="F432" s="1268"/>
      <c r="G432"/>
    </row>
    <row r="433" spans="1:7">
      <c r="A433"/>
      <c r="B433"/>
      <c r="C433"/>
      <c r="D433" s="474"/>
      <c r="E433" s="474"/>
      <c r="F433" s="474"/>
      <c r="G433"/>
    </row>
    <row r="434" spans="1:7">
      <c r="A434"/>
      <c r="B434" s="468" t="s">
        <v>308</v>
      </c>
      <c r="C434"/>
      <c r="D434" s="1268" t="s">
        <v>1236</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308</v>
      </c>
      <c r="D440" s="1279" t="s">
        <v>1237</v>
      </c>
      <c r="E440" s="1279"/>
      <c r="F440" s="1279"/>
    </row>
    <row r="441" spans="1:7">
      <c r="A441" s="35"/>
      <c r="B441" s="35"/>
    </row>
    <row r="442" spans="1:7" ht="13">
      <c r="A442" s="1283" t="s">
        <v>1078</v>
      </c>
      <c r="B442" s="1283"/>
      <c r="C442" s="1283"/>
      <c r="D442" s="1283"/>
      <c r="E442" s="1283"/>
      <c r="F442" s="1283"/>
      <c r="G442" s="1283"/>
    </row>
    <row r="443" spans="1:7">
      <c r="A443" s="35"/>
      <c r="B443" s="35"/>
    </row>
    <row r="444" spans="1:7" ht="13">
      <c r="D444" s="1280" t="s">
        <v>895</v>
      </c>
      <c r="E444" s="1280"/>
      <c r="F444" s="1280"/>
    </row>
    <row r="445" spans="1:7" ht="13">
      <c r="A445" s="176"/>
      <c r="B445" s="176"/>
      <c r="D445" s="1281" t="s">
        <v>1238</v>
      </c>
      <c r="E445" s="1281"/>
      <c r="F445" s="1281"/>
    </row>
    <row r="446" spans="1:7" ht="13">
      <c r="A446" s="176"/>
      <c r="B446" s="176"/>
      <c r="D446" s="481"/>
      <c r="E446" s="3"/>
      <c r="F446" s="3"/>
    </row>
    <row r="447" spans="1:7" ht="13">
      <c r="A447" s="176"/>
      <c r="B447" s="468" t="s">
        <v>308</v>
      </c>
      <c r="D447" s="1277" t="s">
        <v>1239</v>
      </c>
      <c r="E447" s="1277"/>
      <c r="F447" s="1277"/>
    </row>
    <row r="448" spans="1:7" ht="13">
      <c r="A448" s="176"/>
      <c r="B448" s="176"/>
      <c r="D448" s="1277"/>
      <c r="E448" s="1277"/>
      <c r="F448" s="1277"/>
    </row>
    <row r="449" spans="1:7" ht="13">
      <c r="A449" s="176"/>
      <c r="B449" s="176"/>
      <c r="D449" s="118"/>
      <c r="E449" s="3"/>
      <c r="F449" s="3"/>
    </row>
    <row r="450" spans="1:7">
      <c r="B450" s="468" t="s">
        <v>308</v>
      </c>
      <c r="D450" s="1282" t="s">
        <v>1240</v>
      </c>
      <c r="E450" s="1282"/>
      <c r="F450" s="1282"/>
    </row>
    <row r="451" spans="1:7" ht="13">
      <c r="A451" s="176"/>
      <c r="D451" s="1282"/>
      <c r="E451" s="1282"/>
      <c r="F451" s="1282"/>
    </row>
    <row r="452" spans="1:7" ht="13">
      <c r="A452" s="176"/>
      <c r="B452" s="176"/>
      <c r="D452" s="1282"/>
      <c r="E452" s="1282"/>
      <c r="F452" s="1282"/>
    </row>
    <row r="453" spans="1:7" ht="13">
      <c r="A453" s="176"/>
      <c r="B453" s="176"/>
      <c r="D453" s="1282"/>
      <c r="E453" s="1282"/>
      <c r="F453" s="1282"/>
    </row>
    <row r="454" spans="1:7">
      <c r="D454" s="3"/>
      <c r="E454" s="3"/>
      <c r="F454" s="3"/>
      <c r="G454"/>
    </row>
    <row r="455" spans="1:7" ht="13">
      <c r="A455" s="176"/>
      <c r="B455" s="468" t="s">
        <v>308</v>
      </c>
      <c r="D455" s="1268" t="s">
        <v>1241</v>
      </c>
      <c r="E455" s="1268"/>
      <c r="F455" s="1268"/>
      <c r="G455"/>
    </row>
    <row r="456" spans="1:7" ht="13">
      <c r="A456" s="176"/>
      <c r="B456" s="176"/>
      <c r="D456" s="1268"/>
      <c r="E456" s="1268"/>
      <c r="F456" s="1268"/>
      <c r="G456"/>
    </row>
    <row r="457" spans="1:7" ht="13">
      <c r="A457" s="176"/>
      <c r="D457" s="1268"/>
      <c r="E457" s="1268"/>
      <c r="F457" s="1268"/>
      <c r="G457"/>
    </row>
    <row r="458" spans="1:7" ht="13">
      <c r="A458" s="176"/>
      <c r="B458" s="176"/>
      <c r="D458" s="3"/>
      <c r="E458" s="3"/>
      <c r="F458" s="3"/>
      <c r="G458"/>
    </row>
    <row r="459" spans="1:7" ht="13">
      <c r="A459" s="176"/>
      <c r="B459" s="468" t="s">
        <v>308</v>
      </c>
      <c r="D459" s="1279" t="s">
        <v>1242</v>
      </c>
      <c r="E459" s="1279"/>
      <c r="F459" s="1279"/>
      <c r="G459"/>
    </row>
    <row r="460" spans="1:7" ht="13">
      <c r="A460" s="176"/>
      <c r="B460" s="176"/>
      <c r="D460" s="118"/>
      <c r="E460" s="3"/>
      <c r="F460" s="3"/>
      <c r="G460"/>
    </row>
    <row r="461" spans="1:7" ht="13">
      <c r="A461" s="176"/>
      <c r="B461" s="468" t="s">
        <v>308</v>
      </c>
      <c r="D461" s="1268" t="s">
        <v>1243</v>
      </c>
      <c r="E461" s="1268"/>
      <c r="F461" s="1268"/>
      <c r="G461"/>
    </row>
    <row r="462" spans="1:7" ht="13">
      <c r="A462" s="176"/>
      <c r="D462" s="1268"/>
      <c r="E462" s="1268"/>
      <c r="F462" s="1268"/>
      <c r="G462"/>
    </row>
    <row r="463" spans="1:7" ht="13">
      <c r="A463" s="13"/>
      <c r="B463" s="13"/>
      <c r="D463" s="481"/>
      <c r="E463" s="3"/>
      <c r="F463" s="3"/>
      <c r="G463"/>
    </row>
    <row r="464" spans="1:7" ht="13">
      <c r="A464" s="13"/>
      <c r="B464" s="468" t="s">
        <v>308</v>
      </c>
      <c r="D464" s="1279" t="s">
        <v>1244</v>
      </c>
      <c r="E464" s="1279"/>
      <c r="F464" s="1279"/>
      <c r="G464"/>
    </row>
    <row r="465" spans="1:7" ht="13">
      <c r="A465" s="176"/>
      <c r="B465" s="176"/>
      <c r="D465" s="35"/>
    </row>
    <row r="466" spans="1:7" ht="13">
      <c r="A466" s="1283" t="s">
        <v>1079</v>
      </c>
      <c r="B466" s="1283"/>
      <c r="C466" s="1283"/>
      <c r="D466" s="1283"/>
      <c r="E466" s="1283"/>
      <c r="F466" s="1283"/>
      <c r="G466" s="1283"/>
    </row>
    <row r="467" spans="1:7" ht="12" customHeight="1">
      <c r="A467" s="176"/>
      <c r="B467" s="176"/>
      <c r="D467" s="35"/>
    </row>
    <row r="468" spans="1:7" ht="13">
      <c r="C468" s="172"/>
      <c r="D468" s="1284" t="s">
        <v>802</v>
      </c>
      <c r="E468" s="1284"/>
      <c r="F468" s="1284"/>
    </row>
    <row r="469" spans="1:7" ht="13.15" customHeight="1">
      <c r="A469" s="175"/>
      <c r="B469" s="175"/>
      <c r="C469" s="175"/>
      <c r="D469" s="1285" t="s">
        <v>1122</v>
      </c>
      <c r="E469" s="1285"/>
      <c r="F469" s="1285"/>
    </row>
    <row r="470" spans="1:7" ht="13">
      <c r="A470" s="175"/>
      <c r="B470" s="175"/>
      <c r="C470" s="175"/>
      <c r="D470" s="1285"/>
      <c r="E470" s="1285"/>
      <c r="F470" s="1285"/>
    </row>
    <row r="471" spans="1:7" ht="13">
      <c r="A471" s="175"/>
      <c r="B471" s="175"/>
      <c r="C471" s="175"/>
      <c r="D471" s="1285"/>
      <c r="E471" s="1285"/>
      <c r="F471" s="1285"/>
    </row>
    <row r="472" spans="1:7" ht="13">
      <c r="A472" s="175"/>
      <c r="B472" s="175"/>
      <c r="C472" s="175"/>
      <c r="D472" s="1285"/>
      <c r="E472" s="1285"/>
      <c r="F472" s="1285"/>
    </row>
    <row r="473" spans="1:7" ht="13">
      <c r="A473" s="175"/>
      <c r="B473" s="175"/>
      <c r="C473" s="175"/>
      <c r="D473" s="1285"/>
      <c r="E473" s="1285"/>
      <c r="F473" s="1285"/>
    </row>
    <row r="474" spans="1:7" ht="13">
      <c r="A474" s="175"/>
      <c r="B474" s="175"/>
      <c r="C474" s="175"/>
      <c r="D474" s="326"/>
      <c r="F474" s="35"/>
    </row>
    <row r="475" spans="1:7" ht="14.65" customHeight="1">
      <c r="A475" s="176"/>
      <c r="B475" s="468" t="s">
        <v>308</v>
      </c>
      <c r="C475" s="175"/>
      <c r="D475" s="1299" t="s">
        <v>1113</v>
      </c>
      <c r="E475" s="1299"/>
      <c r="F475" s="1299"/>
    </row>
    <row r="476" spans="1:7" ht="13">
      <c r="A476" s="175"/>
      <c r="B476" s="175"/>
      <c r="C476" s="175"/>
      <c r="D476" s="1299"/>
      <c r="E476" s="1299"/>
      <c r="F476" s="1299"/>
    </row>
    <row r="477" spans="1:7" ht="13">
      <c r="A477" s="175"/>
      <c r="B477" s="175"/>
      <c r="C477" s="175"/>
      <c r="D477" s="1299"/>
      <c r="E477" s="1299"/>
      <c r="F477" s="1299"/>
    </row>
    <row r="478" spans="1:7" ht="13">
      <c r="A478" s="175"/>
      <c r="B478" s="175"/>
      <c r="C478" s="175"/>
      <c r="D478" s="1299"/>
      <c r="E478" s="1299"/>
      <c r="F478" s="1299"/>
    </row>
    <row r="479" spans="1:7" ht="13">
      <c r="A479" s="175"/>
      <c r="B479" s="175"/>
      <c r="C479" s="175"/>
      <c r="D479" s="1299"/>
      <c r="E479" s="1299"/>
      <c r="F479" s="1299"/>
    </row>
    <row r="480" spans="1:7" ht="13">
      <c r="A480" s="175"/>
      <c r="B480" s="175"/>
      <c r="C480" s="175"/>
      <c r="D480" s="220"/>
      <c r="F480" s="35"/>
    </row>
    <row r="481" spans="1:6" ht="14.65" customHeight="1">
      <c r="A481" s="176"/>
      <c r="B481" s="468" t="s">
        <v>308</v>
      </c>
      <c r="C481" s="175"/>
      <c r="D481" s="1299" t="s">
        <v>1116</v>
      </c>
      <c r="E481" s="1299"/>
      <c r="F481" s="1299"/>
    </row>
    <row r="482" spans="1:6" ht="13">
      <c r="A482" s="175"/>
      <c r="B482" s="175"/>
      <c r="C482" s="175"/>
      <c r="D482" s="1299"/>
      <c r="E482" s="1299"/>
      <c r="F482" s="1299"/>
    </row>
    <row r="483" spans="1:6" ht="13">
      <c r="A483" s="175"/>
      <c r="B483" s="175"/>
      <c r="C483" s="175"/>
      <c r="D483" s="1299"/>
      <c r="E483" s="1299"/>
      <c r="F483" s="1299"/>
    </row>
    <row r="484" spans="1:6" ht="13">
      <c r="A484" s="175"/>
      <c r="B484" s="175"/>
      <c r="C484" s="175"/>
      <c r="D484" s="1299"/>
      <c r="E484" s="1299"/>
      <c r="F484" s="1299"/>
    </row>
    <row r="485" spans="1:6" ht="10.15" customHeight="1">
      <c r="A485" s="175"/>
      <c r="B485" s="175"/>
      <c r="C485" s="175"/>
      <c r="D485" s="220"/>
      <c r="F485" s="35"/>
    </row>
    <row r="486" spans="1:6" ht="14.65" customHeight="1">
      <c r="A486" s="176"/>
      <c r="B486" s="468" t="s">
        <v>308</v>
      </c>
      <c r="C486" s="175"/>
      <c r="D486" s="1299" t="s">
        <v>1114</v>
      </c>
      <c r="E486" s="1299"/>
      <c r="F486" s="1299"/>
    </row>
    <row r="487" spans="1:6" ht="13">
      <c r="A487" s="175"/>
      <c r="B487" s="175"/>
      <c r="C487" s="175"/>
      <c r="D487" s="1299"/>
      <c r="E487" s="1299"/>
      <c r="F487" s="1299"/>
    </row>
    <row r="488" spans="1:6" ht="13">
      <c r="A488" s="175"/>
      <c r="B488" s="175"/>
      <c r="C488" s="175"/>
      <c r="D488" s="1299"/>
      <c r="E488" s="1299"/>
      <c r="F488" s="1299"/>
    </row>
    <row r="489" spans="1:6" ht="13">
      <c r="A489" s="175"/>
      <c r="B489" s="175"/>
      <c r="C489" s="175"/>
      <c r="D489" s="475"/>
      <c r="E489" s="475"/>
      <c r="F489" s="475"/>
    </row>
    <row r="490" spans="1:6" ht="14.65" customHeight="1">
      <c r="A490" s="176"/>
      <c r="B490" s="468" t="s">
        <v>308</v>
      </c>
      <c r="C490" s="175"/>
      <c r="D490" s="1299" t="s">
        <v>1115</v>
      </c>
      <c r="E490" s="1299"/>
      <c r="F490" s="1299"/>
    </row>
    <row r="491" spans="1:6" ht="13">
      <c r="A491" s="175"/>
      <c r="B491" s="175"/>
      <c r="C491" s="175"/>
      <c r="D491" s="1299"/>
      <c r="E491" s="1299"/>
      <c r="F491" s="1299"/>
    </row>
    <row r="492" spans="1:6" ht="13">
      <c r="A492" s="175"/>
      <c r="B492" s="175"/>
      <c r="C492" s="175"/>
      <c r="D492" s="1299"/>
      <c r="E492" s="1299"/>
      <c r="F492" s="1299"/>
    </row>
    <row r="493" spans="1:6" ht="13">
      <c r="A493" s="175"/>
      <c r="B493" s="175"/>
      <c r="C493" s="175"/>
      <c r="D493" s="1299"/>
      <c r="E493" s="1299"/>
      <c r="F493" s="1299"/>
    </row>
    <row r="494" spans="1:6" ht="13">
      <c r="A494" s="175"/>
      <c r="B494" s="175"/>
      <c r="C494" s="175"/>
      <c r="D494" s="1299"/>
      <c r="E494" s="1299"/>
      <c r="F494" s="1299"/>
    </row>
    <row r="495" spans="1:6" ht="13">
      <c r="A495" s="175"/>
      <c r="B495" s="175"/>
      <c r="C495" s="175"/>
      <c r="D495" s="1299"/>
      <c r="E495" s="1299"/>
      <c r="F495" s="1299"/>
    </row>
    <row r="496" spans="1:6" ht="13">
      <c r="A496" s="175"/>
      <c r="B496" s="175"/>
      <c r="C496" s="175"/>
      <c r="D496" s="1299"/>
      <c r="E496" s="1299"/>
      <c r="F496" s="1299"/>
    </row>
    <row r="497" spans="1:7" ht="13">
      <c r="A497" s="175"/>
      <c r="B497" s="175"/>
      <c r="C497" s="175"/>
      <c r="D497" s="1299"/>
      <c r="E497" s="1299"/>
      <c r="F497" s="1299"/>
    </row>
    <row r="498" spans="1:7" ht="13">
      <c r="A498" s="175"/>
      <c r="B498" s="175"/>
      <c r="C498" s="175"/>
      <c r="D498" s="1299"/>
      <c r="E498" s="1299"/>
      <c r="F498" s="1299"/>
    </row>
    <row r="499" spans="1:7" ht="13">
      <c r="A499" s="175"/>
      <c r="B499" s="175"/>
      <c r="C499" s="175"/>
      <c r="D499" s="220"/>
      <c r="F499" s="35"/>
    </row>
    <row r="500" spans="1:7" ht="13.15" customHeight="1">
      <c r="A500" s="175"/>
      <c r="B500" s="468" t="s">
        <v>308</v>
      </c>
      <c r="C500" s="175"/>
      <c r="D500" s="1277" t="s">
        <v>1259</v>
      </c>
      <c r="E500" s="1277"/>
      <c r="F500" s="1277"/>
    </row>
    <row r="501" spans="1:7" ht="13">
      <c r="A501" s="175"/>
      <c r="B501" s="175"/>
      <c r="C501" s="175"/>
      <c r="D501" s="1277"/>
      <c r="E501" s="1277"/>
      <c r="F501" s="1277"/>
    </row>
    <row r="502" spans="1:7" ht="13">
      <c r="A502" s="175"/>
      <c r="B502" s="175"/>
      <c r="C502" s="175"/>
      <c r="D502" s="1277"/>
      <c r="E502" s="1277"/>
      <c r="F502" s="1277"/>
    </row>
    <row r="503" spans="1:7" ht="13">
      <c r="A503" s="175"/>
      <c r="B503" s="175"/>
      <c r="C503" s="175"/>
      <c r="D503" s="1277"/>
      <c r="E503" s="1277"/>
      <c r="F503" s="1277"/>
    </row>
    <row r="504" spans="1:7" ht="13">
      <c r="A504" s="175"/>
      <c r="B504" s="175"/>
      <c r="C504" s="175"/>
      <c r="D504" s="1277"/>
      <c r="E504" s="1277"/>
      <c r="F504" s="1277"/>
    </row>
    <row r="505" spans="1:7" ht="13">
      <c r="A505" s="175"/>
      <c r="B505" s="175"/>
      <c r="C505" s="175"/>
      <c r="D505" s="485"/>
      <c r="E505" s="485"/>
      <c r="F505" s="485"/>
    </row>
    <row r="506" spans="1:7" ht="14.65" customHeight="1">
      <c r="A506" s="176"/>
      <c r="B506" s="468" t="s">
        <v>308</v>
      </c>
      <c r="D506" s="1299" t="s">
        <v>1117</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ht="13">
      <c r="A510" s="1283" t="s">
        <v>1080</v>
      </c>
      <c r="B510" s="1283"/>
      <c r="C510" s="1283"/>
      <c r="D510" s="1283"/>
      <c r="E510" s="1283"/>
      <c r="F510" s="1283"/>
      <c r="G510" s="1283"/>
    </row>
    <row r="511" spans="1:7" ht="13">
      <c r="A511" s="35"/>
      <c r="B511" s="35"/>
      <c r="C511" s="179"/>
      <c r="F511" s="57"/>
    </row>
    <row r="512" spans="1:7">
      <c r="B512" s="1300" t="s">
        <v>448</v>
      </c>
      <c r="C512" s="1300"/>
      <c r="D512" s="1300"/>
      <c r="E512" s="1300"/>
      <c r="F512" s="1300"/>
    </row>
    <row r="513" spans="1:7">
      <c r="A513" s="35"/>
      <c r="B513" s="35"/>
      <c r="C513" s="179"/>
      <c r="D513" s="35"/>
      <c r="F513" s="35"/>
    </row>
    <row r="514" spans="1:7" ht="13">
      <c r="A514" s="1314" t="s">
        <v>1081</v>
      </c>
      <c r="B514" s="1314"/>
      <c r="C514" s="1314"/>
      <c r="D514" s="1314"/>
      <c r="E514" s="1314"/>
      <c r="F514" s="1314"/>
      <c r="G514" s="1314"/>
    </row>
    <row r="515" spans="1:7">
      <c r="A515" s="35"/>
      <c r="B515" s="35"/>
      <c r="C515" s="179"/>
      <c r="D515" s="35"/>
      <c r="F515" s="35"/>
    </row>
    <row r="516" spans="1:7" ht="13">
      <c r="C516" s="179"/>
      <c r="D516" s="1284" t="s">
        <v>691</v>
      </c>
      <c r="E516" s="1284"/>
      <c r="F516" s="1284"/>
    </row>
    <row r="517" spans="1:7">
      <c r="C517" s="179"/>
      <c r="D517" s="1279" t="s">
        <v>1138</v>
      </c>
      <c r="E517" s="1279"/>
      <c r="F517" s="1279"/>
    </row>
    <row r="518" spans="1:7">
      <c r="C518" s="179"/>
      <c r="D518" s="118"/>
      <c r="E518" s="118"/>
      <c r="F518" s="118"/>
    </row>
    <row r="519" spans="1:7" ht="13.15" customHeight="1">
      <c r="A519" s="176"/>
      <c r="B519" s="468" t="s">
        <v>308</v>
      </c>
      <c r="C519" s="179"/>
      <c r="D519" s="1279" t="s">
        <v>896</v>
      </c>
      <c r="E519" s="1279"/>
      <c r="F519" s="1279"/>
      <c r="G519"/>
    </row>
    <row r="520" spans="1:7" ht="13.15" customHeight="1">
      <c r="A520" s="179"/>
      <c r="B520" s="179"/>
      <c r="C520" s="179"/>
      <c r="D520" s="118"/>
      <c r="E520"/>
      <c r="F520"/>
      <c r="G520"/>
    </row>
    <row r="521" spans="1:7" ht="13">
      <c r="A521" s="176"/>
      <c r="B521" s="468" t="s">
        <v>308</v>
      </c>
      <c r="C521" s="179"/>
      <c r="D521" s="1268" t="s">
        <v>1139</v>
      </c>
      <c r="E521" s="1268"/>
      <c r="F521" s="1268"/>
      <c r="G521"/>
    </row>
    <row r="522" spans="1:7">
      <c r="A522" s="179"/>
      <c r="B522" s="179"/>
      <c r="C522" s="179"/>
      <c r="D522" s="1268"/>
      <c r="E522" s="1268"/>
      <c r="F522" s="1268"/>
      <c r="G522"/>
    </row>
    <row r="523" spans="1:7">
      <c r="A523" s="179"/>
      <c r="B523" s="179"/>
      <c r="C523" s="179"/>
      <c r="D523" s="35"/>
      <c r="E523" s="35"/>
      <c r="F523" s="35"/>
      <c r="G523"/>
    </row>
    <row r="524" spans="1:7" ht="13">
      <c r="A524" s="176"/>
      <c r="B524" s="468" t="s">
        <v>308</v>
      </c>
      <c r="C524" s="179"/>
      <c r="D524" s="1268" t="s">
        <v>1140</v>
      </c>
      <c r="E524" s="1268"/>
      <c r="F524" s="1268"/>
      <c r="G524"/>
    </row>
    <row r="525" spans="1:7">
      <c r="A525" s="179"/>
      <c r="B525" s="179"/>
      <c r="C525" s="179"/>
      <c r="D525" s="1268"/>
      <c r="E525" s="1268"/>
      <c r="F525" s="1268"/>
      <c r="G525"/>
    </row>
    <row r="526" spans="1:7">
      <c r="A526" s="179"/>
      <c r="B526" s="179"/>
      <c r="C526" s="179"/>
      <c r="D526" s="35"/>
      <c r="E526" s="35"/>
      <c r="F526" s="35"/>
      <c r="G526"/>
    </row>
    <row r="527" spans="1:7" ht="13">
      <c r="A527" s="176"/>
      <c r="B527" s="468" t="s">
        <v>308</v>
      </c>
      <c r="C527" s="179"/>
      <c r="D527" s="1268" t="s">
        <v>1141</v>
      </c>
      <c r="E527" s="1268"/>
      <c r="F527" s="1268"/>
      <c r="G527"/>
    </row>
    <row r="528" spans="1:7">
      <c r="A528" s="179"/>
      <c r="B528" s="179"/>
      <c r="C528" s="179"/>
      <c r="D528" s="1268"/>
      <c r="E528" s="1268"/>
      <c r="F528" s="1268"/>
      <c r="G528"/>
    </row>
    <row r="529" spans="1:7">
      <c r="A529" s="179"/>
      <c r="B529" s="179"/>
      <c r="C529" s="179"/>
      <c r="D529" s="35"/>
      <c r="E529" s="35"/>
      <c r="F529" s="35"/>
      <c r="G529"/>
    </row>
    <row r="530" spans="1:7" ht="13">
      <c r="A530" s="176"/>
      <c r="B530" s="468" t="s">
        <v>308</v>
      </c>
      <c r="C530" s="179"/>
      <c r="D530" s="1268" t="s">
        <v>1142</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3">
      <c r="A534" s="176"/>
      <c r="B534" s="468" t="s">
        <v>308</v>
      </c>
      <c r="C534" s="179"/>
      <c r="D534" s="1268" t="s">
        <v>1260</v>
      </c>
      <c r="E534" s="1268"/>
      <c r="F534" s="1268"/>
    </row>
    <row r="535" spans="1:7">
      <c r="A535" s="179"/>
      <c r="B535" s="179"/>
      <c r="C535" s="179"/>
      <c r="D535" s="1268"/>
      <c r="E535" s="1268"/>
      <c r="F535" s="1268"/>
    </row>
    <row r="536" spans="1:7">
      <c r="A536" s="179"/>
      <c r="B536" s="179"/>
      <c r="C536" s="179"/>
      <c r="D536" s="35"/>
      <c r="E536" s="35"/>
      <c r="F536" s="35"/>
    </row>
    <row r="537" spans="1:7" ht="13">
      <c r="A537" s="176"/>
      <c r="B537" s="468" t="s">
        <v>308</v>
      </c>
      <c r="C537" s="179"/>
      <c r="D537" s="1268" t="s">
        <v>1143</v>
      </c>
      <c r="E537" s="1268"/>
      <c r="F537" s="1268"/>
    </row>
    <row r="538" spans="1:7">
      <c r="A538" s="179"/>
      <c r="B538" s="179"/>
      <c r="C538" s="179"/>
      <c r="D538" s="1268"/>
      <c r="E538" s="1268"/>
      <c r="F538" s="1268"/>
    </row>
    <row r="539" spans="1:7">
      <c r="A539" s="179"/>
      <c r="B539" s="179"/>
      <c r="C539" s="179"/>
      <c r="D539" s="35"/>
      <c r="E539" s="35"/>
      <c r="F539" s="35"/>
    </row>
    <row r="540" spans="1:7" ht="13">
      <c r="A540" s="176"/>
      <c r="B540" s="468" t="s">
        <v>308</v>
      </c>
      <c r="C540" s="179"/>
      <c r="D540" s="1268" t="s">
        <v>1144</v>
      </c>
      <c r="E540" s="1268"/>
      <c r="F540" s="1268"/>
    </row>
    <row r="541" spans="1:7">
      <c r="A541" s="179"/>
      <c r="B541" s="179"/>
      <c r="C541" s="179"/>
      <c r="D541" s="1268"/>
      <c r="E541" s="1268"/>
      <c r="F541" s="1268"/>
    </row>
    <row r="542" spans="1:7">
      <c r="A542" s="179"/>
      <c r="B542" s="179"/>
      <c r="C542" s="179"/>
      <c r="D542" s="35"/>
      <c r="E542" s="35"/>
      <c r="F542" s="35"/>
    </row>
    <row r="543" spans="1:7" ht="13">
      <c r="A543" s="176"/>
      <c r="B543" s="468" t="s">
        <v>308</v>
      </c>
      <c r="C543" s="179"/>
      <c r="D543" s="1279" t="s">
        <v>1145</v>
      </c>
      <c r="E543" s="1279"/>
      <c r="F543" s="1279"/>
    </row>
    <row r="544" spans="1:7" ht="13">
      <c r="A544" s="13"/>
      <c r="B544" s="13"/>
      <c r="C544" s="179"/>
      <c r="D544" s="1279" t="s">
        <v>829</v>
      </c>
      <c r="E544" s="1279"/>
      <c r="F544" s="1279"/>
    </row>
    <row r="545" spans="1:7" ht="13">
      <c r="A545" s="13"/>
      <c r="B545" s="13"/>
      <c r="C545" s="179"/>
      <c r="D545" s="3"/>
      <c r="E545" s="1290" t="s">
        <v>1146</v>
      </c>
      <c r="F545" s="1290"/>
    </row>
    <row r="546" spans="1:7" ht="13">
      <c r="A546" s="176"/>
      <c r="B546" s="176"/>
      <c r="C546" s="179"/>
      <c r="E546" s="35"/>
      <c r="F546" s="35"/>
    </row>
    <row r="547" spans="1:7" ht="13">
      <c r="A547" s="176"/>
      <c r="B547" s="468" t="s">
        <v>308</v>
      </c>
      <c r="C547" s="179"/>
      <c r="D547" s="1279" t="s">
        <v>1147</v>
      </c>
      <c r="E547" s="1279"/>
      <c r="F547" s="1279"/>
    </row>
    <row r="548" spans="1:7">
      <c r="C548" s="179"/>
      <c r="D548" s="1268" t="s">
        <v>1148</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3">
      <c r="A552" s="176"/>
      <c r="B552" s="468" t="s">
        <v>308</v>
      </c>
      <c r="C552" s="179"/>
      <c r="D552" s="1268" t="s">
        <v>1149</v>
      </c>
      <c r="E552" s="1268"/>
      <c r="F552" s="1268"/>
    </row>
    <row r="553" spans="1:7" ht="13">
      <c r="A553" s="176"/>
      <c r="B553" s="176"/>
      <c r="C553" s="179"/>
      <c r="D553" s="1268"/>
      <c r="E553" s="1268"/>
      <c r="F553" s="1268"/>
    </row>
    <row r="554" spans="1:7" ht="13">
      <c r="A554" s="176"/>
      <c r="B554" s="176"/>
      <c r="C554" s="179"/>
      <c r="D554" s="1268"/>
      <c r="E554" s="1268"/>
      <c r="F554" s="1268"/>
    </row>
    <row r="555" spans="1:7" ht="13">
      <c r="A555" s="176"/>
      <c r="B555" s="176"/>
      <c r="C555" s="179"/>
      <c r="D555" s="1268"/>
      <c r="E555" s="1268"/>
      <c r="F555" s="1268"/>
    </row>
    <row r="556" spans="1:7" ht="13">
      <c r="A556" s="176"/>
      <c r="B556" s="176"/>
      <c r="C556" s="179"/>
      <c r="D556" s="35"/>
      <c r="E556" s="35"/>
      <c r="F556" s="35"/>
    </row>
    <row r="557" spans="1:7" ht="13">
      <c r="A557" s="1283" t="s">
        <v>1082</v>
      </c>
      <c r="B557" s="1283"/>
      <c r="C557" s="1283"/>
      <c r="D557" s="1283"/>
      <c r="E557" s="1283"/>
      <c r="F557" s="1283"/>
      <c r="G557" s="1283"/>
    </row>
    <row r="558" spans="1:7">
      <c r="A558" s="179"/>
      <c r="B558" s="179"/>
      <c r="C558" s="179"/>
      <c r="E558" s="35"/>
      <c r="F558" s="35"/>
    </row>
    <row r="559" spans="1:7" ht="12.75" customHeight="1">
      <c r="C559" s="172"/>
      <c r="D559" s="1301" t="s">
        <v>211</v>
      </c>
      <c r="E559" s="1301"/>
      <c r="F559" s="1301"/>
    </row>
    <row r="560" spans="1:7" ht="13">
      <c r="A560" s="175"/>
      <c r="B560" s="175"/>
      <c r="C560" s="175"/>
      <c r="D560" s="1282" t="s">
        <v>1098</v>
      </c>
      <c r="E560" s="1282"/>
      <c r="F560" s="1282"/>
    </row>
    <row r="561" spans="1:6" ht="13">
      <c r="A561"/>
      <c r="B561"/>
      <c r="C561" s="175"/>
      <c r="D561" s="255"/>
    </row>
    <row r="562" spans="1:6" ht="13">
      <c r="A562" s="175"/>
      <c r="B562" s="468" t="s">
        <v>308</v>
      </c>
      <c r="D562" s="1282" t="s">
        <v>902</v>
      </c>
      <c r="E562" s="1282"/>
      <c r="F562" s="1282"/>
    </row>
    <row r="563" spans="1:6" ht="13">
      <c r="A563" s="13"/>
      <c r="B563" s="13"/>
      <c r="D563" s="218"/>
    </row>
    <row r="564" spans="1:6" ht="13">
      <c r="A564" s="13"/>
      <c r="B564" s="468" t="s">
        <v>308</v>
      </c>
      <c r="D564" s="1282" t="s">
        <v>1099</v>
      </c>
      <c r="E564" s="1282"/>
      <c r="F564" s="1282"/>
    </row>
    <row r="565" spans="1:6" ht="13">
      <c r="A565" s="13"/>
      <c r="B565" s="13"/>
      <c r="D565" s="1282"/>
      <c r="E565" s="1282"/>
      <c r="F565" s="1282"/>
    </row>
    <row r="566" spans="1:6" ht="13">
      <c r="A566" s="13"/>
      <c r="B566" s="13"/>
      <c r="D566" s="1282"/>
      <c r="E566" s="1282"/>
      <c r="F566" s="1282"/>
    </row>
    <row r="567" spans="1:6" ht="13">
      <c r="A567" s="13"/>
      <c r="B567" s="13"/>
      <c r="D567" s="255"/>
    </row>
    <row r="568" spans="1:6" ht="13">
      <c r="A568" s="13"/>
      <c r="B568" s="468" t="s">
        <v>308</v>
      </c>
      <c r="D568" s="1282" t="s">
        <v>1100</v>
      </c>
      <c r="E568" s="1282"/>
      <c r="F568" s="1282"/>
    </row>
    <row r="569" spans="1:6" ht="13">
      <c r="A569" s="13"/>
      <c r="B569" s="13"/>
      <c r="D569" s="1282"/>
      <c r="E569" s="1282"/>
      <c r="F569" s="1282"/>
    </row>
    <row r="570" spans="1:6" ht="13">
      <c r="A570" s="13"/>
      <c r="B570" s="13"/>
      <c r="D570" s="1282"/>
      <c r="E570" s="1282"/>
      <c r="F570" s="1282"/>
    </row>
    <row r="571" spans="1:6" ht="13">
      <c r="A571" s="13"/>
      <c r="B571" s="13"/>
      <c r="D571" s="1282"/>
      <c r="E571" s="1282"/>
      <c r="F571" s="1282"/>
    </row>
    <row r="572" spans="1:6" ht="13">
      <c r="A572" s="13"/>
      <c r="B572" s="13"/>
      <c r="D572" s="473"/>
      <c r="E572" s="473"/>
      <c r="F572" s="473"/>
    </row>
    <row r="573" spans="1:6" ht="13">
      <c r="A573" s="13"/>
      <c r="B573" s="468" t="s">
        <v>308</v>
      </c>
      <c r="D573" s="1282" t="s">
        <v>1101</v>
      </c>
      <c r="E573" s="1282"/>
      <c r="F573" s="1282"/>
    </row>
    <row r="574" spans="1:6" ht="13">
      <c r="A574" s="13"/>
      <c r="B574" s="13"/>
      <c r="D574" s="1282"/>
      <c r="E574" s="1282"/>
      <c r="F574" s="1282"/>
    </row>
    <row r="575" spans="1:6" ht="13">
      <c r="A575" s="13"/>
      <c r="B575" s="13"/>
      <c r="D575" s="255"/>
    </row>
    <row r="576" spans="1:6" ht="13">
      <c r="A576" s="13"/>
      <c r="B576" s="468" t="s">
        <v>308</v>
      </c>
      <c r="D576" s="1282" t="s">
        <v>1102</v>
      </c>
      <c r="E576" s="1282"/>
      <c r="F576" s="1282"/>
    </row>
    <row r="577" spans="1:7" ht="13">
      <c r="A577" s="13"/>
      <c r="B577" s="13"/>
      <c r="D577" s="1282"/>
      <c r="E577" s="1282"/>
      <c r="F577" s="1282"/>
    </row>
    <row r="578" spans="1:7" ht="13">
      <c r="A578" s="13"/>
      <c r="B578" s="13"/>
      <c r="D578" s="255"/>
    </row>
    <row r="579" spans="1:7" ht="13">
      <c r="A579" s="176"/>
      <c r="B579" s="468" t="s">
        <v>308</v>
      </c>
      <c r="D579" s="1282" t="s">
        <v>897</v>
      </c>
      <c r="E579" s="1282"/>
      <c r="F579" s="1282"/>
    </row>
    <row r="580" spans="1:7" ht="13">
      <c r="A580" s="176"/>
      <c r="B580" s="176"/>
      <c r="D580" s="255"/>
    </row>
    <row r="581" spans="1:7" ht="13">
      <c r="A581" s="176"/>
      <c r="B581" s="468" t="s">
        <v>308</v>
      </c>
      <c r="D581" s="1282" t="s">
        <v>1103</v>
      </c>
      <c r="E581" s="1282"/>
      <c r="F581" s="1282"/>
    </row>
    <row r="582" spans="1:7" ht="13">
      <c r="A582" s="176"/>
      <c r="B582" s="176"/>
      <c r="D582" s="1282"/>
      <c r="E582" s="1282"/>
      <c r="F582" s="1282"/>
    </row>
    <row r="583" spans="1:7">
      <c r="D583" s="1282"/>
      <c r="E583" s="1282"/>
      <c r="F583" s="1282"/>
    </row>
    <row r="584" spans="1:7">
      <c r="D584" s="1282"/>
      <c r="E584" s="1282"/>
      <c r="F584" s="1282"/>
    </row>
    <row r="585" spans="1:7">
      <c r="D585" s="1282"/>
      <c r="E585" s="1282"/>
      <c r="F585" s="1282"/>
    </row>
    <row r="586" spans="1:7">
      <c r="D586" s="1282"/>
      <c r="E586" s="1282"/>
      <c r="F586" s="1282"/>
    </row>
    <row r="587" spans="1:7"/>
    <row r="588" spans="1:7" ht="13">
      <c r="A588" s="1283" t="s">
        <v>1083</v>
      </c>
      <c r="B588" s="1283"/>
      <c r="C588" s="1283"/>
      <c r="D588" s="1283"/>
      <c r="E588" s="1283"/>
      <c r="F588" s="1283"/>
      <c r="G588" s="1283"/>
    </row>
    <row r="589" spans="1:7"/>
    <row r="590" spans="1:7" ht="13">
      <c r="D590" s="1294" t="s">
        <v>1183</v>
      </c>
      <c r="E590" s="1294"/>
      <c r="F590" s="1294"/>
    </row>
    <row r="591" spans="1:7">
      <c r="D591" s="1317" t="s">
        <v>1184</v>
      </c>
      <c r="E591" s="1317"/>
      <c r="F591" s="1317"/>
    </row>
    <row r="592" spans="1:7">
      <c r="D592" s="478"/>
      <c r="E592" s="433"/>
      <c r="F592" s="433"/>
    </row>
    <row r="593" spans="1:7" ht="13">
      <c r="A593" s="176"/>
      <c r="B593" s="468" t="s">
        <v>308</v>
      </c>
      <c r="D593" s="1295" t="s">
        <v>1185</v>
      </c>
      <c r="E593" s="1295"/>
      <c r="F593" s="1295"/>
    </row>
    <row r="594" spans="1:7">
      <c r="D594" s="1295"/>
      <c r="E594" s="1295"/>
      <c r="F594" s="1295"/>
    </row>
    <row r="595" spans="1:7">
      <c r="D595" s="1295"/>
      <c r="E595" s="1295"/>
      <c r="F595" s="1295"/>
    </row>
    <row r="596" spans="1:7"/>
    <row r="597" spans="1:7" ht="13">
      <c r="A597" s="1283" t="s">
        <v>1084</v>
      </c>
      <c r="B597" s="1283"/>
      <c r="C597" s="1283"/>
      <c r="D597" s="1283"/>
      <c r="E597" s="1283"/>
      <c r="F597" s="1283"/>
      <c r="G597" s="1283"/>
    </row>
    <row r="598" spans="1:7">
      <c r="A598" s="35"/>
      <c r="B598" s="35"/>
    </row>
    <row r="599" spans="1:7" ht="13">
      <c r="A599" s="172"/>
      <c r="B599" s="172"/>
      <c r="C599" s="172"/>
      <c r="D599" s="1318" t="s">
        <v>1186</v>
      </c>
      <c r="E599" s="1318"/>
      <c r="F599" s="1318"/>
    </row>
    <row r="600" spans="1:7" ht="13">
      <c r="A600" s="172"/>
      <c r="B600" s="172"/>
      <c r="C600" s="172"/>
      <c r="D600" s="1318"/>
      <c r="E600" s="1318"/>
      <c r="F600" s="1318"/>
    </row>
    <row r="601" spans="1:7" ht="13">
      <c r="C601" s="175"/>
      <c r="D601" s="1317" t="s">
        <v>1187</v>
      </c>
      <c r="E601" s="1317"/>
      <c r="F601" s="1317"/>
    </row>
    <row r="602" spans="1:7" ht="13">
      <c r="C602" s="175"/>
      <c r="D602" s="478"/>
      <c r="E602" s="478"/>
      <c r="F602" s="478"/>
    </row>
    <row r="603" spans="1:7" ht="13">
      <c r="A603" s="13"/>
      <c r="B603" s="468" t="s">
        <v>308</v>
      </c>
      <c r="D603" s="1317" t="s">
        <v>433</v>
      </c>
      <c r="E603" s="1317"/>
      <c r="F603" s="1317"/>
    </row>
    <row r="604" spans="1:7" ht="13">
      <c r="C604" s="180"/>
      <c r="E604"/>
    </row>
    <row r="605" spans="1:7" ht="13">
      <c r="A605" s="13"/>
      <c r="B605" s="468" t="s">
        <v>308</v>
      </c>
      <c r="D605" s="1293" t="s">
        <v>1188</v>
      </c>
      <c r="E605" s="1293"/>
      <c r="F605" s="1293"/>
    </row>
    <row r="606" spans="1:7">
      <c r="D606" s="1293"/>
      <c r="E606" s="1293"/>
      <c r="F606" s="1293"/>
    </row>
    <row r="607" spans="1:7">
      <c r="D607"/>
    </row>
    <row r="608" spans="1:7">
      <c r="B608" s="468" t="s">
        <v>308</v>
      </c>
      <c r="D608" s="1293" t="s">
        <v>1189</v>
      </c>
      <c r="E608" s="1293"/>
      <c r="F608" s="1293"/>
    </row>
    <row r="609" spans="1:7" ht="13">
      <c r="C609" s="180"/>
      <c r="D609" s="1293"/>
      <c r="E609" s="1293"/>
      <c r="F609" s="1293"/>
    </row>
    <row r="610" spans="1:7" ht="13">
      <c r="C610" s="180"/>
    </row>
    <row r="611" spans="1:7" ht="13">
      <c r="B611" s="468" t="s">
        <v>308</v>
      </c>
      <c r="C611" s="180"/>
      <c r="D611" s="1293" t="s">
        <v>1190</v>
      </c>
      <c r="E611" s="1293"/>
      <c r="F611" s="1293"/>
    </row>
    <row r="612" spans="1:7" ht="13">
      <c r="C612" s="180"/>
      <c r="D612" s="1293"/>
      <c r="E612" s="1293"/>
      <c r="F612" s="1293"/>
    </row>
    <row r="613" spans="1:7" ht="13">
      <c r="C613" s="180"/>
    </row>
    <row r="614" spans="1:7" ht="13">
      <c r="A614" s="1283" t="s">
        <v>1085</v>
      </c>
      <c r="B614" s="1283"/>
      <c r="C614" s="1283"/>
      <c r="D614" s="1283"/>
      <c r="E614" s="1283"/>
      <c r="F614" s="1283"/>
      <c r="G614" s="1283"/>
    </row>
    <row r="615" spans="1:7" ht="13">
      <c r="A615" s="172"/>
      <c r="B615" s="172"/>
      <c r="C615" s="172"/>
    </row>
    <row r="616" spans="1:7" ht="13">
      <c r="C616" s="13"/>
      <c r="D616" s="1294" t="s">
        <v>1191</v>
      </c>
      <c r="E616" s="1294"/>
      <c r="F616" s="1294"/>
    </row>
    <row r="617" spans="1:7" ht="13">
      <c r="A617" s="13"/>
      <c r="B617" s="13"/>
      <c r="D617" s="2"/>
    </row>
    <row r="618" spans="1:7" ht="13">
      <c r="A618" s="176"/>
      <c r="B618" s="468" t="s">
        <v>308</v>
      </c>
      <c r="D618" s="1295" t="s">
        <v>1192</v>
      </c>
      <c r="E618" s="1295"/>
      <c r="F618" s="1295"/>
    </row>
    <row r="619" spans="1:7">
      <c r="D619" s="1295"/>
      <c r="E619" s="1295"/>
      <c r="F619" s="1295"/>
    </row>
    <row r="620" spans="1:7">
      <c r="D620" s="1295"/>
      <c r="E620" s="1295"/>
      <c r="F620" s="1295"/>
    </row>
    <row r="621" spans="1:7">
      <c r="D621" s="1295"/>
      <c r="E621" s="1295"/>
      <c r="F621" s="1295"/>
    </row>
    <row r="622" spans="1:7">
      <c r="D622" s="1295"/>
      <c r="E622" s="1295"/>
      <c r="F622" s="1295"/>
    </row>
    <row r="623" spans="1:7">
      <c r="D623" s="1295"/>
      <c r="E623" s="1295"/>
      <c r="F623" s="1295"/>
    </row>
    <row r="624" spans="1:7">
      <c r="D624" s="479"/>
      <c r="E624" s="479"/>
      <c r="F624" s="479"/>
    </row>
    <row r="625" spans="1:7" ht="13">
      <c r="A625" s="176"/>
      <c r="B625" s="468" t="s">
        <v>308</v>
      </c>
      <c r="D625" s="1295" t="s">
        <v>1193</v>
      </c>
      <c r="E625" s="1295"/>
      <c r="F625" s="1295"/>
    </row>
    <row r="626" spans="1:7">
      <c r="A626" s="179"/>
      <c r="B626" s="179"/>
      <c r="C626" s="179"/>
      <c r="D626" s="1295"/>
      <c r="E626" s="1295"/>
      <c r="F626" s="1295"/>
    </row>
    <row r="627" spans="1:7">
      <c r="A627" s="179"/>
      <c r="B627" s="179"/>
      <c r="C627" s="179"/>
      <c r="D627" s="35"/>
      <c r="E627" s="35"/>
      <c r="F627" s="35"/>
    </row>
    <row r="628" spans="1:7" ht="13">
      <c r="A628" s="176"/>
      <c r="B628" s="468" t="s">
        <v>308</v>
      </c>
      <c r="C628" s="179"/>
      <c r="D628" s="1295" t="s">
        <v>1194</v>
      </c>
      <c r="E628" s="1295"/>
      <c r="F628" s="1295"/>
    </row>
    <row r="629" spans="1:7" ht="13">
      <c r="A629" s="176"/>
      <c r="B629" s="176"/>
      <c r="C629" s="179"/>
      <c r="D629" s="1295"/>
      <c r="E629" s="1295"/>
      <c r="F629" s="1295"/>
    </row>
    <row r="630" spans="1:7" ht="13">
      <c r="A630" s="176"/>
      <c r="B630" s="176"/>
      <c r="C630" s="179"/>
      <c r="D630" s="1295"/>
      <c r="E630" s="1295"/>
      <c r="F630" s="1295"/>
    </row>
    <row r="631" spans="1:7">
      <c r="A631" s="179"/>
      <c r="B631" s="179"/>
      <c r="C631" s="179"/>
      <c r="D631" s="1295"/>
      <c r="E631" s="1295"/>
      <c r="F631" s="1295"/>
    </row>
    <row r="632" spans="1:7">
      <c r="A632" s="179"/>
      <c r="B632" s="179"/>
      <c r="C632" s="179"/>
      <c r="D632" s="479"/>
      <c r="E632" s="479"/>
      <c r="F632" s="479"/>
    </row>
    <row r="633" spans="1:7">
      <c r="A633" s="179"/>
      <c r="B633" s="468" t="s">
        <v>308</v>
      </c>
      <c r="C633" s="179"/>
      <c r="D633" s="1296" t="s">
        <v>1195</v>
      </c>
      <c r="E633" s="1296"/>
      <c r="F633" s="1296"/>
    </row>
    <row r="634" spans="1:7">
      <c r="A634" s="179"/>
      <c r="B634" s="179"/>
      <c r="C634" s="179"/>
      <c r="D634" s="480"/>
      <c r="E634" s="480"/>
      <c r="F634" s="480"/>
    </row>
    <row r="635" spans="1:7" ht="13">
      <c r="A635" s="1283" t="s">
        <v>1086</v>
      </c>
      <c r="B635" s="1283"/>
      <c r="C635" s="1283"/>
      <c r="D635" s="1283"/>
      <c r="E635" s="1283"/>
      <c r="F635" s="1283"/>
      <c r="G635" s="1283"/>
    </row>
    <row r="636" spans="1:7">
      <c r="A636" s="35"/>
      <c r="B636" s="35"/>
      <c r="C636" s="179"/>
      <c r="D636" s="35"/>
      <c r="E636" s="35"/>
      <c r="F636" s="35"/>
    </row>
    <row r="637" spans="1:7" ht="13">
      <c r="C637" s="172"/>
      <c r="D637" s="1284" t="s">
        <v>1245</v>
      </c>
      <c r="E637" s="1284"/>
      <c r="F637" s="1284"/>
    </row>
    <row r="638" spans="1:7" ht="13">
      <c r="A638" s="175"/>
      <c r="B638" s="175"/>
      <c r="C638" s="175"/>
      <c r="D638" s="1279" t="s">
        <v>1246</v>
      </c>
      <c r="E638" s="1279"/>
      <c r="F638" s="1279"/>
    </row>
    <row r="639" spans="1:7" ht="13">
      <c r="A639" s="175"/>
      <c r="B639" s="175"/>
      <c r="C639" s="175"/>
      <c r="D639" s="118"/>
      <c r="E639" s="118"/>
      <c r="F639" s="118"/>
    </row>
    <row r="640" spans="1:7" ht="14.65" customHeight="1">
      <c r="A640" s="176"/>
      <c r="B640" s="468" t="s">
        <v>308</v>
      </c>
      <c r="C640" s="179"/>
      <c r="D640" s="1268" t="s">
        <v>1247</v>
      </c>
      <c r="E640" s="1268"/>
      <c r="F640" s="1268"/>
    </row>
    <row r="641" spans="1:11" ht="13">
      <c r="A641" s="176"/>
      <c r="B641" s="176"/>
      <c r="C641" s="179"/>
      <c r="D641" s="1268"/>
      <c r="E641" s="1268"/>
      <c r="F641" s="1268"/>
    </row>
    <row r="642" spans="1:11" ht="13">
      <c r="A642" s="176"/>
      <c r="B642" s="176"/>
      <c r="C642" s="179"/>
      <c r="D642" s="1268"/>
      <c r="E642" s="1268"/>
      <c r="F642" s="1268"/>
    </row>
    <row r="643" spans="1:11" ht="13">
      <c r="A643" s="176"/>
      <c r="B643" s="176"/>
      <c r="C643" s="179"/>
      <c r="D643" s="1268"/>
      <c r="E643" s="1268"/>
      <c r="F643" s="1268"/>
    </row>
    <row r="644" spans="1:11" ht="13">
      <c r="A644" s="176"/>
      <c r="B644" s="176"/>
      <c r="C644" s="179"/>
      <c r="D644" s="1268"/>
      <c r="E644" s="1268"/>
      <c r="F644" s="1268"/>
    </row>
    <row r="645" spans="1:11" ht="13">
      <c r="A645" s="176"/>
      <c r="B645" s="176"/>
      <c r="C645" s="179"/>
      <c r="D645" s="474"/>
      <c r="E645" s="474"/>
      <c r="F645" s="474"/>
    </row>
    <row r="646" spans="1:11" ht="13">
      <c r="A646" s="176"/>
      <c r="B646" s="468" t="s">
        <v>308</v>
      </c>
      <c r="C646" s="179"/>
      <c r="D646" s="1307" t="s">
        <v>1097</v>
      </c>
      <c r="E646" s="1307"/>
      <c r="F646" s="1307"/>
    </row>
    <row r="647" spans="1:11" ht="13">
      <c r="A647" s="176"/>
      <c r="B647" s="176"/>
      <c r="C647" s="179"/>
      <c r="D647" s="1308" t="s">
        <v>1248</v>
      </c>
      <c r="E647" s="1308"/>
      <c r="F647" s="1308"/>
    </row>
    <row r="648" spans="1:11" ht="13">
      <c r="A648" s="176"/>
      <c r="B648" s="176"/>
      <c r="C648" s="179"/>
      <c r="D648" s="1308"/>
      <c r="E648" s="1308"/>
      <c r="F648" s="1308"/>
    </row>
    <row r="649" spans="1:11" ht="13">
      <c r="A649" s="176"/>
      <c r="B649" s="176"/>
      <c r="C649" s="179"/>
      <c r="D649" s="1308"/>
      <c r="E649" s="1308"/>
      <c r="F649" s="1308"/>
    </row>
    <row r="650" spans="1:11" ht="13">
      <c r="A650" s="176"/>
      <c r="B650" s="176"/>
      <c r="C650" s="179"/>
      <c r="D650" s="1308"/>
      <c r="E650" s="1308"/>
      <c r="F650" s="1308"/>
    </row>
    <row r="651" spans="1:11" ht="13">
      <c r="A651" s="176"/>
      <c r="B651" s="176"/>
      <c r="C651" s="179"/>
      <c r="D651" s="1308"/>
      <c r="E651" s="1308"/>
      <c r="F651" s="1308"/>
    </row>
    <row r="652" spans="1:11" ht="13">
      <c r="A652" s="176"/>
      <c r="B652" s="176"/>
      <c r="C652" s="179"/>
      <c r="D652" s="1309" t="s">
        <v>1249</v>
      </c>
      <c r="E652" s="1309"/>
      <c r="F652" s="1309"/>
    </row>
    <row r="653" spans="1:11">
      <c r="A653" s="179"/>
      <c r="B653" s="179"/>
      <c r="C653" s="179"/>
      <c r="D653" s="35"/>
      <c r="E653" s="35"/>
      <c r="F653" s="35"/>
    </row>
    <row r="654" spans="1:11" ht="13">
      <c r="A654" s="1283" t="s">
        <v>1087</v>
      </c>
      <c r="B654" s="1283"/>
      <c r="C654" s="1283"/>
      <c r="D654" s="1283"/>
      <c r="E654" s="1283"/>
      <c r="F654" s="1283"/>
      <c r="G654" s="1283"/>
      <c r="H654" s="181"/>
      <c r="I654" s="181"/>
      <c r="J654" s="181"/>
      <c r="K654" s="181"/>
    </row>
    <row r="655" spans="1:11" ht="13">
      <c r="A655" s="482"/>
      <c r="B655" s="482"/>
      <c r="C655" s="482"/>
      <c r="D655" s="482"/>
      <c r="E655" s="482"/>
      <c r="F655" s="482"/>
      <c r="G655" s="482"/>
      <c r="H655" s="181"/>
      <c r="I655" s="181"/>
      <c r="J655" s="181"/>
      <c r="K655" s="181"/>
    </row>
    <row r="656" spans="1:11" ht="13">
      <c r="C656" s="172"/>
      <c r="D656" s="1284" t="s">
        <v>99</v>
      </c>
      <c r="E656" s="1284"/>
      <c r="F656" s="1284"/>
      <c r="H656" s="181"/>
      <c r="I656" s="181"/>
      <c r="J656" s="181"/>
      <c r="K656" s="181"/>
    </row>
    <row r="657" spans="1:11" ht="13">
      <c r="A657" s="172"/>
      <c r="B657" s="172"/>
      <c r="C657" s="172"/>
      <c r="D657" s="1284" t="s">
        <v>123</v>
      </c>
      <c r="E657" s="1284"/>
      <c r="F657" s="1284"/>
      <c r="H657" s="181"/>
      <c r="I657" s="181"/>
      <c r="J657" s="181"/>
      <c r="K657" s="181"/>
    </row>
    <row r="658" spans="1:11" ht="13">
      <c r="A658" s="175"/>
      <c r="B658" s="175"/>
      <c r="C658" s="175"/>
      <c r="D658" s="1279" t="s">
        <v>1123</v>
      </c>
      <c r="E658" s="1279"/>
      <c r="F658" s="1279"/>
      <c r="H658" s="181"/>
      <c r="I658" s="181"/>
      <c r="J658" s="181"/>
      <c r="K658" s="181"/>
    </row>
    <row r="659" spans="1:11" ht="13">
      <c r="A659" s="175"/>
      <c r="B659" s="175"/>
      <c r="C659" s="175"/>
      <c r="H659" s="181"/>
      <c r="I659" s="181"/>
      <c r="J659" s="181"/>
      <c r="K659" s="181"/>
    </row>
    <row r="660" spans="1:11" ht="13">
      <c r="A660" s="176"/>
      <c r="B660" s="468" t="s">
        <v>308</v>
      </c>
      <c r="C660" s="175"/>
      <c r="D660" s="1279" t="s">
        <v>898</v>
      </c>
      <c r="E660" s="1279"/>
      <c r="F660" s="1279"/>
      <c r="H660" s="181"/>
      <c r="I660" s="181"/>
      <c r="J660" s="181"/>
      <c r="K660" s="181"/>
    </row>
    <row r="661" spans="1:11" ht="13">
      <c r="A661" s="175"/>
      <c r="B661" s="175"/>
      <c r="C661" s="175"/>
      <c r="D661" s="1279" t="s">
        <v>908</v>
      </c>
      <c r="E661" s="1279"/>
      <c r="F661" s="1279"/>
      <c r="H661" s="181"/>
      <c r="I661" s="181"/>
      <c r="J661" s="181"/>
      <c r="K661" s="181"/>
    </row>
    <row r="662" spans="1:11" ht="13">
      <c r="A662" s="175"/>
      <c r="B662" s="175"/>
      <c r="C662" s="175"/>
      <c r="D662" s="3"/>
      <c r="E662" s="1278" t="s">
        <v>1124</v>
      </c>
      <c r="F662" s="1278"/>
      <c r="H662" s="181"/>
      <c r="I662" s="181"/>
      <c r="J662" s="181"/>
      <c r="K662" s="181"/>
    </row>
    <row r="663" spans="1:11" ht="13">
      <c r="A663" s="175"/>
      <c r="B663" s="175"/>
      <c r="C663" s="175"/>
      <c r="D663" s="3"/>
      <c r="E663" s="1278"/>
      <c r="F663" s="127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8" t="s">
        <v>1125</v>
      </c>
      <c r="E665" s="1268"/>
      <c r="F665" s="1268"/>
      <c r="H665" s="181"/>
      <c r="I665" s="181"/>
      <c r="J665" s="181"/>
      <c r="K665" s="181"/>
    </row>
    <row r="666" spans="1:11" ht="13">
      <c r="A666" s="13"/>
      <c r="B666" s="13"/>
      <c r="C666" s="175"/>
      <c r="D666" s="1268"/>
      <c r="E666" s="1268"/>
      <c r="F666" s="1268"/>
      <c r="H666" s="181"/>
      <c r="I666" s="181"/>
      <c r="J666" s="181"/>
      <c r="K666" s="181"/>
    </row>
    <row r="667" spans="1:11" ht="13">
      <c r="A667" s="175"/>
      <c r="B667" s="175"/>
      <c r="C667" s="175"/>
      <c r="D667" s="1268"/>
      <c r="E667" s="1268"/>
      <c r="F667" s="1268"/>
      <c r="H667" s="181"/>
      <c r="I667" s="181"/>
      <c r="J667" s="181"/>
      <c r="K667" s="181"/>
    </row>
    <row r="668" spans="1:11" ht="13">
      <c r="A668" s="175"/>
      <c r="B668" s="175"/>
      <c r="C668" s="175"/>
      <c r="H668" s="181"/>
      <c r="I668" s="181"/>
      <c r="J668" s="181"/>
      <c r="K668" s="181"/>
    </row>
    <row r="669" spans="1:11" ht="13">
      <c r="A669" s="176"/>
      <c r="B669" s="468" t="s">
        <v>308</v>
      </c>
      <c r="C669" s="175"/>
      <c r="D669" s="1279" t="s">
        <v>936</v>
      </c>
      <c r="E669" s="1279"/>
      <c r="F669" s="1279"/>
      <c r="H669" s="181"/>
      <c r="I669" s="181"/>
      <c r="J669" s="181"/>
      <c r="K669" s="181"/>
    </row>
    <row r="670" spans="1:11" ht="13">
      <c r="A670" s="176"/>
      <c r="B670" s="176"/>
      <c r="C670" s="175"/>
      <c r="D670" s="1279" t="s">
        <v>908</v>
      </c>
      <c r="E670" s="1279"/>
      <c r="F670" s="1279"/>
      <c r="H670" s="181"/>
      <c r="I670" s="181"/>
      <c r="J670" s="181"/>
      <c r="K670" s="181"/>
    </row>
    <row r="671" spans="1:11" ht="13">
      <c r="A671" s="175"/>
      <c r="B671" s="175"/>
      <c r="C671" s="175"/>
      <c r="D671" s="3"/>
      <c r="E671" s="1290" t="s">
        <v>1126</v>
      </c>
      <c r="F671" s="1290"/>
      <c r="H671" s="181"/>
      <c r="I671" s="181"/>
      <c r="J671" s="181"/>
      <c r="K671" s="181"/>
    </row>
    <row r="672" spans="1:11" ht="13">
      <c r="A672" s="175"/>
      <c r="B672" s="175"/>
      <c r="C672" s="175"/>
      <c r="D672" s="2"/>
      <c r="H672" s="181"/>
      <c r="I672" s="181"/>
      <c r="J672" s="181"/>
      <c r="K672" s="181"/>
    </row>
    <row r="673" spans="1:11" ht="13">
      <c r="A673" s="176"/>
      <c r="B673" s="468" t="s">
        <v>308</v>
      </c>
      <c r="C673" s="175"/>
      <c r="D673" s="1268" t="s">
        <v>1136</v>
      </c>
      <c r="E673" s="1268"/>
      <c r="F673" s="1268"/>
      <c r="H673" s="181"/>
      <c r="I673" s="181"/>
      <c r="J673" s="181"/>
      <c r="K673" s="181"/>
    </row>
    <row r="674" spans="1:11" ht="13">
      <c r="A674" s="175"/>
      <c r="B674" s="175"/>
      <c r="C674" s="175"/>
      <c r="D674" s="1268"/>
      <c r="E674" s="1268"/>
      <c r="F674" s="1268"/>
      <c r="H674" s="181"/>
      <c r="I674" s="181"/>
      <c r="J674" s="181"/>
      <c r="K674" s="181"/>
    </row>
    <row r="675" spans="1:11" ht="13">
      <c r="A675" s="175"/>
      <c r="B675" s="175"/>
      <c r="C675" s="175"/>
      <c r="D675" s="1268"/>
      <c r="E675" s="1268"/>
      <c r="F675" s="1268"/>
      <c r="H675" s="181"/>
      <c r="I675" s="181"/>
      <c r="J675" s="181"/>
      <c r="K675" s="181"/>
    </row>
    <row r="676" spans="1:11" ht="13">
      <c r="A676" s="175"/>
      <c r="B676" s="175"/>
      <c r="C676" s="175"/>
      <c r="D676" s="1268"/>
      <c r="E676" s="1268"/>
      <c r="F676" s="1268"/>
      <c r="H676" s="181"/>
      <c r="I676" s="181"/>
      <c r="J676" s="181"/>
      <c r="K676" s="181"/>
    </row>
    <row r="677" spans="1:11" ht="13">
      <c r="A677" s="175"/>
      <c r="B677" s="175"/>
      <c r="C677" s="175"/>
      <c r="D677" s="1268"/>
      <c r="E677" s="1268"/>
      <c r="F677" s="1268"/>
      <c r="H677" s="181"/>
      <c r="I677" s="181"/>
      <c r="J677" s="181"/>
      <c r="K677" s="181"/>
    </row>
    <row r="678" spans="1:11" ht="13">
      <c r="A678" s="175"/>
      <c r="B678" s="175"/>
      <c r="C678" s="175"/>
      <c r="D678" s="1268"/>
      <c r="E678" s="1268"/>
      <c r="F678" s="1268"/>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8" t="s">
        <v>1127</v>
      </c>
      <c r="E680" s="1268"/>
      <c r="F680" s="1268"/>
      <c r="H680" s="181"/>
      <c r="I680" s="181"/>
      <c r="J680" s="181"/>
      <c r="K680" s="181"/>
    </row>
    <row r="681" spans="1:11" ht="13">
      <c r="A681" s="175"/>
      <c r="B681" s="175"/>
      <c r="C681" s="175"/>
      <c r="D681" s="1268"/>
      <c r="E681" s="1268"/>
      <c r="F681" s="1268"/>
      <c r="H681" s="181"/>
      <c r="I681" s="181"/>
      <c r="J681" s="181"/>
      <c r="K681" s="181"/>
    </row>
    <row r="682" spans="1:11" ht="13">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ht="13">
      <c r="A685" s="175"/>
      <c r="B685" s="175"/>
      <c r="C685" s="175"/>
      <c r="D685" s="1268"/>
      <c r="E685" s="1268"/>
      <c r="F685" s="1268"/>
      <c r="H685" s="181"/>
      <c r="I685" s="181"/>
      <c r="J685" s="181"/>
      <c r="K685" s="181"/>
    </row>
    <row r="686" spans="1:11" ht="13">
      <c r="A686" s="175"/>
      <c r="B686" s="175"/>
      <c r="C686" s="175"/>
      <c r="D686" s="1268"/>
      <c r="E686" s="1268"/>
      <c r="F686" s="1268"/>
      <c r="H686" s="181"/>
      <c r="I686" s="181"/>
      <c r="J686" s="181"/>
      <c r="K686" s="181"/>
    </row>
    <row r="687" spans="1:11" ht="13">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ht="13">
      <c r="A689" s="175"/>
      <c r="B689" s="175"/>
      <c r="C689" s="175"/>
      <c r="D689" s="1268"/>
      <c r="E689" s="1268"/>
      <c r="F689" s="1268"/>
      <c r="H689" s="181"/>
      <c r="I689" s="181"/>
      <c r="J689" s="181"/>
      <c r="K689" s="181"/>
    </row>
    <row r="690" spans="1:11" ht="13">
      <c r="A690" s="175"/>
      <c r="B690" s="175"/>
      <c r="C690" s="175"/>
      <c r="D690" s="1268"/>
      <c r="E690" s="1268"/>
      <c r="F690" s="1268"/>
      <c r="H690" s="181"/>
      <c r="I690" s="181"/>
      <c r="J690" s="181"/>
      <c r="K690" s="181"/>
    </row>
    <row r="691" spans="1:11" ht="13">
      <c r="A691" s="175"/>
      <c r="B691" s="175"/>
      <c r="C691" s="175"/>
      <c r="D691" s="1268"/>
      <c r="E691" s="1268"/>
      <c r="F691" s="1268"/>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8" t="s">
        <v>1137</v>
      </c>
      <c r="E693" s="1268"/>
      <c r="F693" s="1268"/>
      <c r="H693" s="181"/>
      <c r="I693" s="181"/>
      <c r="J693" s="181"/>
      <c r="K693" s="181"/>
    </row>
    <row r="694" spans="1:11" ht="13">
      <c r="A694" s="175"/>
      <c r="B694" s="175"/>
      <c r="C694" s="175"/>
      <c r="D694" s="1268"/>
      <c r="E694" s="1268"/>
      <c r="F694" s="1268"/>
      <c r="H694" s="181"/>
      <c r="I694" s="181"/>
      <c r="J694" s="181"/>
      <c r="K694" s="181"/>
    </row>
    <row r="695" spans="1:11" ht="13">
      <c r="A695" s="175"/>
      <c r="B695" s="175"/>
      <c r="C695" s="175"/>
      <c r="D695" s="1268"/>
      <c r="E695" s="1268"/>
      <c r="F695" s="1268"/>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8" t="s">
        <v>1134</v>
      </c>
      <c r="E697" s="1268"/>
      <c r="F697" s="1268"/>
      <c r="H697" s="181"/>
      <c r="I697" s="181"/>
      <c r="J697" s="181"/>
      <c r="K697" s="181"/>
    </row>
    <row r="698" spans="1:11" ht="13">
      <c r="A698" s="175"/>
      <c r="B698" s="175"/>
      <c r="C698" s="175"/>
      <c r="D698" s="1268"/>
      <c r="E698" s="1268"/>
      <c r="F698" s="1268"/>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8" t="s">
        <v>1135</v>
      </c>
      <c r="E700" s="1268"/>
      <c r="F700" s="1268"/>
      <c r="H700" s="181"/>
      <c r="I700" s="181"/>
      <c r="J700" s="181"/>
      <c r="K700" s="181"/>
    </row>
    <row r="701" spans="1:11" ht="13">
      <c r="A701" s="175"/>
      <c r="B701" s="175"/>
      <c r="C701" s="175"/>
      <c r="D701" s="1268"/>
      <c r="E701" s="1268"/>
      <c r="F701" s="1268"/>
      <c r="H701" s="181"/>
      <c r="I701" s="181"/>
      <c r="J701" s="181"/>
      <c r="K701" s="181"/>
    </row>
    <row r="702" spans="1:11" ht="13">
      <c r="A702" s="175"/>
      <c r="B702" s="175"/>
      <c r="C702" s="175"/>
      <c r="D702" s="1268"/>
      <c r="E702" s="1268"/>
      <c r="F702" s="1268"/>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8" t="s">
        <v>1128</v>
      </c>
      <c r="E704" s="1268"/>
      <c r="F704" s="1268"/>
      <c r="H704" s="181"/>
      <c r="I704" s="181"/>
      <c r="J704" s="181"/>
      <c r="K704" s="181"/>
    </row>
    <row r="705" spans="1:11" ht="13">
      <c r="A705" s="175"/>
      <c r="B705" s="175"/>
      <c r="C705" s="175"/>
      <c r="D705" s="1268"/>
      <c r="E705" s="1268"/>
      <c r="F705" s="1268"/>
      <c r="H705" s="181"/>
      <c r="I705" s="181"/>
      <c r="J705" s="181"/>
      <c r="K705" s="181"/>
    </row>
    <row r="706" spans="1:11" ht="13">
      <c r="A706" s="175"/>
      <c r="B706" s="175"/>
      <c r="C706" s="175"/>
      <c r="D706" s="1268"/>
      <c r="E706" s="1268"/>
      <c r="F706" s="1268"/>
      <c r="H706" s="181"/>
      <c r="I706" s="181"/>
      <c r="J706" s="181"/>
      <c r="K706" s="181"/>
    </row>
    <row r="707" spans="1:11" ht="13">
      <c r="A707" s="175"/>
      <c r="B707" s="175"/>
      <c r="C707" s="175"/>
      <c r="H707" s="181"/>
      <c r="I707" s="181"/>
      <c r="J707" s="181"/>
      <c r="K707" s="181"/>
    </row>
    <row r="708" spans="1:11" ht="13">
      <c r="A708" s="175"/>
      <c r="B708" s="468" t="s">
        <v>308</v>
      </c>
      <c r="C708" s="175"/>
      <c r="D708" s="1268" t="s">
        <v>1129</v>
      </c>
      <c r="E708" s="1268"/>
      <c r="F708" s="1268"/>
      <c r="H708" s="181"/>
      <c r="I708" s="181"/>
      <c r="J708" s="181"/>
      <c r="K708" s="181"/>
    </row>
    <row r="709" spans="1:11" ht="13">
      <c r="A709" s="175"/>
      <c r="B709" s="175"/>
      <c r="C709" s="175"/>
      <c r="D709" s="1268"/>
      <c r="E709" s="1268"/>
      <c r="F709" s="1268"/>
      <c r="H709" s="181"/>
      <c r="I709" s="181"/>
      <c r="J709" s="181"/>
      <c r="K709" s="181"/>
    </row>
    <row r="710" spans="1:11" ht="13">
      <c r="A710" s="175"/>
      <c r="B710" s="175"/>
      <c r="C710" s="175"/>
      <c r="D710" s="1268"/>
      <c r="E710" s="1268"/>
      <c r="F710" s="1268"/>
      <c r="H710" s="181"/>
      <c r="I710" s="181"/>
      <c r="J710" s="181"/>
      <c r="K710" s="181"/>
    </row>
    <row r="711" spans="1:11" ht="13">
      <c r="A711" s="175"/>
      <c r="B711" s="175"/>
      <c r="C711" s="175"/>
      <c r="D711"/>
      <c r="H711" s="181"/>
      <c r="I711" s="181"/>
      <c r="J711" s="181"/>
      <c r="K711" s="181"/>
    </row>
    <row r="712" spans="1:11" ht="13">
      <c r="A712" s="176"/>
      <c r="B712" s="468" t="s">
        <v>308</v>
      </c>
      <c r="C712" s="175"/>
      <c r="D712" s="1268" t="s">
        <v>1130</v>
      </c>
      <c r="E712" s="1268"/>
      <c r="F712" s="1268"/>
      <c r="H712" s="181"/>
      <c r="I712" s="181"/>
      <c r="J712" s="181"/>
      <c r="K712" s="181"/>
    </row>
    <row r="713" spans="1:11" ht="13">
      <c r="A713" s="175"/>
      <c r="B713" s="175"/>
      <c r="C713" s="175"/>
      <c r="D713" s="1268"/>
      <c r="E713" s="1268"/>
      <c r="F713" s="1268"/>
      <c r="H713" s="181"/>
      <c r="I713" s="181"/>
      <c r="J713" s="181"/>
      <c r="K713" s="181"/>
    </row>
    <row r="714" spans="1:11" ht="13">
      <c r="A714" s="175"/>
      <c r="B714" s="175"/>
      <c r="C714" s="175"/>
      <c r="D714" s="1268"/>
      <c r="E714" s="1268"/>
      <c r="F714" s="1268"/>
      <c r="H714" s="181"/>
      <c r="I714" s="181"/>
      <c r="J714" s="181"/>
      <c r="K714" s="181"/>
    </row>
    <row r="715" spans="1:11" ht="13">
      <c r="A715" s="175"/>
      <c r="B715" s="175"/>
      <c r="C715" s="175"/>
      <c r="D715" s="1268"/>
      <c r="E715" s="1268"/>
      <c r="F715" s="1268"/>
      <c r="H715" s="181"/>
      <c r="I715" s="181"/>
      <c r="J715" s="181"/>
      <c r="K715" s="181"/>
    </row>
    <row r="716" spans="1:11" ht="13">
      <c r="A716" s="175"/>
      <c r="B716" s="175"/>
      <c r="C716" s="175"/>
      <c r="D716" s="178"/>
      <c r="H716" s="181"/>
      <c r="I716" s="181"/>
      <c r="J716" s="181"/>
      <c r="K716" s="181"/>
    </row>
    <row r="717" spans="1:11" ht="13">
      <c r="A717" s="176"/>
      <c r="B717" s="468" t="s">
        <v>308</v>
      </c>
      <c r="C717" s="175"/>
      <c r="D717" s="1268" t="s">
        <v>1263</v>
      </c>
      <c r="E717" s="1268"/>
      <c r="F717" s="1268"/>
      <c r="H717" s="181"/>
      <c r="I717" s="181"/>
      <c r="J717" s="181"/>
      <c r="K717" s="181"/>
    </row>
    <row r="718" spans="1:11" ht="13">
      <c r="A718" s="175"/>
      <c r="B718" s="175"/>
      <c r="C718" s="175"/>
      <c r="D718" s="1268"/>
      <c r="E718" s="1268"/>
      <c r="F718" s="1268"/>
      <c r="H718" s="181"/>
      <c r="I718" s="181"/>
      <c r="J718" s="181"/>
      <c r="K718" s="181"/>
    </row>
    <row r="719" spans="1:11" ht="13">
      <c r="A719" s="175"/>
      <c r="B719" s="175"/>
      <c r="C719" s="175"/>
      <c r="D719" s="1268"/>
      <c r="E719" s="1268"/>
      <c r="F719" s="1268"/>
      <c r="H719" s="181"/>
      <c r="I719" s="181"/>
      <c r="J719" s="181"/>
      <c r="K719" s="181"/>
    </row>
    <row r="720" spans="1:11" ht="13">
      <c r="A720" s="175"/>
      <c r="B720" s="175"/>
      <c r="C720" s="175"/>
      <c r="D720" s="1268"/>
      <c r="E720" s="1268"/>
      <c r="F720" s="1268"/>
      <c r="H720" s="181"/>
      <c r="I720" s="181"/>
      <c r="J720" s="181"/>
      <c r="K720" s="181"/>
    </row>
    <row r="721" spans="1:11" ht="13">
      <c r="A721" s="175"/>
      <c r="B721" s="175"/>
      <c r="C721" s="175"/>
      <c r="D721" s="1268"/>
      <c r="E721" s="1268"/>
      <c r="F721" s="1268"/>
      <c r="H721" s="181"/>
      <c r="I721" s="181"/>
      <c r="J721" s="181"/>
      <c r="K721" s="181"/>
    </row>
    <row r="722" spans="1:11" ht="13">
      <c r="A722" s="175"/>
      <c r="B722" s="175"/>
      <c r="C722" s="175"/>
      <c r="D722" s="1268"/>
      <c r="E722" s="1268"/>
      <c r="F722" s="1268"/>
      <c r="H722" s="181"/>
      <c r="I722" s="181"/>
      <c r="J722" s="181"/>
      <c r="K722" s="181"/>
    </row>
    <row r="723" spans="1:11" ht="13">
      <c r="A723" s="175"/>
      <c r="B723" s="175"/>
      <c r="C723" s="175"/>
      <c r="D723" s="1268"/>
      <c r="E723" s="1268"/>
      <c r="F723" s="1268"/>
      <c r="H723" s="181"/>
      <c r="I723" s="181"/>
      <c r="J723" s="181"/>
      <c r="K723" s="181"/>
    </row>
    <row r="724" spans="1:11" ht="13">
      <c r="A724" s="175"/>
      <c r="B724" s="175"/>
      <c r="C724" s="175"/>
      <c r="D724" s="1312" t="s">
        <v>1131</v>
      </c>
      <c r="E724" s="1312"/>
      <c r="F724" s="1312"/>
      <c r="H724" s="181"/>
      <c r="I724" s="181"/>
      <c r="J724" s="181"/>
      <c r="K724" s="181"/>
    </row>
    <row r="725" spans="1:11" ht="13">
      <c r="A725" s="175"/>
      <c r="B725" s="175"/>
      <c r="C725" s="175"/>
      <c r="D725" s="369"/>
      <c r="H725" s="181"/>
      <c r="I725" s="181"/>
      <c r="J725" s="181"/>
      <c r="K725" s="181"/>
    </row>
    <row r="726" spans="1:11" ht="13">
      <c r="A726" s="1314" t="s">
        <v>1088</v>
      </c>
      <c r="B726" s="1314"/>
      <c r="C726" s="1314"/>
      <c r="D726" s="1314"/>
      <c r="E726" s="1314"/>
      <c r="F726" s="1314"/>
      <c r="G726" s="1314"/>
      <c r="H726" s="181"/>
      <c r="I726" s="181"/>
      <c r="J726" s="181"/>
      <c r="K726" s="181"/>
    </row>
    <row r="727" spans="1:11" ht="13">
      <c r="A727" s="175"/>
      <c r="B727" s="175"/>
      <c r="C727" s="175"/>
      <c r="D727" s="178"/>
      <c r="G727" s="183"/>
      <c r="H727" s="181"/>
      <c r="I727" s="181"/>
      <c r="J727" s="181"/>
      <c r="K727" s="181"/>
    </row>
    <row r="728" spans="1:11" ht="13.15" customHeight="1">
      <c r="C728" s="175"/>
      <c r="D728" s="1301" t="s">
        <v>1104</v>
      </c>
      <c r="E728" s="1301"/>
      <c r="F728" s="1301"/>
      <c r="G728" s="183"/>
      <c r="H728" s="181"/>
      <c r="I728" s="181"/>
      <c r="J728" s="181"/>
      <c r="K728" s="181"/>
    </row>
    <row r="729" spans="1:11" ht="13">
      <c r="A729" s="175"/>
      <c r="B729" s="175"/>
      <c r="C729" s="175"/>
      <c r="D729" s="1311" t="s">
        <v>1105</v>
      </c>
      <c r="E729" s="1311"/>
      <c r="F729" s="1311"/>
      <c r="G729" s="183"/>
      <c r="H729" s="181"/>
      <c r="I729" s="181"/>
      <c r="J729" s="181"/>
      <c r="K729" s="181"/>
    </row>
    <row r="730" spans="1:11" ht="13">
      <c r="A730" s="175"/>
      <c r="B730" s="175"/>
      <c r="C730" s="175"/>
      <c r="G730" s="183"/>
      <c r="H730" s="181"/>
      <c r="I730" s="181"/>
      <c r="J730" s="181"/>
      <c r="K730" s="181"/>
    </row>
    <row r="731" spans="1:11" ht="13">
      <c r="A731" s="176"/>
      <c r="B731" s="468" t="s">
        <v>308</v>
      </c>
      <c r="D731" s="1268" t="s">
        <v>1106</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4"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8" t="s">
        <v>1107</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ht="13">
      <c r="A743" s="176"/>
      <c r="B743" s="468" t="s">
        <v>308</v>
      </c>
      <c r="C743" s="273"/>
      <c r="D743" s="1308" t="s">
        <v>1108</v>
      </c>
      <c r="E743" s="1308"/>
      <c r="F743" s="1308"/>
      <c r="G743" s="210"/>
    </row>
    <row r="744" spans="1:11" s="274" customFormat="1">
      <c r="A744" s="273"/>
      <c r="B744" s="273"/>
      <c r="C744" s="273"/>
      <c r="D744" s="1308"/>
      <c r="E744" s="1308"/>
      <c r="F744" s="1308"/>
      <c r="G744" s="210"/>
    </row>
    <row r="745" spans="1:11" s="274" customFormat="1">
      <c r="A745" s="273"/>
      <c r="B745" s="273"/>
      <c r="C745" s="273"/>
      <c r="D745" s="1308"/>
      <c r="E745" s="1308"/>
      <c r="F745" s="1308"/>
      <c r="G745" s="210"/>
    </row>
    <row r="746" spans="1:11">
      <c r="D746" s="255"/>
      <c r="E746" s="35"/>
      <c r="F746" s="35"/>
      <c r="G746" s="183"/>
      <c r="H746" s="181"/>
      <c r="I746" s="181"/>
      <c r="J746" s="181"/>
      <c r="K746" s="181"/>
    </row>
    <row r="747" spans="1:11" ht="13">
      <c r="A747" s="176"/>
      <c r="B747" s="468" t="s">
        <v>308</v>
      </c>
      <c r="D747" s="1268" t="s">
        <v>1109</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308</v>
      </c>
      <c r="D750" s="1268" t="s">
        <v>1110</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ht="13">
      <c r="A754" s="1283" t="s">
        <v>1111</v>
      </c>
      <c r="B754" s="1283"/>
      <c r="C754" s="1283"/>
      <c r="D754" s="1283"/>
      <c r="E754" s="1283"/>
      <c r="F754" s="1283"/>
      <c r="G754" s="1283"/>
    </row>
    <row r="755" spans="1:11" ht="13">
      <c r="A755" s="175"/>
      <c r="B755" s="175"/>
      <c r="C755" s="175"/>
      <c r="D755" s="184"/>
      <c r="F755" s="35"/>
      <c r="G755" s="183"/>
    </row>
    <row r="756" spans="1:11" ht="13">
      <c r="D756" s="1315" t="s">
        <v>1095</v>
      </c>
      <c r="E756" s="1315"/>
      <c r="F756" s="1315"/>
      <c r="G756" s="183"/>
    </row>
    <row r="757" spans="1:11">
      <c r="A757" s="345"/>
      <c r="B757" s="345"/>
      <c r="C757" s="345"/>
      <c r="D757" s="1298" t="s">
        <v>1112</v>
      </c>
      <c r="E757" s="1298"/>
      <c r="F757" s="1298"/>
      <c r="G757" s="183"/>
    </row>
    <row r="758" spans="1:11">
      <c r="D758" s="433"/>
      <c r="E758" s="433"/>
      <c r="F758" s="433"/>
      <c r="G758" s="183"/>
    </row>
    <row r="759" spans="1:11" ht="13">
      <c r="A759" s="176"/>
      <c r="B759" s="468" t="s">
        <v>308</v>
      </c>
      <c r="D759" s="1298" t="s">
        <v>1005</v>
      </c>
      <c r="E759" s="1298"/>
      <c r="F759" s="1298"/>
      <c r="G759" s="183"/>
    </row>
    <row r="760" spans="1:11" ht="13">
      <c r="D760" s="433"/>
      <c r="E760" s="1310" t="s">
        <v>1096</v>
      </c>
      <c r="F760" s="1310"/>
      <c r="G760" s="183"/>
    </row>
    <row r="761" spans="1:11" ht="13">
      <c r="A761" s="172"/>
      <c r="B761" s="172"/>
      <c r="C761" s="172"/>
      <c r="D761" s="35"/>
      <c r="G761" s="183"/>
    </row>
    <row r="762" spans="1:11" ht="13">
      <c r="A762" s="1313" t="s">
        <v>449</v>
      </c>
      <c r="B762" s="1313"/>
      <c r="C762" s="1313"/>
      <c r="D762" s="1313"/>
      <c r="E762" s="1313"/>
      <c r="F762" s="1313"/>
      <c r="G762" s="1313"/>
    </row>
    <row r="763" spans="1:11" ht="13">
      <c r="A763" s="172"/>
      <c r="B763" s="172"/>
      <c r="C763" s="179"/>
      <c r="D763" s="183"/>
      <c r="E763" s="183"/>
      <c r="F763" s="183"/>
      <c r="G763" s="183"/>
    </row>
    <row r="764" spans="1:11">
      <c r="A764" s="35"/>
      <c r="B764" s="1311" t="s">
        <v>1004</v>
      </c>
      <c r="C764" s="1311"/>
      <c r="D764" s="1311"/>
      <c r="E764" s="1311"/>
      <c r="F764" s="1311"/>
      <c r="G764" s="183"/>
    </row>
    <row r="765" spans="1:11" ht="13">
      <c r="A765" s="13"/>
      <c r="B765" s="13"/>
      <c r="G765" s="183"/>
    </row>
    <row r="766" spans="1:11" ht="13">
      <c r="A766" s="1313" t="s">
        <v>450</v>
      </c>
      <c r="B766" s="1313"/>
      <c r="C766" s="1313"/>
      <c r="D766" s="1313"/>
      <c r="E766" s="1313"/>
      <c r="F766" s="1313"/>
      <c r="G766" s="1313"/>
    </row>
    <row r="767" spans="1:11" ht="13">
      <c r="A767" s="172"/>
      <c r="B767" s="172"/>
      <c r="C767" s="172"/>
      <c r="D767" s="178"/>
      <c r="G767" s="183"/>
    </row>
    <row r="768" spans="1:11">
      <c r="A768" s="35"/>
      <c r="B768" s="1279" t="s">
        <v>448</v>
      </c>
      <c r="C768" s="1279"/>
      <c r="D768" s="1279"/>
      <c r="E768" s="1279"/>
      <c r="F768" s="1279"/>
      <c r="G768" s="183"/>
    </row>
    <row r="769" spans="1:7" ht="13">
      <c r="A769" s="176"/>
      <c r="B769" s="176"/>
      <c r="D769" s="35"/>
      <c r="E769" s="35"/>
      <c r="F769" s="183"/>
      <c r="G769" s="183"/>
    </row>
    <row r="770" spans="1:7" ht="13">
      <c r="A770" s="1313" t="s">
        <v>451</v>
      </c>
      <c r="B770" s="1313"/>
      <c r="C770" s="1313"/>
      <c r="D770" s="1313"/>
      <c r="E770" s="1313"/>
      <c r="F770" s="1313"/>
      <c r="G770" s="1313"/>
    </row>
    <row r="771" spans="1:7" ht="13">
      <c r="C771" s="175"/>
      <c r="D771" s="173"/>
      <c r="E771" s="35"/>
      <c r="F771" s="183"/>
      <c r="G771" s="183"/>
    </row>
    <row r="772" spans="1:7">
      <c r="A772" s="35"/>
      <c r="B772" s="1279" t="s">
        <v>448</v>
      </c>
      <c r="C772" s="1279"/>
      <c r="D772" s="1279"/>
      <c r="E772" s="1279"/>
      <c r="F772" s="1279"/>
      <c r="G772" s="183"/>
    </row>
    <row r="773" spans="1:7">
      <c r="A773" s="35"/>
      <c r="B773" s="35"/>
      <c r="C773" s="179"/>
      <c r="D773" s="183"/>
      <c r="E773" s="183"/>
      <c r="F773" s="183"/>
      <c r="G773" s="183"/>
    </row>
    <row r="774" spans="1:7" ht="13">
      <c r="A774" s="1313" t="s">
        <v>452</v>
      </c>
      <c r="B774" s="1313"/>
      <c r="C774" s="1313"/>
      <c r="D774" s="1313"/>
      <c r="E774" s="1313"/>
      <c r="F774" s="1313"/>
      <c r="G774" s="1313"/>
    </row>
    <row r="775" spans="1:7">
      <c r="A775" s="35"/>
      <c r="B775" s="35"/>
    </row>
    <row r="776" spans="1:7">
      <c r="A776" s="35"/>
      <c r="B776" s="1279" t="s">
        <v>448</v>
      </c>
      <c r="C776" s="1279"/>
      <c r="D776" s="1279"/>
      <c r="E776" s="1279"/>
      <c r="F776" s="1279"/>
    </row>
    <row r="777" spans="1:7" ht="13">
      <c r="A777" s="179"/>
      <c r="B777" s="179"/>
      <c r="C777" s="179"/>
      <c r="D777" s="174"/>
      <c r="F777" s="183"/>
    </row>
    <row r="778" spans="1:7" ht="13">
      <c r="A778" s="1313" t="s">
        <v>453</v>
      </c>
      <c r="B778" s="1313"/>
      <c r="C778" s="1313"/>
      <c r="D778" s="1313"/>
      <c r="E778" s="1313"/>
      <c r="F778" s="1313"/>
      <c r="G778" s="1313"/>
    </row>
    <row r="779" spans="1:7">
      <c r="A779" s="35"/>
      <c r="B779" s="35"/>
    </row>
    <row r="780" spans="1:7">
      <c r="A780" s="35"/>
      <c r="B780" s="1279" t="s">
        <v>448</v>
      </c>
      <c r="C780" s="1279"/>
      <c r="D780" s="1279"/>
      <c r="E780" s="1279"/>
      <c r="F780" s="1279"/>
    </row>
    <row r="781" spans="1:7" ht="13">
      <c r="A781" s="179"/>
      <c r="B781" s="179"/>
      <c r="C781" s="179"/>
      <c r="D781" s="174"/>
      <c r="F781" s="183"/>
    </row>
    <row r="782" spans="1:7" ht="13">
      <c r="A782" s="1313" t="s">
        <v>454</v>
      </c>
      <c r="B782" s="1313"/>
      <c r="C782" s="1313"/>
      <c r="D782" s="1313"/>
      <c r="E782" s="1313"/>
      <c r="F782" s="1313"/>
      <c r="G782" s="1313"/>
    </row>
    <row r="783" spans="1:7">
      <c r="A783" s="35"/>
      <c r="B783" s="35"/>
    </row>
    <row r="784" spans="1:7">
      <c r="A784" s="35"/>
      <c r="B784" s="1279" t="s">
        <v>448</v>
      </c>
      <c r="C784" s="1279"/>
      <c r="D784" s="1279"/>
      <c r="E784" s="1279"/>
      <c r="F784" s="1279"/>
    </row>
    <row r="785" spans="1:7" ht="13">
      <c r="D785" s="174"/>
    </row>
    <row r="786" spans="1:7" ht="13">
      <c r="A786" s="1313" t="s">
        <v>187</v>
      </c>
      <c r="B786" s="1313"/>
      <c r="C786" s="1313"/>
      <c r="D786" s="1313"/>
      <c r="E786" s="1313"/>
      <c r="F786" s="1313"/>
      <c r="G786" s="1313"/>
    </row>
    <row r="787" spans="1:7">
      <c r="A787" s="35"/>
      <c r="B787" s="35"/>
    </row>
    <row r="788" spans="1:7">
      <c r="A788" s="35"/>
      <c r="B788" s="1279" t="s">
        <v>448</v>
      </c>
      <c r="C788" s="1279"/>
      <c r="D788" s="1279"/>
      <c r="E788" s="1279"/>
      <c r="F788" s="1279"/>
    </row>
    <row r="789" spans="1:7" ht="13">
      <c r="A789" s="35"/>
      <c r="B789" s="35"/>
      <c r="D789" s="174"/>
    </row>
    <row r="790" spans="1:7" ht="13">
      <c r="A790" s="1313" t="s">
        <v>885</v>
      </c>
      <c r="B790" s="1313"/>
      <c r="C790" s="1313"/>
      <c r="D790" s="1313"/>
      <c r="E790" s="1313"/>
      <c r="F790" s="1313"/>
      <c r="G790" s="1313"/>
    </row>
    <row r="791" spans="1:7">
      <c r="A791" s="35"/>
      <c r="B791" s="35"/>
    </row>
    <row r="792" spans="1:7">
      <c r="A792" s="35"/>
      <c r="B792" s="1279" t="s">
        <v>448</v>
      </c>
      <c r="C792" s="1279"/>
      <c r="D792" s="1279"/>
      <c r="E792" s="1279"/>
      <c r="F792" s="1279"/>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7265625" style="433" hidden="1"/>
  </cols>
  <sheetData>
    <row r="1" spans="1:10" ht="14.25" customHeight="1"/>
    <row r="2" spans="1:10" ht="15.5">
      <c r="A2" s="1319" t="s">
        <v>2058</v>
      </c>
      <c r="B2" s="1320"/>
      <c r="C2" s="1320"/>
      <c r="D2" s="1320"/>
      <c r="E2" s="1320"/>
      <c r="F2" s="1320"/>
      <c r="G2" s="1320"/>
      <c r="H2" s="1320"/>
      <c r="I2" s="1320"/>
      <c r="J2" s="1320"/>
    </row>
    <row r="3" spans="1:10" ht="15.5">
      <c r="A3" s="1323" t="s">
        <v>1376</v>
      </c>
      <c r="B3" s="1324"/>
      <c r="C3" s="1324"/>
      <c r="D3" s="1324"/>
      <c r="E3" s="1324"/>
      <c r="F3" s="1324"/>
      <c r="G3" s="1324"/>
      <c r="H3" s="1324"/>
      <c r="I3" s="1324"/>
      <c r="J3" s="1324"/>
    </row>
    <row r="4" spans="1:10" ht="12.5"/>
    <row r="5" spans="1:10" ht="12.75" customHeight="1">
      <c r="A5" s="1321" t="s">
        <v>2359</v>
      </c>
      <c r="B5" s="1321"/>
      <c r="C5" s="1321"/>
      <c r="D5" s="1321"/>
      <c r="E5" s="1321"/>
      <c r="F5" s="1321"/>
      <c r="G5" s="1321"/>
      <c r="H5" s="1321"/>
      <c r="I5" s="1321"/>
      <c r="J5" s="1321"/>
    </row>
    <row r="6" spans="1:10" ht="12.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5"/>
    <row r="11" spans="1:10" ht="12.75" customHeight="1">
      <c r="A11" s="1325" t="s">
        <v>2063</v>
      </c>
      <c r="B11" s="1325"/>
      <c r="C11" s="1325"/>
      <c r="D11" s="1325"/>
      <c r="E11" s="1325"/>
      <c r="F11" s="1325"/>
      <c r="G11" s="1325"/>
      <c r="H11" s="1325"/>
      <c r="I11" s="1325"/>
      <c r="J11" s="1325"/>
    </row>
    <row r="12" spans="1:10" ht="12.5">
      <c r="A12" s="1325"/>
      <c r="B12" s="1325"/>
      <c r="C12" s="1325"/>
      <c r="D12" s="1325"/>
      <c r="E12" s="1325"/>
      <c r="F12" s="1325"/>
      <c r="G12" s="1325"/>
      <c r="H12" s="1325"/>
      <c r="I12" s="1325"/>
      <c r="J12" s="1325"/>
    </row>
    <row r="13" spans="1:10" ht="12.5">
      <c r="A13" s="1325"/>
      <c r="B13" s="1325"/>
      <c r="C13" s="1325"/>
      <c r="D13" s="1325"/>
      <c r="E13" s="1325"/>
      <c r="F13" s="1325"/>
      <c r="G13" s="1325"/>
      <c r="H13" s="1325"/>
      <c r="I13" s="1325"/>
      <c r="J13" s="1325"/>
    </row>
    <row r="14" spans="1:10" ht="12.5">
      <c r="A14" s="1325"/>
      <c r="B14" s="1325"/>
      <c r="C14" s="1325"/>
      <c r="D14" s="1325"/>
      <c r="E14" s="1325"/>
      <c r="F14" s="1325"/>
      <c r="G14" s="1325"/>
      <c r="H14" s="1325"/>
      <c r="I14" s="1325"/>
      <c r="J14" s="1325"/>
    </row>
    <row r="15" spans="1:10" ht="12.5">
      <c r="A15" s="1325"/>
      <c r="B15" s="1325"/>
      <c r="C15" s="1325"/>
      <c r="D15" s="1325"/>
      <c r="E15" s="1325"/>
      <c r="F15" s="1325"/>
      <c r="G15" s="1325"/>
      <c r="H15" s="1325"/>
      <c r="I15" s="1325"/>
      <c r="J15" s="1325"/>
    </row>
    <row r="16" spans="1:10" ht="12.5">
      <c r="A16" s="1325"/>
      <c r="B16" s="1325"/>
      <c r="C16" s="1325"/>
      <c r="D16" s="1325"/>
      <c r="E16" s="1325"/>
      <c r="F16" s="1325"/>
      <c r="G16" s="1325"/>
      <c r="H16" s="1325"/>
      <c r="I16" s="1325"/>
      <c r="J16" s="1325"/>
    </row>
    <row r="17" spans="1:10" ht="12.5">
      <c r="A17" s="558"/>
      <c r="B17" s="558"/>
      <c r="C17" s="558"/>
      <c r="D17" s="558"/>
      <c r="E17" s="558"/>
      <c r="F17" s="558"/>
      <c r="G17" s="558"/>
      <c r="H17" s="558"/>
      <c r="I17" s="558"/>
      <c r="J17" s="558"/>
    </row>
    <row r="18" spans="1:10" ht="12.5">
      <c r="A18" s="510" t="s">
        <v>2062</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4" t="s">
        <v>1295</v>
      </c>
      <c r="B20" s="1324"/>
      <c r="C20" s="1324"/>
      <c r="D20" s="1324"/>
      <c r="E20" s="1324"/>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21" t="s">
        <v>1296</v>
      </c>
      <c r="B57" s="1321"/>
      <c r="C57" s="1321"/>
      <c r="D57" s="1321"/>
      <c r="E57" s="1321"/>
      <c r="F57" s="1321"/>
      <c r="G57" s="1321"/>
      <c r="H57" s="1321"/>
      <c r="I57" s="1321"/>
      <c r="J57" s="1321"/>
    </row>
    <row r="58" spans="1:10" ht="12.5">
      <c r="A58" s="1321"/>
      <c r="B58" s="1321"/>
      <c r="C58" s="1321"/>
      <c r="D58" s="1321"/>
      <c r="E58" s="1321"/>
      <c r="F58" s="1321"/>
      <c r="G58" s="1321"/>
      <c r="H58" s="1321"/>
      <c r="I58" s="1321"/>
      <c r="J58" s="1321"/>
    </row>
    <row r="59" spans="1:10" ht="12.5">
      <c r="A59" s="1321"/>
      <c r="B59" s="1321"/>
      <c r="C59" s="1321"/>
      <c r="D59" s="1321"/>
      <c r="E59" s="1321"/>
      <c r="F59" s="1321"/>
      <c r="G59" s="1321"/>
      <c r="H59" s="1321"/>
      <c r="I59" s="1321"/>
      <c r="J59" s="1321"/>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22" t="s">
        <v>2059</v>
      </c>
      <c r="B72" s="1322"/>
      <c r="C72" s="1322"/>
      <c r="D72" s="1322"/>
      <c r="E72" s="1322"/>
      <c r="F72" s="1322"/>
      <c r="G72" s="1322"/>
      <c r="H72" s="1322"/>
      <c r="I72" s="1322"/>
    </row>
    <row r="73" spans="1:9" ht="12.5">
      <c r="A73" s="1274" t="s">
        <v>2357</v>
      </c>
      <c r="B73" s="1274"/>
      <c r="C73" s="1274"/>
      <c r="D73" s="1274"/>
      <c r="E73" s="1274"/>
    </row>
    <row r="74" spans="1:9" ht="12.5">
      <c r="A74" s="1274" t="s">
        <v>2358</v>
      </c>
      <c r="B74" s="1274"/>
      <c r="C74" s="1274"/>
      <c r="D74" s="1274"/>
      <c r="E74" s="1274"/>
    </row>
    <row r="75" spans="1:9" ht="12.5">
      <c r="A75" s="1274" t="s">
        <v>2060</v>
      </c>
      <c r="B75" s="1274"/>
      <c r="C75" s="1274"/>
      <c r="D75" s="1274"/>
      <c r="E75" s="1274"/>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2" workbookViewId="0">
      <selection activeCell="D27" sqref="D27:F31"/>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7265625" style="433" customWidth="1"/>
    <col min="11" max="16384" width="8.7265625" style="433" hidden="1"/>
  </cols>
  <sheetData>
    <row r="1" spans="1:13"/>
    <row r="2" spans="1:13">
      <c r="A2" s="1351" t="s">
        <v>2579</v>
      </c>
      <c r="B2" s="1351"/>
      <c r="C2" s="1351"/>
      <c r="D2" s="1351"/>
      <c r="E2" s="1351"/>
      <c r="F2" s="1351"/>
      <c r="G2" s="1351"/>
      <c r="H2" s="1351"/>
      <c r="I2" s="1351"/>
    </row>
    <row r="3" spans="1:13">
      <c r="A3" s="1339" t="s">
        <v>2625</v>
      </c>
      <c r="B3" s="1339"/>
      <c r="C3" s="1339"/>
      <c r="D3" s="1339"/>
      <c r="E3" s="1339"/>
      <c r="F3" s="1339"/>
      <c r="G3" s="1339"/>
      <c r="H3" s="1339"/>
      <c r="I3" s="1339"/>
    </row>
    <row r="4" spans="1:13">
      <c r="A4" s="1339"/>
      <c r="B4" s="1339"/>
      <c r="C4" s="1324"/>
      <c r="D4" s="1324"/>
      <c r="E4" s="1324"/>
      <c r="F4" s="1324"/>
      <c r="G4" s="1324"/>
    </row>
    <row r="5" spans="1:13">
      <c r="A5" s="1339"/>
      <c r="B5" s="1339"/>
      <c r="C5" s="1324"/>
      <c r="D5" s="1324"/>
      <c r="E5" s="1324"/>
      <c r="F5" s="1324"/>
      <c r="G5" s="1324"/>
    </row>
    <row r="6" spans="1:13" ht="12.75" customHeight="1">
      <c r="A6" s="1342" t="s">
        <v>2624</v>
      </c>
      <c r="B6" s="1342"/>
      <c r="C6" s="1342"/>
      <c r="D6" s="1342"/>
      <c r="E6" s="1342"/>
      <c r="F6" s="1342"/>
      <c r="G6" s="1342"/>
      <c r="I6" s="524" t="s">
        <v>2069</v>
      </c>
    </row>
    <row r="7" spans="1:13">
      <c r="A7" s="1342"/>
      <c r="B7" s="1342"/>
      <c r="C7" s="1342"/>
      <c r="D7" s="1342"/>
      <c r="E7" s="1342"/>
      <c r="F7" s="1342"/>
      <c r="G7" s="1342"/>
      <c r="I7" s="524" t="s">
        <v>2070</v>
      </c>
    </row>
    <row r="8" spans="1:13">
      <c r="A8" s="515"/>
      <c r="B8" s="515"/>
      <c r="C8" s="516"/>
      <c r="D8" s="516"/>
      <c r="E8" s="516"/>
      <c r="F8" s="516"/>
    </row>
    <row r="9" spans="1:13">
      <c r="A9" s="1283" t="s">
        <v>1168</v>
      </c>
      <c r="B9" s="1283"/>
      <c r="C9" s="1283"/>
      <c r="D9" s="1283"/>
      <c r="E9" s="1283"/>
      <c r="F9" s="1283"/>
      <c r="G9" s="1283"/>
      <c r="H9" s="1063"/>
      <c r="I9" s="1064"/>
    </row>
    <row r="10" spans="1:13">
      <c r="A10" s="516"/>
      <c r="B10" s="516"/>
      <c r="E10" s="435"/>
    </row>
    <row r="11" spans="1:13" ht="13.9" customHeight="1">
      <c r="C11" s="516"/>
      <c r="D11" s="1341" t="s">
        <v>1167</v>
      </c>
      <c r="E11" s="1341"/>
      <c r="F11" s="1341"/>
    </row>
    <row r="12" spans="1:13">
      <c r="C12" s="516"/>
      <c r="D12" s="1341"/>
      <c r="E12" s="1341"/>
      <c r="F12" s="1341"/>
    </row>
    <row r="13" spans="1:13">
      <c r="A13" s="517"/>
      <c r="B13" s="517"/>
      <c r="C13" s="517"/>
      <c r="D13" s="1296" t="s">
        <v>1150</v>
      </c>
      <c r="E13" s="1296"/>
      <c r="F13" s="1296"/>
      <c r="M13" s="96"/>
    </row>
    <row r="14" spans="1:13">
      <c r="A14" s="517"/>
      <c r="B14" s="517"/>
      <c r="C14" s="517"/>
      <c r="D14" s="510"/>
      <c r="L14" s="336"/>
    </row>
    <row r="15" spans="1:13">
      <c r="A15" s="518"/>
      <c r="B15" s="519" t="s">
        <v>2781</v>
      </c>
      <c r="C15" s="517"/>
      <c r="D15" s="1295" t="s">
        <v>2220</v>
      </c>
      <c r="E15" s="1295"/>
      <c r="F15" s="1295"/>
      <c r="I15" s="524" t="s">
        <v>2071</v>
      </c>
    </row>
    <row r="16" spans="1:13">
      <c r="A16" s="517"/>
      <c r="B16" s="517"/>
      <c r="C16" s="517"/>
      <c r="D16" s="1295"/>
      <c r="E16" s="1295"/>
      <c r="F16" s="1295"/>
      <c r="I16" s="524"/>
    </row>
    <row r="17" spans="1:9">
      <c r="A17" s="517"/>
      <c r="B17" s="517"/>
      <c r="C17" s="517"/>
      <c r="D17" s="1295"/>
      <c r="E17" s="1295"/>
      <c r="F17" s="1295"/>
      <c r="I17" s="524"/>
    </row>
    <row r="18" spans="1:9">
      <c r="A18" s="517"/>
      <c r="B18" s="517"/>
      <c r="C18" s="517"/>
      <c r="D18" s="479"/>
      <c r="E18" s="336" t="s">
        <v>2218</v>
      </c>
      <c r="F18" s="479"/>
      <c r="I18" s="524"/>
    </row>
    <row r="19" spans="1:9">
      <c r="A19" s="517"/>
      <c r="B19" s="517"/>
      <c r="C19" s="517"/>
      <c r="I19" s="524"/>
    </row>
    <row r="20" spans="1:9">
      <c r="A20" s="518"/>
      <c r="B20" s="519" t="s">
        <v>2781</v>
      </c>
      <c r="D20" s="1295" t="s">
        <v>2221</v>
      </c>
      <c r="E20" s="1295"/>
      <c r="F20" s="1295"/>
      <c r="I20" s="524" t="s">
        <v>2072</v>
      </c>
    </row>
    <row r="21" spans="1:9">
      <c r="A21" s="518"/>
      <c r="D21" s="1295"/>
      <c r="E21" s="1295"/>
      <c r="F21" s="1295"/>
      <c r="I21" s="524"/>
    </row>
    <row r="22" spans="1:9">
      <c r="A22" s="518"/>
      <c r="D22" s="423"/>
      <c r="E22" s="96" t="s">
        <v>2217</v>
      </c>
      <c r="F22" s="423"/>
      <c r="I22" s="524"/>
    </row>
    <row r="23" spans="1:9">
      <c r="A23" s="518"/>
      <c r="B23" s="518"/>
      <c r="D23" s="480"/>
      <c r="I23" s="524"/>
    </row>
    <row r="24" spans="1:9">
      <c r="A24" s="518"/>
      <c r="B24" s="519" t="s">
        <v>2782</v>
      </c>
      <c r="D24" s="1295" t="s">
        <v>1153</v>
      </c>
      <c r="E24" s="1295"/>
      <c r="F24" s="1295"/>
      <c r="I24" s="524" t="s">
        <v>2072</v>
      </c>
    </row>
    <row r="25" spans="1:9">
      <c r="A25" s="518"/>
      <c r="B25" s="518"/>
      <c r="D25" s="1295"/>
      <c r="E25" s="1295"/>
      <c r="F25" s="1295"/>
      <c r="I25" s="524"/>
    </row>
    <row r="26" spans="1:9">
      <c r="I26" s="524"/>
    </row>
    <row r="27" spans="1:9">
      <c r="A27" s="518"/>
      <c r="B27" s="519" t="s">
        <v>2781</v>
      </c>
      <c r="D27" s="1295" t="s">
        <v>2360</v>
      </c>
      <c r="E27" s="1295"/>
      <c r="F27" s="1295"/>
      <c r="I27" s="524" t="s">
        <v>2075</v>
      </c>
    </row>
    <row r="28" spans="1:9">
      <c r="D28" s="1295"/>
      <c r="E28" s="1295"/>
      <c r="F28" s="1295"/>
      <c r="I28" s="524"/>
    </row>
    <row r="29" spans="1:9">
      <c r="D29" s="1295"/>
      <c r="E29" s="1295"/>
      <c r="F29" s="1295"/>
      <c r="I29" s="524"/>
    </row>
    <row r="30" spans="1:9">
      <c r="D30" s="1295"/>
      <c r="E30" s="1295"/>
      <c r="F30" s="1295"/>
      <c r="I30" s="524"/>
    </row>
    <row r="31" spans="1:9">
      <c r="D31" s="1295"/>
      <c r="E31" s="1295"/>
      <c r="F31" s="1295"/>
      <c r="I31" s="524"/>
    </row>
    <row r="32" spans="1:9">
      <c r="D32" s="481"/>
      <c r="I32" s="524"/>
    </row>
    <row r="33" spans="1:9">
      <c r="B33" s="519" t="s">
        <v>2782</v>
      </c>
      <c r="D33" s="1295" t="s">
        <v>2361</v>
      </c>
      <c r="E33" s="1295"/>
      <c r="F33" s="1295"/>
      <c r="I33" s="524" t="s">
        <v>2071</v>
      </c>
    </row>
    <row r="34" spans="1:9">
      <c r="D34" s="1295"/>
      <c r="E34" s="1295"/>
      <c r="F34" s="1295"/>
      <c r="I34" s="524"/>
    </row>
    <row r="35" spans="1:9">
      <c r="A35" s="518"/>
      <c r="B35" s="518"/>
      <c r="D35" s="481"/>
      <c r="I35" s="524"/>
    </row>
    <row r="36" spans="1:9" ht="14.65" customHeight="1">
      <c r="A36" s="518"/>
      <c r="B36" s="519" t="s">
        <v>2782</v>
      </c>
      <c r="D36" s="1295" t="s">
        <v>1320</v>
      </c>
      <c r="E36" s="1295"/>
      <c r="F36" s="1295"/>
      <c r="I36" s="524" t="s">
        <v>2142</v>
      </c>
    </row>
    <row r="37" spans="1:9">
      <c r="A37" s="518"/>
      <c r="B37" s="518"/>
      <c r="D37" s="1295"/>
      <c r="E37" s="1295"/>
      <c r="F37" s="1295"/>
      <c r="I37" s="524"/>
    </row>
    <row r="38" spans="1:9">
      <c r="A38" s="518"/>
      <c r="B38" s="518"/>
      <c r="D38" s="1295"/>
      <c r="E38" s="1295"/>
      <c r="F38" s="1295"/>
      <c r="I38" s="524"/>
    </row>
    <row r="39" spans="1:9">
      <c r="A39" s="518"/>
      <c r="B39" s="518"/>
      <c r="D39" s="1295"/>
      <c r="E39" s="1295"/>
      <c r="F39" s="1295"/>
      <c r="I39" s="524"/>
    </row>
    <row r="40" spans="1:9">
      <c r="A40" s="518"/>
      <c r="B40" s="518"/>
      <c r="I40" s="524"/>
    </row>
    <row r="41" spans="1:9">
      <c r="A41" s="518"/>
      <c r="B41" s="519" t="s">
        <v>2782</v>
      </c>
      <c r="D41" s="1295" t="s">
        <v>1157</v>
      </c>
      <c r="E41" s="1295"/>
      <c r="F41" s="1295"/>
      <c r="I41" s="524"/>
    </row>
    <row r="42" spans="1:9">
      <c r="A42" s="518"/>
      <c r="B42" s="518"/>
      <c r="D42" s="1295"/>
      <c r="E42" s="1295"/>
      <c r="F42" s="1295"/>
      <c r="I42" s="524"/>
    </row>
    <row r="43" spans="1:9">
      <c r="A43" s="518"/>
      <c r="B43" s="518"/>
      <c r="D43" s="1295"/>
      <c r="E43" s="1295"/>
      <c r="F43" s="1295"/>
      <c r="I43" s="524"/>
    </row>
    <row r="44" spans="1:9">
      <c r="A44" s="518"/>
      <c r="B44" s="518"/>
      <c r="D44" s="1295"/>
      <c r="E44" s="1295"/>
      <c r="F44" s="1295"/>
      <c r="I44" s="524"/>
    </row>
    <row r="45" spans="1:9">
      <c r="A45" s="518"/>
      <c r="B45" s="518"/>
      <c r="D45" s="1295"/>
      <c r="E45" s="1295"/>
      <c r="F45" s="1295"/>
      <c r="I45" s="524"/>
    </row>
    <row r="46" spans="1:9">
      <c r="A46" s="518"/>
      <c r="B46" s="518"/>
      <c r="D46" s="479"/>
      <c r="E46" s="479"/>
      <c r="F46" s="479"/>
      <c r="I46" s="524"/>
    </row>
    <row r="47" spans="1:9">
      <c r="A47" s="518"/>
      <c r="B47" s="519" t="s">
        <v>2782</v>
      </c>
      <c r="D47" s="1295" t="s">
        <v>1158</v>
      </c>
      <c r="E47" s="1295"/>
      <c r="F47" s="1295"/>
      <c r="I47" s="524" t="s">
        <v>2142</v>
      </c>
    </row>
    <row r="48" spans="1:9">
      <c r="A48" s="518"/>
      <c r="B48" s="518"/>
      <c r="D48" s="1295"/>
      <c r="E48" s="1295"/>
      <c r="F48" s="1295"/>
      <c r="I48" s="524"/>
    </row>
    <row r="49" spans="1:9">
      <c r="A49" s="518"/>
      <c r="B49" s="518"/>
      <c r="D49" s="1295"/>
      <c r="E49" s="1295"/>
      <c r="F49" s="1295"/>
      <c r="I49" s="524"/>
    </row>
    <row r="50" spans="1:9" ht="23.25" customHeight="1">
      <c r="A50" s="518"/>
      <c r="B50" s="518"/>
      <c r="D50" s="1295"/>
      <c r="E50" s="1295"/>
      <c r="F50" s="1295"/>
      <c r="I50" s="524"/>
    </row>
    <row r="51" spans="1:9">
      <c r="A51" s="518"/>
      <c r="B51" s="518"/>
      <c r="D51" s="480"/>
      <c r="I51" s="524"/>
    </row>
    <row r="52" spans="1:9" ht="14.65" customHeight="1">
      <c r="A52" s="518"/>
      <c r="B52" s="519" t="s">
        <v>2782</v>
      </c>
      <c r="D52" s="1295" t="s">
        <v>1159</v>
      </c>
      <c r="E52" s="1295"/>
      <c r="F52" s="1295"/>
      <c r="I52" s="524" t="s">
        <v>2142</v>
      </c>
    </row>
    <row r="53" spans="1:9">
      <c r="A53" s="518"/>
      <c r="B53" s="518"/>
      <c r="D53" s="1295"/>
      <c r="E53" s="1295"/>
      <c r="F53" s="1295"/>
      <c r="I53" s="524"/>
    </row>
    <row r="54" spans="1:9">
      <c r="A54" s="518"/>
      <c r="B54" s="518"/>
      <c r="D54" s="1295"/>
      <c r="E54" s="1295"/>
      <c r="F54" s="1295"/>
      <c r="I54" s="524"/>
    </row>
    <row r="55" spans="1:9">
      <c r="A55" s="518"/>
      <c r="B55" s="518"/>
      <c r="I55" s="524"/>
    </row>
    <row r="56" spans="1:9">
      <c r="A56" s="518"/>
      <c r="B56" s="519" t="s">
        <v>2781</v>
      </c>
      <c r="D56" s="1344" t="s">
        <v>1160</v>
      </c>
      <c r="E56" s="1344"/>
      <c r="F56" s="1344"/>
      <c r="I56" s="524"/>
    </row>
    <row r="57" spans="1:9">
      <c r="A57" s="518"/>
      <c r="B57" s="518"/>
      <c r="D57" s="1344"/>
      <c r="E57" s="1344"/>
      <c r="F57" s="1344"/>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2782</v>
      </c>
      <c r="D61" s="1295" t="s">
        <v>1161</v>
      </c>
      <c r="E61" s="1295"/>
      <c r="F61" s="1295"/>
      <c r="I61" s="524" t="s">
        <v>2073</v>
      </c>
    </row>
    <row r="62" spans="1:9">
      <c r="D62" s="1295"/>
      <c r="E62" s="1295"/>
      <c r="F62" s="1295"/>
      <c r="I62" s="524"/>
    </row>
    <row r="63" spans="1:9">
      <c r="D63" s="1295"/>
      <c r="E63" s="1295"/>
      <c r="F63" s="1295"/>
      <c r="I63" s="524"/>
    </row>
    <row r="64" spans="1:9">
      <c r="I64" s="524"/>
    </row>
    <row r="65" spans="1:9">
      <c r="A65" s="518"/>
      <c r="B65" s="519" t="s">
        <v>2782</v>
      </c>
      <c r="D65" s="1295" t="s">
        <v>1162</v>
      </c>
      <c r="E65" s="1295"/>
      <c r="F65" s="1295"/>
      <c r="I65" s="524" t="s">
        <v>2074</v>
      </c>
    </row>
    <row r="66" spans="1:9">
      <c r="D66" s="1295"/>
      <c r="E66" s="1295"/>
      <c r="F66" s="1295"/>
      <c r="I66" s="524"/>
    </row>
    <row r="67" spans="1:9">
      <c r="I67" s="524"/>
    </row>
    <row r="68" spans="1:9">
      <c r="A68" s="518"/>
      <c r="B68" s="519" t="s">
        <v>2781</v>
      </c>
      <c r="D68" s="1295" t="s">
        <v>1163</v>
      </c>
      <c r="E68" s="1295"/>
      <c r="F68" s="1295"/>
      <c r="I68" s="524"/>
    </row>
    <row r="69" spans="1:9">
      <c r="D69" s="1295"/>
      <c r="E69" s="1295"/>
      <c r="F69" s="1295"/>
      <c r="I69" s="524" t="s">
        <v>2075</v>
      </c>
    </row>
    <row r="70" spans="1:9">
      <c r="D70" s="1295"/>
      <c r="E70" s="1295"/>
      <c r="F70" s="1295"/>
      <c r="I70" s="524"/>
    </row>
    <row r="71" spans="1:9">
      <c r="I71" s="524"/>
    </row>
    <row r="72" spans="1:9">
      <c r="A72" s="518"/>
      <c r="B72" s="519" t="s">
        <v>2781</v>
      </c>
      <c r="D72" s="1295" t="s">
        <v>1164</v>
      </c>
      <c r="E72" s="1295"/>
      <c r="F72" s="1295"/>
      <c r="I72" s="524" t="s">
        <v>2075</v>
      </c>
    </row>
    <row r="73" spans="1:9">
      <c r="D73" s="1295"/>
      <c r="E73" s="1295"/>
      <c r="F73" s="1295"/>
      <c r="I73" s="524"/>
    </row>
    <row r="74" spans="1:9">
      <c r="A74" s="518"/>
      <c r="B74" s="518"/>
      <c r="D74" s="480"/>
      <c r="I74" s="524"/>
    </row>
    <row r="75" spans="1:9">
      <c r="A75" s="1283" t="s">
        <v>1071</v>
      </c>
      <c r="B75" s="1283"/>
      <c r="C75" s="1283"/>
      <c r="D75" s="1283"/>
      <c r="E75" s="1283"/>
      <c r="F75" s="1283"/>
      <c r="G75" s="1283"/>
      <c r="H75" s="1063"/>
      <c r="I75" s="1256"/>
    </row>
    <row r="76" spans="1:9">
      <c r="I76" s="524"/>
    </row>
    <row r="77" spans="1:9">
      <c r="C77" s="520"/>
      <c r="D77" s="1297" t="s">
        <v>1169</v>
      </c>
      <c r="E77" s="1297"/>
      <c r="F77" s="1297"/>
      <c r="I77" s="524"/>
    </row>
    <row r="78" spans="1:9">
      <c r="A78" s="480"/>
      <c r="B78" s="480"/>
      <c r="D78" s="1295" t="s">
        <v>1196</v>
      </c>
      <c r="E78" s="1295"/>
      <c r="F78" s="1295"/>
      <c r="I78" s="524"/>
    </row>
    <row r="79" spans="1:9">
      <c r="A79" s="480"/>
      <c r="B79" s="480"/>
      <c r="I79" s="524"/>
    </row>
    <row r="80" spans="1:9" ht="13.9" customHeight="1">
      <c r="A80" s="518"/>
      <c r="B80" s="519" t="s">
        <v>2781</v>
      </c>
      <c r="D80" s="1295" t="s">
        <v>1353</v>
      </c>
      <c r="E80" s="1295"/>
      <c r="F80" s="1295"/>
      <c r="I80" s="524" t="s">
        <v>2076</v>
      </c>
    </row>
    <row r="81" spans="1:9">
      <c r="A81" s="518"/>
      <c r="B81" s="518"/>
      <c r="D81" s="1295"/>
      <c r="E81" s="1295"/>
      <c r="F81" s="1295"/>
      <c r="I81" s="524"/>
    </row>
    <row r="82" spans="1:9">
      <c r="A82" s="518"/>
      <c r="B82" s="518"/>
      <c r="D82" s="1295"/>
      <c r="E82" s="1295"/>
      <c r="F82" s="1295"/>
      <c r="I82" s="524"/>
    </row>
    <row r="83" spans="1:9">
      <c r="A83" s="518"/>
      <c r="B83" s="518"/>
      <c r="D83" s="1295"/>
      <c r="E83" s="1295"/>
      <c r="F83" s="1295"/>
      <c r="I83" s="524"/>
    </row>
    <row r="84" spans="1:9">
      <c r="A84" s="518"/>
      <c r="B84" s="518"/>
      <c r="D84" s="1295"/>
      <c r="E84" s="1295"/>
      <c r="F84" s="1295"/>
      <c r="I84" s="524"/>
    </row>
    <row r="85" spans="1:9">
      <c r="A85" s="518"/>
      <c r="B85" s="518"/>
      <c r="D85" s="1295"/>
      <c r="E85" s="1295"/>
      <c r="F85" s="1295"/>
      <c r="I85" s="524"/>
    </row>
    <row r="86" spans="1:9">
      <c r="A86" s="518"/>
      <c r="B86" s="518"/>
      <c r="D86" s="1295"/>
      <c r="E86" s="1295"/>
      <c r="F86" s="1295"/>
      <c r="I86" s="524"/>
    </row>
    <row r="87" spans="1:9">
      <c r="A87" s="518"/>
      <c r="B87" s="518"/>
      <c r="D87" s="1295"/>
      <c r="E87" s="1295"/>
      <c r="F87" s="1295"/>
      <c r="I87" s="524"/>
    </row>
    <row r="88" spans="1:9">
      <c r="A88" s="518"/>
      <c r="B88" s="518"/>
      <c r="D88" s="416"/>
      <c r="E88" s="416"/>
      <c r="F88" s="416"/>
      <c r="I88" s="524"/>
    </row>
    <row r="89" spans="1:9" ht="15" customHeight="1">
      <c r="A89" s="518"/>
      <c r="B89" s="519" t="s">
        <v>2781</v>
      </c>
      <c r="D89" s="1295" t="s">
        <v>1930</v>
      </c>
      <c r="E89" s="1295"/>
      <c r="F89" s="1295"/>
      <c r="I89" s="524" t="s">
        <v>2077</v>
      </c>
    </row>
    <row r="90" spans="1:9">
      <c r="A90" s="518"/>
      <c r="B90" s="518"/>
      <c r="D90" s="1295"/>
      <c r="E90" s="1295"/>
      <c r="F90" s="1295"/>
      <c r="I90" s="524"/>
    </row>
    <row r="91" spans="1:9">
      <c r="A91" s="518"/>
      <c r="B91" s="518"/>
      <c r="D91" s="479"/>
      <c r="E91" s="479"/>
      <c r="F91" s="479"/>
      <c r="I91" s="524"/>
    </row>
    <row r="92" spans="1:9">
      <c r="A92" s="518"/>
      <c r="B92" s="519" t="s">
        <v>2781</v>
      </c>
      <c r="D92" s="1295" t="s">
        <v>1933</v>
      </c>
      <c r="E92" s="1295"/>
      <c r="F92" s="1295"/>
      <c r="I92" s="524" t="s">
        <v>2078</v>
      </c>
    </row>
    <row r="93" spans="1:9">
      <c r="A93" s="518"/>
      <c r="B93" s="518"/>
      <c r="D93" s="1295"/>
      <c r="E93" s="1295"/>
      <c r="F93" s="1295"/>
      <c r="I93" s="524"/>
    </row>
    <row r="94" spans="1:9">
      <c r="A94" s="518"/>
      <c r="B94" s="518"/>
      <c r="D94" s="1295"/>
      <c r="E94" s="1295"/>
      <c r="F94" s="1295"/>
      <c r="I94" s="524"/>
    </row>
    <row r="95" spans="1:9">
      <c r="A95" s="518"/>
      <c r="B95" s="518"/>
      <c r="D95" s="479"/>
      <c r="E95" s="479"/>
      <c r="F95" s="479"/>
      <c r="I95" s="524"/>
    </row>
    <row r="96" spans="1:9">
      <c r="A96" s="518"/>
      <c r="B96" s="519" t="s">
        <v>2781</v>
      </c>
      <c r="D96" s="1295" t="s">
        <v>1932</v>
      </c>
      <c r="E96" s="1295"/>
      <c r="F96" s="1295"/>
      <c r="I96" s="524" t="s">
        <v>2123</v>
      </c>
    </row>
    <row r="97" spans="1:9" s="1022" customFormat="1">
      <c r="A97" s="1020"/>
      <c r="B97" s="1020"/>
      <c r="C97" s="1021"/>
      <c r="D97" s="1295"/>
      <c r="E97" s="1295"/>
      <c r="F97" s="1295"/>
      <c r="I97" s="1257"/>
    </row>
    <row r="98" spans="1:9">
      <c r="A98" s="518"/>
      <c r="B98" s="518"/>
      <c r="D98" s="423"/>
      <c r="E98" s="336" t="s">
        <v>2222</v>
      </c>
      <c r="F98" s="479"/>
      <c r="I98" s="524"/>
    </row>
    <row r="99" spans="1:9">
      <c r="A99" s="518"/>
      <c r="B99" s="518"/>
      <c r="D99" s="416"/>
      <c r="E99" s="416"/>
      <c r="F99" s="416"/>
      <c r="I99" s="524"/>
    </row>
    <row r="100" spans="1:9">
      <c r="A100" s="518"/>
      <c r="B100" s="519" t="s">
        <v>2782</v>
      </c>
      <c r="D100" s="1295" t="s">
        <v>1931</v>
      </c>
      <c r="E100" s="1295"/>
      <c r="F100" s="1295"/>
      <c r="I100" s="524" t="s">
        <v>2079</v>
      </c>
    </row>
    <row r="101" spans="1:9">
      <c r="A101" s="518"/>
      <c r="B101" s="518"/>
      <c r="D101" s="1295"/>
      <c r="E101" s="1295"/>
      <c r="F101" s="1295"/>
      <c r="I101" s="524"/>
    </row>
    <row r="102" spans="1:9">
      <c r="A102" s="518"/>
      <c r="B102" s="518"/>
      <c r="D102" s="479"/>
      <c r="E102" s="479"/>
      <c r="F102" s="479"/>
      <c r="I102" s="524"/>
    </row>
    <row r="103" spans="1:9" ht="14.65" customHeight="1">
      <c r="A103" s="518"/>
      <c r="B103" s="519" t="s">
        <v>2782</v>
      </c>
      <c r="D103" s="1295" t="s">
        <v>1300</v>
      </c>
      <c r="E103" s="1295"/>
      <c r="F103" s="1295"/>
      <c r="I103" s="524" t="s">
        <v>2080</v>
      </c>
    </row>
    <row r="104" spans="1:9">
      <c r="A104" s="518"/>
      <c r="B104" s="518"/>
      <c r="D104" s="1295"/>
      <c r="E104" s="1295"/>
      <c r="F104" s="1295"/>
      <c r="I104" s="524"/>
    </row>
    <row r="105" spans="1:9">
      <c r="A105" s="518"/>
      <c r="B105" s="518"/>
      <c r="D105" s="1295"/>
      <c r="E105" s="1295"/>
      <c r="F105" s="1295"/>
      <c r="I105" s="524"/>
    </row>
    <row r="106" spans="1:9">
      <c r="A106" s="518"/>
      <c r="B106" s="518"/>
      <c r="D106" s="1295"/>
      <c r="E106" s="1295"/>
      <c r="F106" s="1295"/>
      <c r="I106" s="524"/>
    </row>
    <row r="107" spans="1:9">
      <c r="A107" s="518"/>
      <c r="B107" s="518"/>
      <c r="D107" s="1295"/>
      <c r="E107" s="1295"/>
      <c r="F107" s="1295"/>
      <c r="I107" s="524"/>
    </row>
    <row r="108" spans="1:9">
      <c r="A108" s="518"/>
      <c r="B108" s="518"/>
      <c r="D108" s="1295"/>
      <c r="E108" s="1295"/>
      <c r="F108" s="1295"/>
      <c r="I108" s="524"/>
    </row>
    <row r="109" spans="1:9">
      <c r="A109" s="518"/>
      <c r="B109" s="518"/>
      <c r="D109" s="1295"/>
      <c r="E109" s="1295"/>
      <c r="F109" s="1295"/>
      <c r="I109" s="524"/>
    </row>
    <row r="110" spans="1:9">
      <c r="A110" s="518"/>
      <c r="B110" s="518"/>
      <c r="D110" s="1295"/>
      <c r="E110" s="1295"/>
      <c r="F110" s="1295"/>
      <c r="I110" s="524"/>
    </row>
    <row r="111" spans="1:9">
      <c r="A111" s="518"/>
      <c r="B111" s="518"/>
      <c r="D111" s="1295"/>
      <c r="E111" s="1295"/>
      <c r="F111" s="1295"/>
      <c r="I111" s="524"/>
    </row>
    <row r="112" spans="1:9">
      <c r="A112" s="518"/>
      <c r="B112" s="518"/>
      <c r="D112" s="1295"/>
      <c r="E112" s="1295"/>
      <c r="F112" s="1295"/>
      <c r="I112" s="524"/>
    </row>
    <row r="113" spans="1:9">
      <c r="A113" s="518"/>
      <c r="B113" s="518"/>
      <c r="D113" s="1295"/>
      <c r="E113" s="1295"/>
      <c r="F113" s="1295"/>
      <c r="I113" s="524"/>
    </row>
    <row r="114" spans="1:9">
      <c r="A114" s="518"/>
      <c r="B114" s="518"/>
      <c r="D114" s="1295"/>
      <c r="E114" s="1295"/>
      <c r="F114" s="1295"/>
      <c r="I114" s="524"/>
    </row>
    <row r="115" spans="1:9">
      <c r="A115" s="518"/>
      <c r="B115" s="518"/>
      <c r="D115" s="1295"/>
      <c r="E115" s="1295"/>
      <c r="F115" s="1295"/>
      <c r="I115" s="524"/>
    </row>
    <row r="116" spans="1:9">
      <c r="A116" s="518"/>
      <c r="B116" s="518"/>
      <c r="D116" s="1295"/>
      <c r="E116" s="1295"/>
      <c r="F116" s="1295"/>
      <c r="I116" s="524"/>
    </row>
    <row r="117" spans="1:9">
      <c r="A117" s="518"/>
      <c r="B117" s="518"/>
      <c r="D117" s="1295"/>
      <c r="E117" s="1295"/>
      <c r="F117" s="1295"/>
      <c r="I117" s="524"/>
    </row>
    <row r="118" spans="1:9">
      <c r="A118" s="518"/>
      <c r="B118" s="518"/>
      <c r="D118" s="558"/>
      <c r="E118" s="558"/>
      <c r="F118" s="558"/>
      <c r="I118" s="524"/>
    </row>
    <row r="119" spans="1:9" ht="14.25" customHeight="1">
      <c r="A119" s="518"/>
      <c r="B119" s="519" t="s">
        <v>2782</v>
      </c>
      <c r="D119" s="1306" t="s">
        <v>1171</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2781</v>
      </c>
      <c r="C128" s="433"/>
      <c r="D128" s="1306" t="s">
        <v>2362</v>
      </c>
      <c r="E128" s="1306"/>
      <c r="F128" s="1306"/>
      <c r="I128" s="524" t="s">
        <v>2081</v>
      </c>
    </row>
    <row r="129" spans="1:9">
      <c r="A129" s="518"/>
      <c r="B129" s="518"/>
      <c r="C129" s="433"/>
      <c r="D129" s="1306"/>
      <c r="E129" s="1306"/>
      <c r="F129" s="1306"/>
      <c r="I129" s="524"/>
    </row>
    <row r="130" spans="1:9">
      <c r="I130" s="524"/>
    </row>
    <row r="131" spans="1:9">
      <c r="A131" s="518"/>
      <c r="B131" s="519" t="s">
        <v>2781</v>
      </c>
      <c r="D131" s="1295" t="s">
        <v>1174</v>
      </c>
      <c r="E131" s="1295"/>
      <c r="F131" s="1295"/>
      <c r="I131" s="524" t="s">
        <v>2081</v>
      </c>
    </row>
    <row r="132" spans="1:9">
      <c r="D132" s="1295"/>
      <c r="E132" s="1295"/>
      <c r="F132" s="1295"/>
      <c r="I132" s="524"/>
    </row>
    <row r="133" spans="1:9">
      <c r="D133" s="1295"/>
      <c r="E133" s="1295"/>
      <c r="F133" s="1295"/>
      <c r="I133" s="524"/>
    </row>
    <row r="134" spans="1:9">
      <c r="D134" s="1295"/>
      <c r="E134" s="1295"/>
      <c r="F134" s="1295"/>
      <c r="I134" s="524"/>
    </row>
    <row r="135" spans="1:9">
      <c r="D135" s="1295"/>
      <c r="E135" s="1295"/>
      <c r="F135" s="1295"/>
      <c r="I135" s="524"/>
    </row>
    <row r="136" spans="1:9">
      <c r="I136" s="524"/>
    </row>
    <row r="137" spans="1:9">
      <c r="A137" s="518"/>
      <c r="B137" s="519" t="s">
        <v>2781</v>
      </c>
      <c r="D137" s="1295" t="s">
        <v>1175</v>
      </c>
      <c r="E137" s="1295"/>
      <c r="F137" s="1295"/>
      <c r="I137" s="524" t="s">
        <v>2082</v>
      </c>
    </row>
    <row r="138" spans="1:9" s="448" customFormat="1" ht="13.9" customHeight="1">
      <c r="A138" s="522"/>
      <c r="B138" s="522"/>
      <c r="C138" s="522"/>
      <c r="D138" s="1295"/>
      <c r="E138" s="1295"/>
      <c r="F138" s="1295"/>
      <c r="I138" s="1258"/>
    </row>
    <row r="139" spans="1:9" ht="13.9" customHeight="1">
      <c r="D139" s="1295"/>
      <c r="E139" s="1295"/>
      <c r="F139" s="1295"/>
      <c r="I139" s="524"/>
    </row>
    <row r="140" spans="1:9" ht="13.9" customHeight="1">
      <c r="D140" s="1295"/>
      <c r="E140" s="1295"/>
      <c r="F140" s="1295"/>
      <c r="I140" s="524"/>
    </row>
    <row r="141" spans="1:9" ht="13.9" customHeight="1">
      <c r="D141" s="1295"/>
      <c r="E141" s="1295"/>
      <c r="F141" s="1295"/>
      <c r="I141" s="524"/>
    </row>
    <row r="142" spans="1:9" ht="13.9" customHeight="1">
      <c r="A142" s="523"/>
      <c r="B142" s="523"/>
      <c r="D142" s="1295"/>
      <c r="E142" s="1295"/>
      <c r="F142" s="1295"/>
      <c r="I142" s="524"/>
    </row>
    <row r="143" spans="1:9" ht="13.9" customHeight="1">
      <c r="D143" s="1295"/>
      <c r="E143" s="1295"/>
      <c r="F143" s="1295"/>
      <c r="I143" s="524"/>
    </row>
    <row r="144" spans="1:9" ht="13.9" customHeight="1">
      <c r="D144" s="1295"/>
      <c r="E144" s="1295"/>
      <c r="F144" s="1295"/>
      <c r="I144" s="524"/>
    </row>
    <row r="145" spans="2:9" ht="13.9" customHeight="1">
      <c r="D145" s="1295"/>
      <c r="E145" s="1295"/>
      <c r="F145" s="1295"/>
      <c r="I145" s="524"/>
    </row>
    <row r="146" spans="2:9" ht="13.9" customHeight="1">
      <c r="D146" s="1295"/>
      <c r="E146" s="1295"/>
      <c r="F146" s="1295"/>
      <c r="I146" s="524"/>
    </row>
    <row r="147" spans="2:9" ht="13.9" customHeight="1">
      <c r="D147" s="1295"/>
      <c r="E147" s="1295"/>
      <c r="F147" s="1295"/>
      <c r="I147" s="524"/>
    </row>
    <row r="148" spans="2:9" ht="13.9" customHeight="1">
      <c r="D148" s="1295"/>
      <c r="E148" s="1295"/>
      <c r="F148" s="1295"/>
      <c r="I148" s="524"/>
    </row>
    <row r="149" spans="2:9" ht="13.9" customHeight="1">
      <c r="D149" s="1295"/>
      <c r="E149" s="1295"/>
      <c r="F149" s="1295"/>
      <c r="I149" s="524"/>
    </row>
    <row r="150" spans="2:9" ht="13.9" customHeight="1">
      <c r="D150" s="510"/>
      <c r="E150" s="480"/>
      <c r="F150" s="480"/>
      <c r="I150" s="524"/>
    </row>
    <row r="151" spans="2:9" ht="13.9" customHeight="1">
      <c r="B151" s="519" t="s">
        <v>2782</v>
      </c>
      <c r="D151" s="1295" t="s">
        <v>1283</v>
      </c>
      <c r="E151" s="1295"/>
      <c r="F151" s="1295"/>
      <c r="I151" s="524" t="s">
        <v>2083</v>
      </c>
    </row>
    <row r="152" spans="2:9" ht="13.9" customHeight="1">
      <c r="D152" s="1295"/>
      <c r="E152" s="1295"/>
      <c r="F152" s="1295"/>
      <c r="I152" s="524"/>
    </row>
    <row r="153" spans="2:9" ht="13.9" customHeight="1">
      <c r="D153" s="1295"/>
      <c r="E153" s="1295"/>
      <c r="F153" s="1295"/>
      <c r="I153" s="524"/>
    </row>
    <row r="154" spans="2:9" ht="13.9" customHeight="1">
      <c r="D154" s="1295"/>
      <c r="E154" s="1295"/>
      <c r="F154" s="1295"/>
      <c r="I154" s="524"/>
    </row>
    <row r="155" spans="2:9" ht="13.9" customHeight="1">
      <c r="D155" s="1295"/>
      <c r="E155" s="1295"/>
      <c r="F155" s="1295"/>
      <c r="I155" s="524"/>
    </row>
    <row r="156" spans="2:9" ht="13.9" customHeight="1">
      <c r="D156" s="1295"/>
      <c r="E156" s="1295"/>
      <c r="F156" s="1295"/>
      <c r="I156" s="524"/>
    </row>
    <row r="157" spans="2:9" ht="13.9" customHeight="1">
      <c r="D157" s="1295"/>
      <c r="E157" s="1295"/>
      <c r="F157" s="1295"/>
      <c r="I157" s="524"/>
    </row>
    <row r="158" spans="2:9" ht="13.9" customHeight="1">
      <c r="D158" s="1295"/>
      <c r="E158" s="1295"/>
      <c r="F158" s="1295"/>
      <c r="I158" s="524"/>
    </row>
    <row r="159" spans="2:9" ht="13.9" customHeight="1">
      <c r="D159" s="1295"/>
      <c r="E159" s="1295"/>
      <c r="F159" s="1295"/>
      <c r="I159" s="524"/>
    </row>
    <row r="160" spans="2:9" ht="13.9" customHeight="1">
      <c r="D160" s="1295"/>
      <c r="E160" s="1295"/>
      <c r="F160" s="1295"/>
      <c r="I160" s="524"/>
    </row>
    <row r="161" spans="1:9" ht="13.9" customHeight="1">
      <c r="D161" s="1295"/>
      <c r="E161" s="1295"/>
      <c r="F161" s="1295"/>
      <c r="I161" s="524"/>
    </row>
    <row r="162" spans="1:9" ht="13.9" customHeight="1">
      <c r="D162" s="1295"/>
      <c r="E162" s="1295"/>
      <c r="F162" s="1295"/>
      <c r="I162" s="524"/>
    </row>
    <row r="163" spans="1:9" ht="13.9" customHeight="1">
      <c r="D163" s="1295"/>
      <c r="E163" s="1295"/>
      <c r="F163" s="1295"/>
      <c r="I163" s="524"/>
    </row>
    <row r="164" spans="1:9" ht="13.9" customHeight="1">
      <c r="D164" s="1295"/>
      <c r="E164" s="1295"/>
      <c r="F164" s="1295"/>
      <c r="I164" s="524"/>
    </row>
    <row r="165" spans="1:9" ht="13.9" customHeight="1">
      <c r="D165" s="1295"/>
      <c r="E165" s="1295"/>
      <c r="F165" s="1295"/>
      <c r="I165" s="524"/>
    </row>
    <row r="166" spans="1:9" ht="13.9" customHeight="1">
      <c r="D166" s="1295"/>
      <c r="E166" s="1295"/>
      <c r="F166" s="1295"/>
      <c r="I166" s="524"/>
    </row>
    <row r="167" spans="1:9" ht="13.9" customHeight="1">
      <c r="D167" s="1295"/>
      <c r="E167" s="1295"/>
      <c r="F167" s="1295"/>
      <c r="I167" s="524"/>
    </row>
    <row r="168" spans="1:9" ht="13.9" customHeight="1">
      <c r="D168" s="1295"/>
      <c r="E168" s="1295"/>
      <c r="F168" s="1295"/>
      <c r="I168" s="524"/>
    </row>
    <row r="169" spans="1:9" ht="13.9" customHeight="1">
      <c r="D169" s="1340" t="s">
        <v>2386</v>
      </c>
      <c r="E169" s="1340"/>
      <c r="F169" s="1340"/>
      <c r="G169" s="541"/>
      <c r="I169" s="524"/>
    </row>
    <row r="170" spans="1:9" ht="13.9" customHeight="1">
      <c r="D170" s="1281"/>
      <c r="E170" s="1281"/>
      <c r="F170" s="1281"/>
      <c r="G170" s="1281"/>
      <c r="I170" s="524"/>
    </row>
    <row r="171" spans="1:9" ht="14.65" customHeight="1">
      <c r="A171" s="523"/>
      <c r="B171" s="519" t="s">
        <v>2781</v>
      </c>
      <c r="C171" s="510"/>
      <c r="D171" s="1277" t="s">
        <v>2574</v>
      </c>
      <c r="E171" s="1277"/>
      <c r="F171" s="1277"/>
      <c r="G171" s="510"/>
      <c r="I171" s="524" t="s">
        <v>2078</v>
      </c>
    </row>
    <row r="172" spans="1:9" ht="14.65" customHeight="1">
      <c r="A172" s="523"/>
      <c r="B172" s="523"/>
      <c r="C172" s="510"/>
      <c r="D172" s="1277"/>
      <c r="E172" s="1277"/>
      <c r="F172" s="1277"/>
      <c r="G172" s="510"/>
      <c r="I172" s="524"/>
    </row>
    <row r="173" spans="1:9" ht="14.65" customHeight="1">
      <c r="A173" s="523"/>
      <c r="B173" s="523"/>
      <c r="C173" s="510"/>
      <c r="D173" s="1277"/>
      <c r="E173" s="1277"/>
      <c r="F173" s="1277"/>
      <c r="G173" s="510"/>
      <c r="I173" s="524"/>
    </row>
    <row r="174" spans="1:9" ht="14.65" customHeight="1">
      <c r="A174" s="523"/>
      <c r="B174" s="523"/>
      <c r="C174" s="510"/>
      <c r="D174" s="1277"/>
      <c r="E174" s="1277"/>
      <c r="F174" s="1277"/>
      <c r="G174" s="510"/>
      <c r="I174" s="524"/>
    </row>
    <row r="175" spans="1:9" ht="13.9" customHeight="1">
      <c r="A175" s="523"/>
      <c r="B175" s="523"/>
      <c r="C175" s="510"/>
      <c r="D175" s="1277"/>
      <c r="E175" s="1277"/>
      <c r="F175" s="1277"/>
      <c r="G175" s="510"/>
      <c r="I175" s="524"/>
    </row>
    <row r="176" spans="1:9" ht="13.9" customHeight="1">
      <c r="A176" s="523"/>
      <c r="B176" s="523"/>
      <c r="C176" s="510"/>
      <c r="D176" s="510"/>
      <c r="E176" s="510"/>
      <c r="F176" s="510"/>
      <c r="G176" s="510"/>
      <c r="I176" s="524"/>
    </row>
    <row r="177" spans="1:9" ht="13.9" customHeight="1">
      <c r="A177" s="523"/>
      <c r="B177" s="519" t="s">
        <v>2782</v>
      </c>
      <c r="C177" s="510"/>
      <c r="D177" s="1277" t="s">
        <v>1177</v>
      </c>
      <c r="E177" s="1277"/>
      <c r="F177" s="1277"/>
      <c r="G177" s="510"/>
      <c r="I177" s="524" t="s">
        <v>2084</v>
      </c>
    </row>
    <row r="178" spans="1:9" ht="13.9" customHeight="1">
      <c r="A178" s="523"/>
      <c r="B178" s="523"/>
      <c r="C178" s="510"/>
      <c r="D178" s="1277"/>
      <c r="E178" s="1277"/>
      <c r="F178" s="1277"/>
      <c r="G178" s="510"/>
      <c r="I178" s="524"/>
    </row>
    <row r="179" spans="1:9" ht="13.9" customHeight="1">
      <c r="A179" s="523"/>
      <c r="B179" s="523"/>
      <c r="C179" s="510"/>
      <c r="D179" s="1277"/>
      <c r="E179" s="1277"/>
      <c r="F179" s="1277"/>
      <c r="G179" s="510"/>
      <c r="I179" s="524"/>
    </row>
    <row r="180" spans="1:9" ht="13.9" customHeight="1">
      <c r="A180" s="523"/>
      <c r="B180" s="523"/>
      <c r="C180" s="510"/>
      <c r="D180" s="1277"/>
      <c r="E180" s="1277"/>
      <c r="F180" s="1277"/>
      <c r="G180" s="510"/>
      <c r="I180" s="524"/>
    </row>
    <row r="181" spans="1:9" ht="13.9" customHeight="1">
      <c r="D181" s="480"/>
      <c r="E181" s="480"/>
      <c r="F181" s="480"/>
      <c r="I181" s="524"/>
    </row>
    <row r="182" spans="1:9" ht="13.9" customHeight="1">
      <c r="B182" s="519" t="s">
        <v>2782</v>
      </c>
      <c r="D182" s="1282" t="s">
        <v>2363</v>
      </c>
      <c r="E182" s="1282"/>
      <c r="F182" s="1282"/>
      <c r="I182" s="524" t="s">
        <v>2085</v>
      </c>
    </row>
    <row r="183" spans="1:9" ht="13.9" customHeight="1">
      <c r="D183" s="1282"/>
      <c r="E183" s="1282"/>
      <c r="F183" s="1282"/>
      <c r="I183" s="524"/>
    </row>
    <row r="184" spans="1:9" ht="13.9" customHeight="1">
      <c r="D184" s="1282"/>
      <c r="E184" s="1282"/>
      <c r="F184" s="1282"/>
      <c r="I184" s="524"/>
    </row>
    <row r="185" spans="1:9" ht="13.9" customHeight="1">
      <c r="A185" s="524"/>
      <c r="B185" s="524"/>
      <c r="E185" s="480"/>
      <c r="F185" s="480"/>
      <c r="I185" s="524"/>
    </row>
    <row r="186" spans="1:9">
      <c r="A186" s="1283" t="s">
        <v>2364</v>
      </c>
      <c r="B186" s="1283"/>
      <c r="C186" s="1283"/>
      <c r="D186" s="1283"/>
      <c r="E186" s="1283"/>
      <c r="F186" s="1283"/>
      <c r="G186" s="1283"/>
      <c r="H186" s="1063"/>
      <c r="I186" s="1256"/>
    </row>
    <row r="187" spans="1:9" ht="12" customHeight="1">
      <c r="D187" s="480"/>
      <c r="E187" s="480"/>
      <c r="F187" s="480"/>
      <c r="I187" s="524"/>
    </row>
    <row r="188" spans="1:9">
      <c r="B188" s="1298" t="s">
        <v>448</v>
      </c>
      <c r="C188" s="1298"/>
      <c r="D188" s="1298"/>
      <c r="E188" s="1298"/>
      <c r="F188" s="1298"/>
      <c r="I188" s="524"/>
    </row>
    <row r="189" spans="1:9">
      <c r="B189" s="423" t="s">
        <v>2064</v>
      </c>
      <c r="C189" s="423"/>
      <c r="D189" s="423"/>
      <c r="E189" s="423"/>
      <c r="F189" s="423"/>
      <c r="I189" s="524"/>
    </row>
    <row r="190" spans="1:9" ht="12" customHeight="1">
      <c r="A190" s="516"/>
      <c r="B190" s="516"/>
      <c r="C190" s="516"/>
      <c r="I190" s="524"/>
    </row>
    <row r="191" spans="1:9">
      <c r="A191" s="1283" t="s">
        <v>1073</v>
      </c>
      <c r="B191" s="1283"/>
      <c r="C191" s="1283"/>
      <c r="D191" s="1283"/>
      <c r="E191" s="1283"/>
      <c r="F191" s="1283"/>
      <c r="G191" s="1283"/>
      <c r="H191" s="1063"/>
      <c r="I191" s="1256"/>
    </row>
    <row r="192" spans="1:9" ht="12" customHeight="1">
      <c r="A192" s="435"/>
      <c r="B192" s="435"/>
      <c r="E192" s="435"/>
      <c r="I192" s="524"/>
    </row>
    <row r="193" spans="1:9" ht="13.9" customHeight="1">
      <c r="A193" s="435"/>
      <c r="B193" s="435"/>
      <c r="D193" s="1297" t="s">
        <v>1934</v>
      </c>
      <c r="E193" s="1297"/>
      <c r="F193" s="1297"/>
      <c r="I193" s="524"/>
    </row>
    <row r="194" spans="1:9">
      <c r="A194" s="435"/>
      <c r="B194" s="435"/>
      <c r="D194" s="1297"/>
      <c r="E194" s="1297"/>
      <c r="F194" s="1297"/>
      <c r="I194" s="524"/>
    </row>
    <row r="195" spans="1:9">
      <c r="A195" s="435"/>
      <c r="B195" s="435"/>
      <c r="D195" s="1298" t="s">
        <v>1301</v>
      </c>
      <c r="E195" s="1298"/>
      <c r="F195" s="1298"/>
      <c r="I195" s="524"/>
    </row>
    <row r="196" spans="1:9">
      <c r="A196" s="435"/>
      <c r="B196" s="435"/>
      <c r="D196" s="423"/>
      <c r="E196" s="423"/>
      <c r="F196" s="423"/>
      <c r="I196" s="524"/>
    </row>
    <row r="197" spans="1:9">
      <c r="A197" s="435"/>
      <c r="B197" s="519" t="s">
        <v>2781</v>
      </c>
      <c r="D197" s="1279" t="s">
        <v>1935</v>
      </c>
      <c r="E197" s="1279"/>
      <c r="F197" s="1279"/>
      <c r="I197" s="524" t="s">
        <v>2134</v>
      </c>
    </row>
    <row r="198" spans="1:9">
      <c r="A198" s="435"/>
      <c r="B198" s="435"/>
      <c r="D198" s="1311" t="s">
        <v>2200</v>
      </c>
      <c r="E198" s="1311"/>
      <c r="F198" s="1311"/>
      <c r="I198" s="524"/>
    </row>
    <row r="199" spans="1:9">
      <c r="A199" s="435"/>
      <c r="B199" s="435"/>
      <c r="D199" s="96" t="s">
        <v>1936</v>
      </c>
      <c r="E199" s="1343" t="s">
        <v>2223</v>
      </c>
      <c r="F199" s="1343"/>
      <c r="I199" s="524"/>
    </row>
    <row r="200" spans="1:9">
      <c r="A200" s="435"/>
      <c r="B200" s="435"/>
      <c r="D200" s="3"/>
      <c r="E200" s="3"/>
      <c r="F200" s="3"/>
      <c r="I200" s="524"/>
    </row>
    <row r="201" spans="1:9">
      <c r="A201" s="435"/>
      <c r="B201" s="519" t="s">
        <v>2782</v>
      </c>
      <c r="D201" s="1311" t="s">
        <v>1937</v>
      </c>
      <c r="E201" s="1311"/>
      <c r="F201" s="1311"/>
      <c r="I201" s="524" t="s">
        <v>2135</v>
      </c>
    </row>
    <row r="202" spans="1:9">
      <c r="A202" s="435"/>
      <c r="B202" s="435"/>
      <c r="D202" s="1279" t="s">
        <v>2200</v>
      </c>
      <c r="E202" s="1279"/>
      <c r="F202" s="1279"/>
      <c r="I202" s="524"/>
    </row>
    <row r="203" spans="1:9">
      <c r="A203" s="435"/>
      <c r="B203" s="435"/>
      <c r="D203" s="57" t="s">
        <v>1938</v>
      </c>
      <c r="E203" s="1343" t="s">
        <v>2224</v>
      </c>
      <c r="F203" s="1343"/>
      <c r="I203" s="524"/>
    </row>
    <row r="204" spans="1:9">
      <c r="A204" s="435"/>
      <c r="B204" s="435"/>
      <c r="D204" s="3"/>
      <c r="E204" s="3"/>
      <c r="F204" s="3"/>
      <c r="I204" s="524"/>
    </row>
    <row r="205" spans="1:9">
      <c r="A205" s="435"/>
      <c r="B205" s="519" t="s">
        <v>2782</v>
      </c>
      <c r="D205" s="1311" t="s">
        <v>1939</v>
      </c>
      <c r="E205" s="1311"/>
      <c r="F205" s="1311"/>
      <c r="I205" s="524" t="s">
        <v>2136</v>
      </c>
    </row>
    <row r="206" spans="1:9">
      <c r="A206" s="435"/>
      <c r="B206" s="435"/>
      <c r="D206" s="1279" t="s">
        <v>2200</v>
      </c>
      <c r="E206" s="1279"/>
      <c r="F206" s="1279"/>
      <c r="I206" s="524"/>
    </row>
    <row r="207" spans="1:9">
      <c r="A207" s="435"/>
      <c r="B207" s="435"/>
      <c r="D207" s="57" t="s">
        <v>1936</v>
      </c>
      <c r="E207" s="1343" t="s">
        <v>2225</v>
      </c>
      <c r="F207" s="1343"/>
      <c r="I207" s="524"/>
    </row>
    <row r="208" spans="1:9">
      <c r="A208" s="435"/>
      <c r="B208" s="435"/>
      <c r="D208" s="423"/>
      <c r="E208" s="423"/>
      <c r="F208" s="423"/>
      <c r="I208" s="524"/>
    </row>
    <row r="209" spans="1:9" ht="14.25" customHeight="1">
      <c r="A209" s="518"/>
      <c r="B209" s="519" t="s">
        <v>2782</v>
      </c>
      <c r="D209" s="417" t="s">
        <v>2193</v>
      </c>
      <c r="E209" s="416"/>
      <c r="F209" s="416"/>
      <c r="I209" s="524" t="s">
        <v>2137</v>
      </c>
    </row>
    <row r="210" spans="1:9">
      <c r="A210" s="518"/>
      <c r="B210" s="518"/>
      <c r="D210" s="1279" t="s">
        <v>2200</v>
      </c>
      <c r="E210" s="1279"/>
      <c r="F210" s="1279"/>
      <c r="I210" s="524"/>
    </row>
    <row r="211" spans="1:9">
      <c r="D211" s="416"/>
      <c r="E211" s="1343" t="s">
        <v>2226</v>
      </c>
      <c r="F211" s="1343"/>
      <c r="I211" s="524"/>
    </row>
    <row r="212" spans="1:9">
      <c r="D212" s="481"/>
      <c r="I212" s="524"/>
    </row>
    <row r="213" spans="1:9">
      <c r="B213" s="519" t="s">
        <v>2782</v>
      </c>
      <c r="D213" s="1311" t="s">
        <v>1940</v>
      </c>
      <c r="E213" s="1311"/>
      <c r="F213" s="1311"/>
      <c r="I213" s="524" t="s">
        <v>2138</v>
      </c>
    </row>
    <row r="214" spans="1:9">
      <c r="D214" s="1279" t="s">
        <v>2200</v>
      </c>
      <c r="E214" s="1279"/>
      <c r="F214" s="1279"/>
      <c r="I214" s="524"/>
    </row>
    <row r="215" spans="1:9">
      <c r="D215" s="57" t="s">
        <v>1936</v>
      </c>
      <c r="E215" s="1343" t="s">
        <v>2227</v>
      </c>
      <c r="F215" s="1343"/>
      <c r="I215" s="524"/>
    </row>
    <row r="216" spans="1:9">
      <c r="D216" s="485"/>
      <c r="E216" s="485"/>
      <c r="F216" s="485"/>
      <c r="I216" s="524"/>
    </row>
    <row r="217" spans="1:9">
      <c r="A217" s="518"/>
      <c r="B217" s="519" t="s">
        <v>2782</v>
      </c>
      <c r="D217" s="1295" t="s">
        <v>1322</v>
      </c>
      <c r="E217" s="1295"/>
      <c r="F217" s="1295"/>
      <c r="I217" s="524"/>
    </row>
    <row r="218" spans="1:9" ht="14.65" customHeight="1">
      <c r="A218" s="518"/>
      <c r="B218" s="433"/>
      <c r="D218" s="1295"/>
      <c r="E218" s="1295"/>
      <c r="F218" s="1295"/>
      <c r="I218" s="524"/>
    </row>
    <row r="219" spans="1:9">
      <c r="A219" s="518"/>
      <c r="D219" s="1295"/>
      <c r="E219" s="1295"/>
      <c r="F219" s="1295"/>
      <c r="I219" s="524"/>
    </row>
    <row r="220" spans="1:9">
      <c r="A220" s="518"/>
      <c r="D220" s="1295"/>
      <c r="E220" s="1295"/>
      <c r="F220" s="1295"/>
      <c r="I220" s="524"/>
    </row>
    <row r="221" spans="1:9">
      <c r="D221" s="485"/>
      <c r="E221" s="485"/>
      <c r="F221" s="485"/>
      <c r="I221" s="524"/>
    </row>
    <row r="222" spans="1:9">
      <c r="A222" s="1283" t="s">
        <v>1074</v>
      </c>
      <c r="B222" s="1283"/>
      <c r="C222" s="1283"/>
      <c r="D222" s="1283"/>
      <c r="E222" s="1283"/>
      <c r="F222" s="1283"/>
      <c r="G222" s="1283"/>
      <c r="H222" s="1063"/>
      <c r="I222" s="1256"/>
    </row>
    <row r="223" spans="1:9" ht="12" customHeight="1">
      <c r="D223" s="480"/>
      <c r="E223" s="480"/>
      <c r="F223" s="480"/>
      <c r="I223" s="524"/>
    </row>
    <row r="224" spans="1:9">
      <c r="C224" s="520"/>
      <c r="D224" s="1294" t="s">
        <v>209</v>
      </c>
      <c r="E224" s="1294"/>
      <c r="F224" s="1294"/>
      <c r="I224" s="524"/>
    </row>
    <row r="225" spans="1:9">
      <c r="A225" s="516"/>
      <c r="B225" s="516"/>
      <c r="C225" s="516"/>
      <c r="D225" s="1296" t="s">
        <v>1203</v>
      </c>
      <c r="E225" s="1296"/>
      <c r="F225" s="1296"/>
      <c r="I225" s="524"/>
    </row>
    <row r="226" spans="1:9" ht="12" customHeight="1">
      <c r="A226" s="524"/>
      <c r="B226" s="524"/>
      <c r="C226" s="524"/>
      <c r="I226" s="524"/>
    </row>
    <row r="227" spans="1:9" ht="13.9" customHeight="1">
      <c r="A227" s="524"/>
      <c r="C227" s="524"/>
      <c r="D227" s="1294" t="s">
        <v>554</v>
      </c>
      <c r="E227" s="1294"/>
      <c r="F227" s="1294"/>
      <c r="I227" s="524" t="s">
        <v>2086</v>
      </c>
    </row>
    <row r="228" spans="1:9">
      <c r="A228" s="518"/>
      <c r="B228" s="519" t="s">
        <v>2781</v>
      </c>
      <c r="D228" s="1295" t="s">
        <v>1941</v>
      </c>
      <c r="E228" s="1295"/>
      <c r="F228" s="1295"/>
      <c r="I228" s="524"/>
    </row>
    <row r="229" spans="1:9" ht="14.25" customHeight="1">
      <c r="A229" s="518"/>
      <c r="B229" s="518"/>
      <c r="D229" s="1295"/>
      <c r="E229" s="1295"/>
      <c r="F229" s="1295"/>
      <c r="I229" s="524"/>
    </row>
    <row r="230" spans="1:9" ht="14.25" customHeight="1">
      <c r="A230" s="518"/>
      <c r="B230" s="518"/>
      <c r="D230" s="1295"/>
      <c r="E230" s="1295"/>
      <c r="F230" s="1295"/>
      <c r="I230" s="524"/>
    </row>
    <row r="231" spans="1:9">
      <c r="A231" s="518"/>
      <c r="B231" s="518"/>
      <c r="D231" s="1295"/>
      <c r="E231" s="1295"/>
      <c r="F231" s="1295"/>
      <c r="I231" s="524"/>
    </row>
    <row r="232" spans="1:9">
      <c r="A232" s="518"/>
      <c r="B232" s="518"/>
      <c r="D232" s="479"/>
      <c r="E232" s="479"/>
      <c r="F232" s="479"/>
      <c r="I232" s="524"/>
    </row>
    <row r="233" spans="1:9">
      <c r="A233" s="518"/>
      <c r="B233" s="519" t="s">
        <v>2781</v>
      </c>
      <c r="D233" s="1295" t="s">
        <v>1942</v>
      </c>
      <c r="E233" s="1295"/>
      <c r="F233" s="1295"/>
      <c r="I233" s="524" t="s">
        <v>2087</v>
      </c>
    </row>
    <row r="234" spans="1:9">
      <c r="A234" s="518"/>
      <c r="B234" s="518"/>
      <c r="D234" s="1295"/>
      <c r="E234" s="1295"/>
      <c r="F234" s="1295"/>
      <c r="I234" s="524"/>
    </row>
    <row r="235" spans="1:9">
      <c r="A235" s="518"/>
      <c r="B235" s="518"/>
      <c r="D235" s="1295"/>
      <c r="E235" s="1295"/>
      <c r="F235" s="1295"/>
      <c r="I235" s="524"/>
    </row>
    <row r="236" spans="1:9">
      <c r="A236" s="518"/>
      <c r="B236" s="518"/>
      <c r="D236" s="1295"/>
      <c r="E236" s="1295"/>
      <c r="F236" s="1295"/>
      <c r="I236" s="524"/>
    </row>
    <row r="237" spans="1:9" ht="14.25" customHeight="1">
      <c r="A237" s="518"/>
      <c r="B237" s="518"/>
      <c r="D237" s="1295"/>
      <c r="E237" s="1295"/>
      <c r="F237" s="1295"/>
      <c r="I237" s="524"/>
    </row>
    <row r="238" spans="1:9" ht="14.25" customHeight="1">
      <c r="A238" s="518"/>
      <c r="B238" s="518"/>
      <c r="D238" s="479"/>
      <c r="E238" s="479"/>
      <c r="F238" s="479"/>
      <c r="I238" s="524"/>
    </row>
    <row r="239" spans="1:9">
      <c r="A239" s="518"/>
      <c r="B239" s="518"/>
      <c r="D239" s="1295" t="s">
        <v>1199</v>
      </c>
      <c r="E239" s="1295"/>
      <c r="F239" s="1295"/>
      <c r="I239" s="524" t="s">
        <v>2086</v>
      </c>
    </row>
    <row r="240" spans="1:9">
      <c r="A240" s="518"/>
      <c r="B240" s="518"/>
      <c r="D240" s="1295"/>
      <c r="E240" s="1295"/>
      <c r="F240" s="1295"/>
      <c r="I240" s="524"/>
    </row>
    <row r="241" spans="1:9">
      <c r="A241" s="518"/>
      <c r="B241" s="518"/>
      <c r="D241" s="1295"/>
      <c r="E241" s="1295"/>
      <c r="F241" s="1295"/>
      <c r="I241" s="524"/>
    </row>
    <row r="242" spans="1:9">
      <c r="A242" s="518"/>
      <c r="B242" s="518"/>
      <c r="D242" s="1295"/>
      <c r="E242" s="1295"/>
      <c r="F242" s="1295"/>
      <c r="I242" s="524"/>
    </row>
    <row r="243" spans="1:9">
      <c r="A243" s="518"/>
      <c r="B243" s="518"/>
      <c r="D243" s="1295"/>
      <c r="E243" s="1295"/>
      <c r="F243" s="1295"/>
      <c r="I243" s="524"/>
    </row>
    <row r="244" spans="1:9">
      <c r="A244" s="518"/>
      <c r="B244" s="518"/>
      <c r="D244" s="480"/>
      <c r="E244" s="480"/>
      <c r="F244" s="480"/>
      <c r="I244" s="524"/>
    </row>
    <row r="245" spans="1:9">
      <c r="A245" s="518"/>
      <c r="B245" s="519" t="s">
        <v>2781</v>
      </c>
      <c r="D245" s="1295" t="s">
        <v>2365</v>
      </c>
      <c r="E245" s="1295"/>
      <c r="F245" s="1295"/>
      <c r="I245" s="524" t="s">
        <v>2125</v>
      </c>
    </row>
    <row r="246" spans="1:9">
      <c r="A246" s="518"/>
      <c r="B246" s="518"/>
      <c r="D246" s="1295"/>
      <c r="E246" s="1295"/>
      <c r="F246" s="1295"/>
      <c r="I246" s="524"/>
    </row>
    <row r="247" spans="1:9">
      <c r="A247" s="518"/>
      <c r="B247" s="518"/>
      <c r="D247" s="1295"/>
      <c r="E247" s="1295"/>
      <c r="F247" s="1295"/>
      <c r="I247" s="524"/>
    </row>
    <row r="248" spans="1:9">
      <c r="A248" s="518"/>
      <c r="B248" s="518"/>
      <c r="E248" s="1071" t="s">
        <v>2194</v>
      </c>
      <c r="I248" s="524"/>
    </row>
    <row r="249" spans="1:9">
      <c r="A249" s="518"/>
      <c r="B249" s="518"/>
      <c r="D249" s="480"/>
      <c r="E249" s="480"/>
      <c r="F249" s="480"/>
      <c r="I249" s="524"/>
    </row>
    <row r="250" spans="1:9" ht="14.65" customHeight="1">
      <c r="A250" s="518"/>
      <c r="B250" s="519" t="s">
        <v>2782</v>
      </c>
      <c r="D250" s="1295" t="s">
        <v>2366</v>
      </c>
      <c r="E250" s="1295"/>
      <c r="F250" s="1295"/>
      <c r="I250" s="524" t="s">
        <v>2143</v>
      </c>
    </row>
    <row r="251" spans="1:9">
      <c r="A251" s="518"/>
      <c r="B251" s="518"/>
      <c r="D251" s="1295"/>
      <c r="E251" s="1295"/>
      <c r="F251" s="1295"/>
      <c r="I251" s="524"/>
    </row>
    <row r="252" spans="1:9">
      <c r="A252" s="518"/>
      <c r="B252" s="518"/>
      <c r="D252" s="1295"/>
      <c r="E252" s="1295"/>
      <c r="F252" s="1295"/>
      <c r="I252" s="524"/>
    </row>
    <row r="253" spans="1:9">
      <c r="A253" s="518"/>
      <c r="B253" s="518"/>
      <c r="D253" s="1295"/>
      <c r="E253" s="1295"/>
      <c r="F253" s="1295"/>
      <c r="I253" s="524"/>
    </row>
    <row r="254" spans="1:9">
      <c r="A254" s="518"/>
      <c r="B254" s="518"/>
      <c r="D254" s="1295"/>
      <c r="E254" s="1295"/>
      <c r="F254" s="1295"/>
      <c r="I254" s="524"/>
    </row>
    <row r="255" spans="1:9">
      <c r="A255" s="518"/>
      <c r="B255" s="518"/>
      <c r="D255" s="479"/>
      <c r="E255" s="479"/>
      <c r="F255" s="479"/>
      <c r="I255" s="524"/>
    </row>
    <row r="256" spans="1:9">
      <c r="A256" s="518"/>
      <c r="B256" s="519" t="s">
        <v>2781</v>
      </c>
      <c r="D256" s="423" t="s">
        <v>2367</v>
      </c>
      <c r="E256" s="479"/>
      <c r="F256" s="479"/>
      <c r="I256" s="524" t="s">
        <v>2124</v>
      </c>
    </row>
    <row r="257" spans="1:9">
      <c r="A257" s="518"/>
      <c r="B257" s="518"/>
      <c r="E257" s="1071" t="s">
        <v>2195</v>
      </c>
      <c r="I257" s="524"/>
    </row>
    <row r="258" spans="1:9">
      <c r="D258" s="480"/>
      <c r="E258" s="480"/>
      <c r="F258" s="480"/>
      <c r="I258" s="524"/>
    </row>
    <row r="259" spans="1:9">
      <c r="A259" s="518"/>
      <c r="B259" s="519" t="s">
        <v>2781</v>
      </c>
      <c r="D259" s="1295" t="s">
        <v>1201</v>
      </c>
      <c r="E259" s="1295"/>
      <c r="F259" s="1295"/>
      <c r="I259" s="524"/>
    </row>
    <row r="260" spans="1:9">
      <c r="A260" s="518"/>
      <c r="B260" s="518"/>
      <c r="D260" s="1295"/>
      <c r="E260" s="1295"/>
      <c r="F260" s="1295"/>
      <c r="I260" s="524"/>
    </row>
    <row r="261" spans="1:9">
      <c r="D261" s="525"/>
      <c r="I261" s="524"/>
    </row>
    <row r="262" spans="1:9">
      <c r="A262" s="1283" t="s">
        <v>1075</v>
      </c>
      <c r="B262" s="1283"/>
      <c r="C262" s="1283"/>
      <c r="D262" s="1283"/>
      <c r="E262" s="1283"/>
      <c r="F262" s="1283"/>
      <c r="G262" s="1283"/>
      <c r="H262" s="1063"/>
      <c r="I262" s="1256"/>
    </row>
    <row r="263" spans="1:9">
      <c r="D263" s="525"/>
      <c r="I263" s="524"/>
    </row>
    <row r="264" spans="1:9">
      <c r="C264" s="520"/>
      <c r="D264" s="1294" t="s">
        <v>1204</v>
      </c>
      <c r="E264" s="1294"/>
      <c r="F264" s="1294"/>
      <c r="I264" s="524"/>
    </row>
    <row r="265" spans="1:9">
      <c r="A265" s="516"/>
      <c r="B265" s="516"/>
      <c r="C265" s="516"/>
      <c r="D265" s="480"/>
      <c r="E265" s="480"/>
      <c r="F265" s="480"/>
      <c r="I265" s="524"/>
    </row>
    <row r="266" spans="1:9">
      <c r="A266" s="517"/>
      <c r="B266" s="517"/>
      <c r="C266" s="517"/>
      <c r="D266" s="1294" t="s">
        <v>270</v>
      </c>
      <c r="E266" s="1294"/>
      <c r="F266" s="1294"/>
      <c r="I266" s="524" t="s">
        <v>2126</v>
      </c>
    </row>
    <row r="267" spans="1:9" ht="14.65" customHeight="1">
      <c r="A267" s="518"/>
      <c r="B267" s="519" t="s">
        <v>2781</v>
      </c>
      <c r="D267" s="1295" t="s">
        <v>1302</v>
      </c>
      <c r="E267" s="1295"/>
      <c r="F267" s="1295"/>
      <c r="I267" s="524"/>
    </row>
    <row r="268" spans="1:9">
      <c r="D268" s="1295"/>
      <c r="E268" s="1295"/>
      <c r="F268" s="1295"/>
      <c r="I268" s="524"/>
    </row>
    <row r="269" spans="1:9">
      <c r="E269" s="1071" t="s">
        <v>2196</v>
      </c>
      <c r="I269" s="524"/>
    </row>
    <row r="270" spans="1:9">
      <c r="D270" s="480"/>
      <c r="E270" s="480"/>
      <c r="F270" s="480"/>
      <c r="I270" s="524"/>
    </row>
    <row r="271" spans="1:9" ht="14.65" customHeight="1">
      <c r="A271" s="518"/>
      <c r="B271" s="519" t="s">
        <v>2782</v>
      </c>
      <c r="D271" s="1295" t="s">
        <v>2368</v>
      </c>
      <c r="E271" s="1295"/>
      <c r="F271" s="1295"/>
      <c r="I271" s="524" t="s">
        <v>2144</v>
      </c>
    </row>
    <row r="272" spans="1:9">
      <c r="D272" s="1295"/>
      <c r="E272" s="1295"/>
      <c r="F272" s="1295"/>
      <c r="I272" s="524"/>
    </row>
    <row r="273" spans="1:9">
      <c r="D273" s="1295"/>
      <c r="E273" s="1295"/>
      <c r="F273" s="1295"/>
      <c r="I273" s="524"/>
    </row>
    <row r="274" spans="1:9">
      <c r="D274" s="1295"/>
      <c r="E274" s="1295"/>
      <c r="F274" s="1295"/>
      <c r="I274" s="524"/>
    </row>
    <row r="275" spans="1:9">
      <c r="D275" s="1295"/>
      <c r="E275" s="1295"/>
      <c r="F275" s="1295"/>
      <c r="I275" s="524"/>
    </row>
    <row r="276" spans="1:9">
      <c r="D276" s="1295"/>
      <c r="E276" s="1295"/>
      <c r="F276" s="1295"/>
      <c r="I276" s="524"/>
    </row>
    <row r="277" spans="1:9">
      <c r="D277" s="480"/>
      <c r="E277" s="480"/>
      <c r="F277" s="480"/>
      <c r="I277" s="524"/>
    </row>
    <row r="278" spans="1:9">
      <c r="A278" s="518"/>
      <c r="B278" s="519" t="s">
        <v>2782</v>
      </c>
      <c r="D278" s="1295" t="s">
        <v>1207</v>
      </c>
      <c r="E278" s="1295"/>
      <c r="F278" s="1295"/>
      <c r="I278" s="524"/>
    </row>
    <row r="279" spans="1:9">
      <c r="D279" s="1295"/>
      <c r="E279" s="1295"/>
      <c r="F279" s="1295"/>
      <c r="I279" s="524"/>
    </row>
    <row r="280" spans="1:9">
      <c r="D280" s="1295"/>
      <c r="E280" s="1295"/>
      <c r="F280" s="1295"/>
      <c r="I280" s="524"/>
    </row>
    <row r="281" spans="1:9">
      <c r="D281" s="526"/>
      <c r="E281" s="480"/>
      <c r="F281" s="480"/>
      <c r="I281" s="524"/>
    </row>
    <row r="282" spans="1:9">
      <c r="A282" s="1283" t="s">
        <v>1076</v>
      </c>
      <c r="B282" s="1283"/>
      <c r="C282" s="1283"/>
      <c r="D282" s="1283"/>
      <c r="E282" s="1283"/>
      <c r="F282" s="1283"/>
      <c r="G282" s="1283"/>
      <c r="H282" s="1063"/>
      <c r="I282" s="1256"/>
    </row>
    <row r="283" spans="1:9">
      <c r="D283" s="526"/>
      <c r="E283" s="480"/>
      <c r="F283" s="480"/>
      <c r="I283" s="524"/>
    </row>
    <row r="284" spans="1:9">
      <c r="C284" s="516"/>
      <c r="D284" s="1297" t="s">
        <v>1209</v>
      </c>
      <c r="E284" s="1297"/>
      <c r="F284" s="1297"/>
      <c r="I284" s="524"/>
    </row>
    <row r="285" spans="1:9">
      <c r="C285" s="516"/>
      <c r="D285" s="1297"/>
      <c r="E285" s="1297"/>
      <c r="F285" s="1297"/>
      <c r="I285" s="524"/>
    </row>
    <row r="286" spans="1:9">
      <c r="A286" s="517"/>
      <c r="B286" s="517"/>
      <c r="C286" s="517"/>
      <c r="D286" s="435"/>
      <c r="I286" s="524"/>
    </row>
    <row r="287" spans="1:9">
      <c r="C287" s="517"/>
      <c r="D287" s="1294" t="s">
        <v>210</v>
      </c>
      <c r="E287" s="1294"/>
      <c r="F287" s="1294"/>
      <c r="I287" s="524"/>
    </row>
    <row r="288" spans="1:9" ht="15.75" customHeight="1">
      <c r="A288" s="518"/>
      <c r="B288" s="518"/>
      <c r="D288" s="1346" t="s">
        <v>1210</v>
      </c>
      <c r="E288" s="1346"/>
      <c r="F288" s="1346"/>
      <c r="I288" s="524"/>
    </row>
    <row r="289" spans="1:9">
      <c r="E289" s="480"/>
      <c r="F289" s="480"/>
      <c r="I289" s="524"/>
    </row>
    <row r="290" spans="1:9">
      <c r="A290" s="518"/>
      <c r="B290" s="519" t="s">
        <v>2782</v>
      </c>
      <c r="D290" s="1295" t="s">
        <v>1211</v>
      </c>
      <c r="E290" s="1295"/>
      <c r="F290" s="1295"/>
      <c r="I290" s="524" t="s">
        <v>2088</v>
      </c>
    </row>
    <row r="291" spans="1:9">
      <c r="A291" s="518"/>
      <c r="B291" s="518"/>
      <c r="D291" s="1295"/>
      <c r="E291" s="1295"/>
      <c r="F291" s="1295"/>
      <c r="I291" s="524"/>
    </row>
    <row r="292" spans="1:9">
      <c r="D292" s="480"/>
      <c r="E292" s="480"/>
      <c r="F292" s="480"/>
      <c r="I292" s="524"/>
    </row>
    <row r="293" spans="1:9">
      <c r="A293" s="518"/>
      <c r="B293" s="519" t="s">
        <v>2782</v>
      </c>
      <c r="D293" s="1295" t="s">
        <v>1212</v>
      </c>
      <c r="E293" s="1295"/>
      <c r="F293" s="1295"/>
      <c r="I293" s="524" t="s">
        <v>2088</v>
      </c>
    </row>
    <row r="294" spans="1:9">
      <c r="A294" s="518"/>
      <c r="B294" s="518"/>
      <c r="D294" s="1295"/>
      <c r="E294" s="1295"/>
      <c r="F294" s="1295"/>
      <c r="I294" s="524"/>
    </row>
    <row r="295" spans="1:9">
      <c r="A295" s="518"/>
      <c r="B295" s="518"/>
      <c r="D295" s="1295"/>
      <c r="E295" s="1295"/>
      <c r="F295" s="1295"/>
      <c r="I295" s="524"/>
    </row>
    <row r="296" spans="1:9">
      <c r="D296" s="480"/>
      <c r="E296" s="480"/>
      <c r="F296" s="480"/>
      <c r="I296" s="524"/>
    </row>
    <row r="297" spans="1:9">
      <c r="A297" s="518"/>
      <c r="B297" s="519" t="s">
        <v>2782</v>
      </c>
      <c r="D297" s="1295" t="s">
        <v>1213</v>
      </c>
      <c r="E297" s="1295"/>
      <c r="F297" s="1295"/>
      <c r="I297" s="524" t="s">
        <v>2088</v>
      </c>
    </row>
    <row r="298" spans="1:9">
      <c r="A298" s="518"/>
      <c r="B298" s="518"/>
      <c r="D298" s="1295"/>
      <c r="E298" s="1295"/>
      <c r="F298" s="1295"/>
      <c r="I298" s="524"/>
    </row>
    <row r="299" spans="1:9">
      <c r="A299" s="524"/>
      <c r="B299" s="524"/>
      <c r="E299" s="480"/>
      <c r="F299" s="480"/>
      <c r="I299" s="524"/>
    </row>
    <row r="300" spans="1:9">
      <c r="A300" s="1283" t="s">
        <v>1077</v>
      </c>
      <c r="B300" s="1283"/>
      <c r="C300" s="1283"/>
      <c r="D300" s="1283"/>
      <c r="E300" s="1283"/>
      <c r="F300" s="1283"/>
      <c r="G300" s="1283"/>
      <c r="H300" s="1063"/>
      <c r="I300" s="1256"/>
    </row>
    <row r="301" spans="1:9">
      <c r="A301" s="524"/>
      <c r="B301" s="524"/>
      <c r="D301" s="480"/>
      <c r="E301" s="480"/>
      <c r="F301" s="480"/>
      <c r="I301" s="524"/>
    </row>
    <row r="302" spans="1:9">
      <c r="C302" s="524"/>
      <c r="D302" s="1294" t="s">
        <v>690</v>
      </c>
      <c r="E302" s="1294"/>
      <c r="F302" s="1294"/>
      <c r="I302" s="524"/>
    </row>
    <row r="303" spans="1:9">
      <c r="C303" s="524"/>
      <c r="D303" s="1296" t="s">
        <v>1214</v>
      </c>
      <c r="E303" s="1296"/>
      <c r="F303" s="1296"/>
      <c r="I303" s="524"/>
    </row>
    <row r="304" spans="1:9">
      <c r="C304" s="524"/>
      <c r="D304" s="527"/>
      <c r="I304" s="524"/>
    </row>
    <row r="305" spans="1:9">
      <c r="B305" s="519" t="s">
        <v>2782</v>
      </c>
      <c r="D305" s="1296" t="s">
        <v>1215</v>
      </c>
      <c r="E305" s="1296"/>
      <c r="F305" s="1296"/>
      <c r="I305" s="524" t="s">
        <v>2089</v>
      </c>
    </row>
    <row r="306" spans="1:9">
      <c r="A306" s="518"/>
      <c r="B306" s="518"/>
      <c r="D306" s="528"/>
      <c r="E306" s="529"/>
      <c r="F306" s="529"/>
      <c r="I306" s="524"/>
    </row>
    <row r="307" spans="1:9" ht="13.9" customHeight="1">
      <c r="B307" s="519" t="s">
        <v>2782</v>
      </c>
      <c r="D307" s="1349" t="s">
        <v>1325</v>
      </c>
      <c r="E307" s="1349"/>
      <c r="F307" s="1349"/>
      <c r="I307" s="524" t="s">
        <v>2089</v>
      </c>
    </row>
    <row r="308" spans="1:9">
      <c r="A308" s="518"/>
      <c r="B308" s="518"/>
      <c r="D308" s="1349"/>
      <c r="E308" s="1349"/>
      <c r="F308" s="1349"/>
      <c r="I308" s="524"/>
    </row>
    <row r="309" spans="1:9">
      <c r="A309" s="518"/>
      <c r="B309" s="518"/>
      <c r="D309" s="1349"/>
      <c r="E309" s="1349"/>
      <c r="F309" s="1349"/>
      <c r="I309" s="524"/>
    </row>
    <row r="310" spans="1:9">
      <c r="A310" s="518"/>
      <c r="B310" s="518"/>
      <c r="D310" s="1349"/>
      <c r="E310" s="1349"/>
      <c r="F310" s="1349"/>
      <c r="I310" s="524"/>
    </row>
    <row r="311" spans="1:9">
      <c r="A311" s="518"/>
      <c r="B311" s="518"/>
      <c r="D311" s="1349"/>
      <c r="E311" s="1349"/>
      <c r="F311" s="1349"/>
      <c r="I311" s="524"/>
    </row>
    <row r="312" spans="1:9">
      <c r="A312" s="518"/>
      <c r="B312" s="518"/>
      <c r="D312" s="528"/>
      <c r="E312" s="529"/>
      <c r="F312" s="529"/>
      <c r="I312" s="524"/>
    </row>
    <row r="313" spans="1:9" ht="13.9" customHeight="1">
      <c r="B313" s="519" t="s">
        <v>2782</v>
      </c>
      <c r="D313" s="1349" t="s">
        <v>1217</v>
      </c>
      <c r="E313" s="1349"/>
      <c r="F313" s="1349"/>
      <c r="I313" s="524" t="s">
        <v>2089</v>
      </c>
    </row>
    <row r="314" spans="1:9">
      <c r="D314" s="1349"/>
      <c r="E314" s="1349"/>
      <c r="F314" s="1349"/>
      <c r="I314" s="524"/>
    </row>
    <row r="315" spans="1:9">
      <c r="A315" s="518"/>
      <c r="B315" s="518"/>
      <c r="D315" s="528"/>
      <c r="E315" s="529"/>
      <c r="F315" s="529"/>
      <c r="I315" s="524"/>
    </row>
    <row r="316" spans="1:9">
      <c r="B316" s="519" t="s">
        <v>2782</v>
      </c>
      <c r="D316" s="1296" t="s">
        <v>1218</v>
      </c>
      <c r="E316" s="1296"/>
      <c r="F316" s="1296"/>
      <c r="I316" s="524" t="s">
        <v>2075</v>
      </c>
    </row>
    <row r="317" spans="1:9">
      <c r="E317" s="480"/>
      <c r="F317" s="480"/>
      <c r="I317" s="524"/>
    </row>
    <row r="318" spans="1:9">
      <c r="A318" s="518"/>
      <c r="B318" s="519" t="s">
        <v>2782</v>
      </c>
      <c r="D318" s="1295" t="s">
        <v>2387</v>
      </c>
      <c r="E318" s="1295"/>
      <c r="F318" s="1295"/>
      <c r="I318" s="524" t="s">
        <v>2090</v>
      </c>
    </row>
    <row r="319" spans="1:9">
      <c r="A319" s="518"/>
      <c r="B319" s="518"/>
      <c r="D319" s="1295"/>
      <c r="E319" s="1295"/>
      <c r="F319" s="1295"/>
      <c r="I319" s="524"/>
    </row>
    <row r="320" spans="1:9">
      <c r="A320" s="518"/>
      <c r="B320" s="518"/>
      <c r="D320" s="1295"/>
      <c r="E320" s="1295"/>
      <c r="F320" s="1295"/>
      <c r="I320" s="524"/>
    </row>
    <row r="321" spans="1:9">
      <c r="A321" s="518"/>
      <c r="B321" s="518"/>
      <c r="D321" s="1295"/>
      <c r="E321" s="1295"/>
      <c r="F321" s="1295"/>
      <c r="I321" s="524"/>
    </row>
    <row r="322" spans="1:9">
      <c r="A322" s="518"/>
      <c r="B322" s="518"/>
      <c r="D322" s="1295"/>
      <c r="E322" s="1295"/>
      <c r="F322" s="1295"/>
      <c r="I322" s="524"/>
    </row>
    <row r="323" spans="1:9">
      <c r="A323" s="518"/>
      <c r="B323" s="518"/>
      <c r="D323" s="1295"/>
      <c r="E323" s="1295"/>
      <c r="F323" s="1295"/>
      <c r="I323" s="524"/>
    </row>
    <row r="324" spans="1:9">
      <c r="A324" s="518"/>
      <c r="B324" s="518"/>
      <c r="D324" s="1295"/>
      <c r="E324" s="1295"/>
      <c r="F324" s="1295"/>
      <c r="I324" s="524"/>
    </row>
    <row r="325" spans="1:9">
      <c r="A325" s="518"/>
      <c r="B325" s="518"/>
      <c r="D325" s="1295"/>
      <c r="E325" s="1295"/>
      <c r="F325" s="1295"/>
      <c r="I325" s="524"/>
    </row>
    <row r="326" spans="1:9">
      <c r="A326" s="518"/>
      <c r="B326" s="518"/>
      <c r="D326" s="1295"/>
      <c r="E326" s="1295"/>
      <c r="F326" s="1295"/>
      <c r="I326" s="524"/>
    </row>
    <row r="327" spans="1:9">
      <c r="A327" s="518"/>
      <c r="B327" s="518"/>
      <c r="D327" s="1295"/>
      <c r="E327" s="1295"/>
      <c r="F327" s="1295"/>
      <c r="I327" s="524"/>
    </row>
    <row r="328" spans="1:9">
      <c r="A328" s="518"/>
      <c r="B328" s="518"/>
      <c r="D328" s="1295"/>
      <c r="E328" s="1295"/>
      <c r="F328" s="1295"/>
      <c r="I328" s="524"/>
    </row>
    <row r="329" spans="1:9">
      <c r="A329" s="518"/>
      <c r="B329" s="518"/>
      <c r="D329" s="1295"/>
      <c r="E329" s="1295"/>
      <c r="F329" s="1295"/>
      <c r="I329" s="524"/>
    </row>
    <row r="330" spans="1:9">
      <c r="A330" s="518"/>
      <c r="B330" s="518"/>
      <c r="D330" s="1295"/>
      <c r="E330" s="1295"/>
      <c r="F330" s="1295"/>
      <c r="I330" s="524"/>
    </row>
    <row r="331" spans="1:9">
      <c r="A331" s="518"/>
      <c r="B331" s="518"/>
      <c r="D331" s="1295"/>
      <c r="E331" s="1295"/>
      <c r="F331" s="1295"/>
      <c r="I331" s="524"/>
    </row>
    <row r="332" spans="1:9">
      <c r="A332" s="518"/>
      <c r="B332" s="518"/>
      <c r="D332" s="1295"/>
      <c r="E332" s="1295"/>
      <c r="F332" s="1295"/>
      <c r="I332" s="524"/>
    </row>
    <row r="333" spans="1:9">
      <c r="D333" s="480"/>
      <c r="E333" s="480"/>
      <c r="F333" s="480"/>
      <c r="I333" s="524"/>
    </row>
    <row r="334" spans="1:9">
      <c r="A334" s="518"/>
      <c r="B334" s="519" t="s">
        <v>2782</v>
      </c>
      <c r="D334" s="1295" t="s">
        <v>1220</v>
      </c>
      <c r="E334" s="1295"/>
      <c r="F334" s="1295"/>
      <c r="I334" s="524" t="s">
        <v>2090</v>
      </c>
    </row>
    <row r="335" spans="1:9">
      <c r="D335" s="1295"/>
      <c r="E335" s="1295"/>
      <c r="F335" s="1295"/>
      <c r="I335" s="524"/>
    </row>
    <row r="336" spans="1:9">
      <c r="D336" s="1295"/>
      <c r="E336" s="1295"/>
      <c r="F336" s="1295"/>
      <c r="I336" s="524"/>
    </row>
    <row r="337" spans="1:9">
      <c r="D337" s="1295"/>
      <c r="E337" s="1295"/>
      <c r="F337" s="1295"/>
      <c r="I337" s="524"/>
    </row>
    <row r="338" spans="1:9">
      <c r="D338" s="1295"/>
      <c r="E338" s="1295"/>
      <c r="F338" s="1295"/>
      <c r="I338" s="524"/>
    </row>
    <row r="339" spans="1:9">
      <c r="D339" s="1295"/>
      <c r="E339" s="1295"/>
      <c r="F339" s="1295"/>
      <c r="I339" s="524"/>
    </row>
    <row r="340" spans="1:9">
      <c r="D340" s="1295"/>
      <c r="E340" s="1295"/>
      <c r="F340" s="1295"/>
      <c r="I340" s="524"/>
    </row>
    <row r="341" spans="1:9">
      <c r="D341" s="1295"/>
      <c r="E341" s="1295"/>
      <c r="F341" s="1295"/>
      <c r="I341" s="524"/>
    </row>
    <row r="342" spans="1:9">
      <c r="D342" s="1295"/>
      <c r="E342" s="1295"/>
      <c r="F342" s="1295"/>
      <c r="I342" s="524"/>
    </row>
    <row r="343" spans="1:9">
      <c r="D343" s="480"/>
      <c r="E343" s="480"/>
      <c r="F343" s="480"/>
      <c r="I343" s="524"/>
    </row>
    <row r="344" spans="1:9" ht="14.25" customHeight="1">
      <c r="A344" s="518"/>
      <c r="B344" s="519" t="s">
        <v>2782</v>
      </c>
      <c r="D344" s="1295" t="s">
        <v>2201</v>
      </c>
      <c r="E344" s="1295"/>
      <c r="F344" s="1295"/>
      <c r="I344" s="524" t="s">
        <v>2127</v>
      </c>
    </row>
    <row r="345" spans="1:9">
      <c r="D345" s="1295"/>
      <c r="E345" s="1295"/>
      <c r="F345" s="1295"/>
      <c r="I345" s="524"/>
    </row>
    <row r="346" spans="1:9">
      <c r="D346" s="1295"/>
      <c r="E346" s="1295"/>
      <c r="F346" s="1295"/>
      <c r="I346" s="524"/>
    </row>
    <row r="347" spans="1:9">
      <c r="D347" s="1295"/>
      <c r="E347" s="1295"/>
      <c r="F347" s="1295"/>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5" t="s">
        <v>998</v>
      </c>
      <c r="E351" s="1345"/>
      <c r="F351" s="1345"/>
      <c r="G351" s="1062"/>
      <c r="H351" s="1062"/>
      <c r="I351" s="1259"/>
    </row>
    <row r="352" spans="1:9" ht="13.5" thickTop="1">
      <c r="D352" s="1350" t="s">
        <v>1222</v>
      </c>
      <c r="E352" s="1350"/>
      <c r="F352" s="1350"/>
      <c r="I352" s="524"/>
    </row>
    <row r="353" spans="1:9">
      <c r="D353" s="480"/>
      <c r="E353" s="480"/>
      <c r="F353" s="480"/>
      <c r="I353" s="524"/>
    </row>
    <row r="354" spans="1:9">
      <c r="A354" s="510"/>
      <c r="B354" s="510"/>
      <c r="C354" s="510"/>
      <c r="D354" s="481"/>
      <c r="E354" s="481"/>
      <c r="F354" s="480"/>
      <c r="I354" s="524" t="s">
        <v>2091</v>
      </c>
    </row>
    <row r="355" spans="1:9">
      <c r="A355" s="518"/>
      <c r="B355" s="519" t="s">
        <v>2782</v>
      </c>
      <c r="C355" s="521"/>
      <c r="D355" s="1296" t="s">
        <v>2199</v>
      </c>
      <c r="E355" s="1296"/>
      <c r="F355" s="1296"/>
      <c r="I355" s="1352" t="s">
        <v>2141</v>
      </c>
    </row>
    <row r="356" spans="1:9" ht="12.75" customHeight="1">
      <c r="D356" s="1072"/>
      <c r="E356" s="96" t="s">
        <v>2198</v>
      </c>
      <c r="F356" s="1072"/>
      <c r="I356" s="1353"/>
    </row>
    <row r="357" spans="1:9" ht="12.5">
      <c r="D357" s="1295" t="s">
        <v>1346</v>
      </c>
      <c r="E357" s="1295"/>
      <c r="F357" s="1295"/>
      <c r="I357" s="1353"/>
    </row>
    <row r="358" spans="1:9" ht="12.5">
      <c r="D358" s="1295"/>
      <c r="E358" s="1295"/>
      <c r="F358" s="1295"/>
      <c r="I358" s="1353"/>
    </row>
    <row r="359" spans="1:9" ht="12.5">
      <c r="D359" s="1295"/>
      <c r="E359" s="1295"/>
      <c r="F359" s="1295"/>
      <c r="I359" s="1354"/>
    </row>
    <row r="360" spans="1:9">
      <c r="A360" s="518"/>
      <c r="B360" s="519" t="s">
        <v>2782</v>
      </c>
      <c r="C360" s="510"/>
      <c r="D360" s="1281" t="s">
        <v>2369</v>
      </c>
      <c r="E360" s="1281"/>
      <c r="F360" s="1281"/>
      <c r="I360" s="514"/>
    </row>
    <row r="361" spans="1:9">
      <c r="A361" s="510"/>
      <c r="B361" s="510"/>
      <c r="C361" s="510"/>
      <c r="D361" s="481"/>
      <c r="E361" s="481"/>
      <c r="F361" s="480"/>
      <c r="I361" s="524"/>
    </row>
    <row r="362" spans="1:9">
      <c r="A362" s="510"/>
      <c r="B362" s="519" t="s">
        <v>2782</v>
      </c>
      <c r="C362" s="510"/>
      <c r="D362" s="1277" t="s">
        <v>2370</v>
      </c>
      <c r="E362" s="1277"/>
      <c r="F362" s="1277"/>
      <c r="I362" s="524"/>
    </row>
    <row r="363" spans="1:9">
      <c r="A363" s="510"/>
      <c r="B363" s="510"/>
      <c r="C363" s="510"/>
      <c r="D363" s="1277"/>
      <c r="E363" s="1277"/>
      <c r="F363" s="1277"/>
      <c r="I363" s="524"/>
    </row>
    <row r="364" spans="1:9">
      <c r="A364" s="510"/>
      <c r="B364" s="510"/>
      <c r="C364" s="510"/>
      <c r="D364" s="1277"/>
      <c r="E364" s="1277"/>
      <c r="F364" s="1277"/>
      <c r="I364" s="524"/>
    </row>
    <row r="365" spans="1:9">
      <c r="A365" s="510"/>
      <c r="B365" s="510"/>
      <c r="C365" s="510"/>
      <c r="D365" s="1277"/>
      <c r="E365" s="1277"/>
      <c r="F365" s="1277"/>
      <c r="I365" s="524"/>
    </row>
    <row r="366" spans="1:9">
      <c r="A366" s="510"/>
      <c r="B366" s="510"/>
      <c r="C366" s="510"/>
      <c r="D366" s="1277"/>
      <c r="E366" s="1277"/>
      <c r="F366" s="1277"/>
      <c r="I366" s="524"/>
    </row>
    <row r="367" spans="1:9">
      <c r="A367" s="510"/>
      <c r="B367" s="510"/>
      <c r="C367" s="510"/>
      <c r="D367" s="1277"/>
      <c r="E367" s="1277"/>
      <c r="F367" s="1277"/>
      <c r="I367" s="524"/>
    </row>
    <row r="368" spans="1:9">
      <c r="A368" s="510"/>
      <c r="B368" s="510"/>
      <c r="C368" s="510"/>
      <c r="D368" s="1277"/>
      <c r="E368" s="1277"/>
      <c r="F368" s="1277"/>
      <c r="I368" s="524"/>
    </row>
    <row r="369" spans="1:9">
      <c r="A369" s="510"/>
      <c r="B369" s="510"/>
      <c r="C369" s="510"/>
      <c r="D369" s="1277"/>
      <c r="E369" s="1277"/>
      <c r="F369" s="1277"/>
      <c r="I369" s="524"/>
    </row>
    <row r="370" spans="1:9">
      <c r="A370" s="510"/>
      <c r="B370" s="510"/>
      <c r="C370" s="510"/>
      <c r="D370" s="1277"/>
      <c r="E370" s="1277"/>
      <c r="F370" s="1277"/>
      <c r="I370" s="524"/>
    </row>
    <row r="371" spans="1:9">
      <c r="A371" s="510"/>
      <c r="B371" s="510"/>
      <c r="C371" s="510"/>
      <c r="D371" s="1277"/>
      <c r="E371" s="1277"/>
      <c r="F371" s="1277"/>
      <c r="I371" s="524"/>
    </row>
    <row r="372" spans="1:9">
      <c r="A372" s="510"/>
      <c r="B372" s="510"/>
      <c r="C372" s="510"/>
      <c r="D372" s="1277"/>
      <c r="E372" s="1277"/>
      <c r="F372" s="1277"/>
      <c r="I372" s="524"/>
    </row>
    <row r="373" spans="1:9">
      <c r="A373" s="510"/>
      <c r="B373" s="510"/>
      <c r="C373" s="510"/>
      <c r="D373" s="1277"/>
      <c r="E373" s="1277"/>
      <c r="F373" s="1277"/>
      <c r="I373" s="524"/>
    </row>
    <row r="374" spans="1:9">
      <c r="A374" s="510"/>
      <c r="B374" s="510"/>
      <c r="C374" s="510"/>
      <c r="D374" s="485"/>
      <c r="E374" s="485"/>
      <c r="F374" s="485"/>
      <c r="I374" s="524"/>
    </row>
    <row r="375" spans="1:9" ht="12.4" customHeight="1">
      <c r="A375" s="510"/>
      <c r="B375" s="519" t="s">
        <v>2782</v>
      </c>
      <c r="C375" s="510"/>
      <c r="D375" s="1325" t="s">
        <v>1327</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2782</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c r="A387" s="518"/>
      <c r="B387" s="519" t="s">
        <v>2782</v>
      </c>
      <c r="C387" s="510"/>
      <c r="D387" s="1277" t="s">
        <v>1225</v>
      </c>
      <c r="E387" s="1277"/>
      <c r="F387" s="1277"/>
      <c r="I387" s="524"/>
    </row>
    <row r="388" spans="1:9">
      <c r="A388" s="510"/>
      <c r="B388" s="510"/>
      <c r="C388" s="510"/>
      <c r="D388" s="1277"/>
      <c r="E388" s="1277"/>
      <c r="F388" s="1277"/>
      <c r="I388" s="524"/>
    </row>
    <row r="389" spans="1:9">
      <c r="A389" s="510"/>
      <c r="B389" s="510"/>
      <c r="C389" s="510"/>
      <c r="D389" s="1277"/>
      <c r="E389" s="1277"/>
      <c r="F389" s="1277"/>
      <c r="I389" s="524"/>
    </row>
    <row r="390" spans="1:9">
      <c r="A390" s="510"/>
      <c r="B390" s="510"/>
      <c r="C390" s="510"/>
      <c r="D390" s="1277"/>
      <c r="E390" s="1277"/>
      <c r="F390" s="1277"/>
      <c r="I390" s="524"/>
    </row>
    <row r="391" spans="1:9">
      <c r="A391" s="510"/>
      <c r="B391" s="510"/>
      <c r="C391" s="510"/>
      <c r="D391" s="481"/>
      <c r="E391" s="481"/>
      <c r="F391" s="480"/>
      <c r="I391" s="524"/>
    </row>
    <row r="392" spans="1:9">
      <c r="A392" s="510"/>
      <c r="B392" s="510"/>
      <c r="C392" s="510"/>
      <c r="D392" s="1277" t="s">
        <v>1226</v>
      </c>
      <c r="E392" s="1277"/>
      <c r="F392" s="1277"/>
      <c r="I392" s="524"/>
    </row>
    <row r="393" spans="1:9">
      <c r="A393" s="510"/>
      <c r="B393" s="510"/>
      <c r="C393" s="510"/>
      <c r="D393" s="1277"/>
      <c r="E393" s="1277"/>
      <c r="F393" s="1277"/>
      <c r="I393" s="524"/>
    </row>
    <row r="394" spans="1:9">
      <c r="A394" s="510"/>
      <c r="B394" s="510"/>
      <c r="C394" s="510"/>
      <c r="D394" s="1277"/>
      <c r="E394" s="1277"/>
      <c r="F394" s="1277"/>
      <c r="I394" s="524"/>
    </row>
    <row r="395" spans="1:9">
      <c r="A395" s="510"/>
      <c r="B395" s="510"/>
      <c r="C395" s="510"/>
      <c r="D395" s="1277"/>
      <c r="E395" s="1277"/>
      <c r="F395" s="1277"/>
      <c r="I395" s="524"/>
    </row>
    <row r="396" spans="1:9" ht="18" customHeight="1">
      <c r="A396" s="510"/>
      <c r="B396" s="510"/>
      <c r="C396" s="510"/>
      <c r="D396" s="1277"/>
      <c r="E396" s="1277"/>
      <c r="F396" s="1277"/>
      <c r="I396" s="524"/>
    </row>
    <row r="397" spans="1:9">
      <c r="A397" s="510"/>
      <c r="B397" s="510"/>
      <c r="C397" s="510"/>
      <c r="D397" s="1277"/>
      <c r="E397" s="1277"/>
      <c r="F397" s="1277"/>
      <c r="I397" s="524"/>
    </row>
    <row r="398" spans="1:9">
      <c r="A398" s="510"/>
      <c r="B398" s="510"/>
      <c r="C398" s="510"/>
      <c r="D398" s="1277"/>
      <c r="E398" s="1277"/>
      <c r="F398" s="1277"/>
      <c r="I398" s="524"/>
    </row>
    <row r="399" spans="1:9">
      <c r="A399" s="510"/>
      <c r="B399" s="510"/>
      <c r="C399" s="510"/>
      <c r="D399" s="1277"/>
      <c r="E399" s="1277"/>
      <c r="F399" s="1277"/>
      <c r="I399" s="524"/>
    </row>
    <row r="400" spans="1:9" ht="8.25" customHeight="1">
      <c r="A400" s="510"/>
      <c r="B400" s="510"/>
      <c r="C400" s="510"/>
      <c r="D400" s="1277"/>
      <c r="E400" s="1277"/>
      <c r="F400" s="1277"/>
      <c r="I400" s="524"/>
    </row>
    <row r="401" spans="1:9" ht="13.9" customHeight="1">
      <c r="A401" s="510"/>
      <c r="B401" s="510"/>
      <c r="C401" s="510"/>
      <c r="D401" s="1277" t="s">
        <v>1227</v>
      </c>
      <c r="E401" s="1277"/>
      <c r="F401" s="1277"/>
      <c r="I401" s="524"/>
    </row>
    <row r="402" spans="1:9">
      <c r="A402" s="510"/>
      <c r="B402" s="510"/>
      <c r="C402" s="510"/>
      <c r="D402" s="1277"/>
      <c r="E402" s="1277"/>
      <c r="F402" s="1277"/>
      <c r="I402" s="524"/>
    </row>
    <row r="403" spans="1:9">
      <c r="A403" s="510"/>
      <c r="B403" s="510"/>
      <c r="C403" s="510"/>
      <c r="D403" s="1277"/>
      <c r="E403" s="1277"/>
      <c r="F403" s="1277"/>
      <c r="I403" s="524"/>
    </row>
    <row r="404" spans="1:9">
      <c r="A404" s="510"/>
      <c r="B404" s="510"/>
      <c r="C404" s="510"/>
      <c r="D404" s="1277"/>
      <c r="E404" s="1277"/>
      <c r="F404" s="1277"/>
      <c r="I404" s="524"/>
    </row>
    <row r="405" spans="1:9">
      <c r="A405" s="510"/>
      <c r="B405" s="510"/>
      <c r="C405" s="510"/>
      <c r="D405" s="1277"/>
      <c r="E405" s="1277"/>
      <c r="F405" s="1277"/>
      <c r="I405" s="524"/>
    </row>
    <row r="406" spans="1:9">
      <c r="A406" s="510"/>
      <c r="B406" s="510"/>
      <c r="C406" s="510"/>
      <c r="D406" s="1277"/>
      <c r="E406" s="1277"/>
      <c r="F406" s="1277"/>
      <c r="I406" s="524"/>
    </row>
    <row r="407" spans="1:9">
      <c r="A407" s="510"/>
      <c r="B407" s="510"/>
      <c r="C407" s="510"/>
      <c r="D407" s="1277"/>
      <c r="E407" s="1277"/>
      <c r="F407" s="1277"/>
      <c r="I407" s="524"/>
    </row>
    <row r="408" spans="1:9">
      <c r="A408" s="510"/>
      <c r="B408" s="510"/>
      <c r="C408" s="510"/>
      <c r="D408" s="1277"/>
      <c r="E408" s="1277"/>
      <c r="F408" s="1277"/>
      <c r="I408" s="524"/>
    </row>
    <row r="409" spans="1:9">
      <c r="A409" s="510"/>
      <c r="B409" s="510"/>
      <c r="C409" s="510"/>
      <c r="D409" s="1277"/>
      <c r="E409" s="1277"/>
      <c r="F409" s="1277"/>
      <c r="I409" s="524"/>
    </row>
    <row r="410" spans="1:9">
      <c r="A410" s="510"/>
      <c r="B410" s="510"/>
      <c r="C410" s="510"/>
      <c r="D410" s="1277"/>
      <c r="E410" s="1277"/>
      <c r="F410" s="1277"/>
      <c r="I410" s="524"/>
    </row>
    <row r="411" spans="1:9">
      <c r="A411" s="510"/>
      <c r="B411" s="510"/>
      <c r="C411" s="510"/>
      <c r="D411" s="1277"/>
      <c r="E411" s="1277"/>
      <c r="F411" s="1277"/>
      <c r="I411" s="524"/>
    </row>
    <row r="412" spans="1:9">
      <c r="A412" s="510"/>
      <c r="B412" s="510"/>
      <c r="C412" s="510"/>
      <c r="D412" s="1277"/>
      <c r="E412" s="1277"/>
      <c r="F412" s="1277"/>
      <c r="I412" s="524"/>
    </row>
    <row r="413" spans="1:9">
      <c r="A413" s="510"/>
      <c r="B413" s="510"/>
      <c r="C413" s="530"/>
      <c r="D413" s="1277"/>
      <c r="E413" s="1277"/>
      <c r="F413" s="1277"/>
      <c r="I413" s="524"/>
    </row>
    <row r="414" spans="1:9">
      <c r="A414" s="510"/>
      <c r="B414" s="510"/>
      <c r="C414" s="530"/>
      <c r="D414" s="1277"/>
      <c r="E414" s="1277"/>
      <c r="F414" s="1277"/>
      <c r="I414" s="524"/>
    </row>
    <row r="415" spans="1:9">
      <c r="A415" s="510"/>
      <c r="B415" s="510"/>
      <c r="C415" s="510"/>
      <c r="D415" s="1277"/>
      <c r="E415" s="1277"/>
      <c r="F415" s="1277"/>
      <c r="I415" s="524"/>
    </row>
    <row r="416" spans="1:9">
      <c r="A416" s="510"/>
      <c r="B416" s="510"/>
      <c r="C416" s="530"/>
      <c r="D416" s="1277"/>
      <c r="E416" s="1277"/>
      <c r="F416" s="1277"/>
      <c r="I416" s="524"/>
    </row>
    <row r="417" spans="1:9">
      <c r="A417" s="510"/>
      <c r="B417" s="510"/>
      <c r="C417" s="530"/>
      <c r="D417" s="1277"/>
      <c r="E417" s="1277"/>
      <c r="F417" s="1277"/>
      <c r="I417" s="524"/>
    </row>
    <row r="418" spans="1:9">
      <c r="A418" s="510"/>
      <c r="B418" s="510"/>
      <c r="C418" s="530"/>
      <c r="D418" s="1277"/>
      <c r="E418" s="1277"/>
      <c r="F418" s="1277"/>
      <c r="I418" s="524"/>
    </row>
    <row r="419" spans="1:9">
      <c r="A419" s="510"/>
      <c r="B419" s="510"/>
      <c r="C419" s="510"/>
      <c r="D419" s="481"/>
      <c r="E419" s="481"/>
      <c r="F419" s="480"/>
      <c r="I419" s="524"/>
    </row>
    <row r="420" spans="1:9">
      <c r="A420" s="510"/>
      <c r="B420" s="519" t="s">
        <v>2782</v>
      </c>
      <c r="C420" s="510"/>
      <c r="D420" s="1277" t="s">
        <v>1228</v>
      </c>
      <c r="E420" s="1277"/>
      <c r="F420" s="1277"/>
      <c r="I420" s="524"/>
    </row>
    <row r="421" spans="1:9">
      <c r="A421" s="510"/>
      <c r="B421" s="510"/>
      <c r="C421" s="510"/>
      <c r="D421" s="1277"/>
      <c r="E421" s="1277"/>
      <c r="F421" s="1277"/>
      <c r="I421" s="524"/>
    </row>
    <row r="422" spans="1:9">
      <c r="A422" s="510"/>
      <c r="B422" s="510"/>
      <c r="C422" s="510"/>
      <c r="D422" s="485"/>
      <c r="E422" s="485"/>
      <c r="F422" s="485"/>
      <c r="I422" s="524"/>
    </row>
    <row r="423" spans="1:9" ht="14.65" customHeight="1">
      <c r="A423" s="518"/>
      <c r="B423" s="519" t="s">
        <v>2782</v>
      </c>
      <c r="D423" s="1277" t="s">
        <v>2128</v>
      </c>
      <c r="E423" s="1277"/>
      <c r="F423" s="1277"/>
      <c r="I423" s="524"/>
    </row>
    <row r="424" spans="1:9" ht="14.65" customHeight="1">
      <c r="A424" s="518"/>
      <c r="D424" s="1277"/>
      <c r="E424" s="1277"/>
      <c r="F424" s="1277"/>
      <c r="I424" s="524"/>
    </row>
    <row r="425" spans="1:9" ht="14.65" customHeight="1">
      <c r="A425" s="518"/>
      <c r="D425" s="1277"/>
      <c r="E425" s="1277"/>
      <c r="F425" s="1277"/>
      <c r="I425" s="524"/>
    </row>
    <row r="426" spans="1:9" ht="14.65" customHeight="1">
      <c r="A426" s="518"/>
      <c r="D426" s="1277"/>
      <c r="E426" s="1277"/>
      <c r="F426" s="1277"/>
      <c r="I426" s="524"/>
    </row>
    <row r="427" spans="1:9" ht="14.65" customHeight="1">
      <c r="A427" s="518"/>
      <c r="D427" s="1277"/>
      <c r="E427" s="1277"/>
      <c r="F427" s="1277"/>
      <c r="I427" s="524"/>
    </row>
    <row r="428" spans="1:9" ht="14.65" customHeight="1">
      <c r="A428" s="518"/>
      <c r="D428" s="416"/>
      <c r="E428" s="416"/>
      <c r="F428" s="416"/>
      <c r="I428" s="524"/>
    </row>
    <row r="429" spans="1:9" ht="13.9" customHeight="1">
      <c r="A429" s="518"/>
      <c r="B429" s="519" t="s">
        <v>2782</v>
      </c>
      <c r="C429" s="510"/>
      <c r="D429" s="1277" t="s">
        <v>1347</v>
      </c>
      <c r="E429" s="1277"/>
      <c r="F429" s="1277"/>
      <c r="I429" s="524"/>
    </row>
    <row r="430" spans="1:9">
      <c r="A430" s="531"/>
      <c r="B430" s="531"/>
      <c r="C430" s="510"/>
      <c r="D430" s="1277"/>
      <c r="E430" s="1277"/>
      <c r="F430" s="1277"/>
      <c r="I430" s="524"/>
    </row>
    <row r="431" spans="1:9">
      <c r="A431" s="531"/>
      <c r="B431" s="531"/>
      <c r="C431" s="510"/>
      <c r="D431" s="1277"/>
      <c r="E431" s="1277"/>
      <c r="F431" s="1277"/>
      <c r="I431" s="524"/>
    </row>
    <row r="432" spans="1:9">
      <c r="A432" s="531"/>
      <c r="B432" s="531"/>
      <c r="C432" s="510"/>
      <c r="D432" s="1277"/>
      <c r="E432" s="1277"/>
      <c r="F432" s="1277"/>
      <c r="I432" s="524"/>
    </row>
    <row r="433" spans="1:9" ht="15.75" customHeight="1">
      <c r="A433" s="531"/>
      <c r="B433" s="531"/>
      <c r="C433" s="510"/>
      <c r="D433" s="1348" t="s">
        <v>2388</v>
      </c>
      <c r="E433" s="1277"/>
      <c r="F433" s="1277"/>
      <c r="I433" s="524"/>
    </row>
    <row r="434" spans="1:9">
      <c r="D434" s="480"/>
      <c r="E434" s="480"/>
      <c r="F434" s="480"/>
      <c r="I434" s="524"/>
    </row>
    <row r="435" spans="1:9">
      <c r="A435" s="518"/>
      <c r="B435" s="519" t="s">
        <v>2782</v>
      </c>
      <c r="C435" s="521"/>
      <c r="D435" s="1295" t="s">
        <v>2371</v>
      </c>
      <c r="E435" s="1295"/>
      <c r="F435" s="1295"/>
      <c r="I435" s="524"/>
    </row>
    <row r="436" spans="1:9">
      <c r="A436" s="518"/>
      <c r="B436" s="518"/>
      <c r="D436" s="1295"/>
      <c r="E436" s="1295"/>
      <c r="F436" s="1295"/>
      <c r="I436" s="524"/>
    </row>
    <row r="437" spans="1:9">
      <c r="D437" s="1295"/>
      <c r="E437" s="1295"/>
      <c r="F437" s="1295"/>
      <c r="I437" s="524"/>
    </row>
    <row r="438" spans="1:9">
      <c r="D438" s="1295"/>
      <c r="E438" s="1295"/>
      <c r="F438" s="1295"/>
      <c r="I438" s="524"/>
    </row>
    <row r="439" spans="1:9">
      <c r="D439" s="1295"/>
      <c r="E439" s="1295"/>
      <c r="F439" s="1295"/>
      <c r="I439" s="524"/>
    </row>
    <row r="440" spans="1:9">
      <c r="D440" s="1295"/>
      <c r="E440" s="1295"/>
      <c r="F440" s="1295"/>
      <c r="I440" s="524"/>
    </row>
    <row r="441" spans="1:9">
      <c r="D441" s="1295"/>
      <c r="E441" s="1295"/>
      <c r="F441" s="1295"/>
      <c r="I441" s="524"/>
    </row>
    <row r="442" spans="1:9">
      <c r="D442" s="1295"/>
      <c r="E442" s="1295"/>
      <c r="F442" s="1295"/>
      <c r="I442" s="524"/>
    </row>
    <row r="443" spans="1:9">
      <c r="D443" s="1295"/>
      <c r="E443" s="1295"/>
      <c r="F443" s="1295"/>
      <c r="I443" s="524"/>
    </row>
    <row r="444" spans="1:9">
      <c r="D444" s="1295"/>
      <c r="E444" s="1295"/>
      <c r="F444" s="1295"/>
      <c r="I444" s="524"/>
    </row>
    <row r="445" spans="1:9">
      <c r="D445" s="1295"/>
      <c r="E445" s="1295"/>
      <c r="F445" s="1295"/>
      <c r="I445" s="524"/>
    </row>
    <row r="446" spans="1:9">
      <c r="D446" s="1295"/>
      <c r="E446" s="1295"/>
      <c r="F446" s="1295"/>
      <c r="I446" s="524"/>
    </row>
    <row r="447" spans="1:9">
      <c r="D447" s="1295"/>
      <c r="E447" s="1295"/>
      <c r="F447" s="1295"/>
      <c r="I447" s="524"/>
    </row>
    <row r="448" spans="1:9">
      <c r="A448" s="433"/>
      <c r="B448" s="433"/>
      <c r="C448" s="433"/>
      <c r="D448" s="1295"/>
      <c r="E448" s="1295"/>
      <c r="F448" s="1295"/>
      <c r="I448" s="524"/>
    </row>
    <row r="449" spans="1:9">
      <c r="A449" s="433"/>
      <c r="B449" s="433"/>
      <c r="C449" s="433"/>
      <c r="D449" s="1295"/>
      <c r="E449" s="1295"/>
      <c r="F449" s="1295"/>
      <c r="I449" s="524"/>
    </row>
    <row r="450" spans="1:9">
      <c r="A450" s="433"/>
      <c r="B450" s="433"/>
      <c r="C450" s="433"/>
      <c r="D450" s="1295"/>
      <c r="E450" s="1295"/>
      <c r="F450" s="1295"/>
      <c r="I450" s="524"/>
    </row>
    <row r="451" spans="1:9">
      <c r="A451" s="433"/>
      <c r="B451" s="433"/>
      <c r="C451" s="433"/>
      <c r="D451" s="1295"/>
      <c r="E451" s="1295"/>
      <c r="F451" s="1295"/>
      <c r="I451" s="524"/>
    </row>
    <row r="452" spans="1:9">
      <c r="A452" s="433"/>
      <c r="B452" s="433"/>
      <c r="C452" s="433"/>
      <c r="D452" s="1295"/>
      <c r="E452" s="1295"/>
      <c r="F452" s="1295"/>
      <c r="I452" s="524"/>
    </row>
    <row r="453" spans="1:9">
      <c r="A453" s="433"/>
      <c r="B453" s="433"/>
      <c r="C453" s="433"/>
      <c r="D453" s="1295"/>
      <c r="E453" s="1295"/>
      <c r="F453" s="1295"/>
      <c r="I453" s="524"/>
    </row>
    <row r="454" spans="1:9">
      <c r="A454" s="433"/>
      <c r="B454" s="433"/>
      <c r="C454" s="433"/>
      <c r="D454" s="1295"/>
      <c r="E454" s="1295"/>
      <c r="F454" s="1295"/>
      <c r="I454" s="524"/>
    </row>
    <row r="455" spans="1:9">
      <c r="A455" s="433"/>
      <c r="B455" s="433"/>
      <c r="C455" s="433"/>
      <c r="D455" s="1295"/>
      <c r="E455" s="1295"/>
      <c r="F455" s="1295"/>
      <c r="I455" s="524"/>
    </row>
    <row r="456" spans="1:9">
      <c r="A456" s="433"/>
      <c r="B456" s="433"/>
      <c r="C456" s="433"/>
      <c r="D456" s="1295"/>
      <c r="E456" s="1295"/>
      <c r="F456" s="1295"/>
      <c r="I456" s="524"/>
    </row>
    <row r="457" spans="1:9">
      <c r="A457" s="433"/>
      <c r="B457" s="433"/>
      <c r="C457" s="433"/>
      <c r="D457" s="1295"/>
      <c r="E457" s="1295"/>
      <c r="F457" s="1295"/>
      <c r="I457" s="524"/>
    </row>
    <row r="458" spans="1:9">
      <c r="A458" s="433"/>
      <c r="B458" s="433"/>
      <c r="C458" s="433"/>
      <c r="D458" s="1295"/>
      <c r="E458" s="1295"/>
      <c r="F458" s="1295"/>
      <c r="I458" s="524"/>
    </row>
    <row r="459" spans="1:9">
      <c r="A459" s="433"/>
      <c r="B459" s="433"/>
      <c r="C459" s="433"/>
      <c r="D459" s="1295"/>
      <c r="E459" s="1295"/>
      <c r="F459" s="1295"/>
      <c r="I459" s="524"/>
    </row>
    <row r="460" spans="1:9">
      <c r="A460" s="433"/>
      <c r="B460" s="433"/>
      <c r="C460" s="433"/>
      <c r="D460" s="1295"/>
      <c r="E460" s="1295"/>
      <c r="F460" s="1295"/>
      <c r="I460" s="524"/>
    </row>
    <row r="461" spans="1:9">
      <c r="A461" s="433"/>
      <c r="B461" s="433"/>
      <c r="C461" s="433"/>
      <c r="D461" s="1295"/>
      <c r="E461" s="1295"/>
      <c r="F461" s="1295"/>
      <c r="I461" s="524"/>
    </row>
    <row r="462" spans="1:9">
      <c r="A462" s="433"/>
      <c r="B462" s="433"/>
      <c r="C462" s="433"/>
      <c r="D462" s="1295"/>
      <c r="E462" s="1295"/>
      <c r="F462" s="1295"/>
      <c r="I462" s="524"/>
    </row>
    <row r="463" spans="1:9">
      <c r="A463" s="433"/>
      <c r="B463" s="433"/>
      <c r="C463" s="433"/>
      <c r="D463" s="1295"/>
      <c r="E463" s="1295"/>
      <c r="F463" s="1295"/>
      <c r="I463" s="524"/>
    </row>
    <row r="464" spans="1:9">
      <c r="D464" s="1295"/>
      <c r="E464" s="1295"/>
      <c r="F464" s="1295"/>
      <c r="I464" s="524"/>
    </row>
    <row r="465" spans="1:9" ht="40.9" customHeight="1">
      <c r="D465" s="1295"/>
      <c r="E465" s="1295"/>
      <c r="F465" s="1295"/>
      <c r="I465" s="524"/>
    </row>
    <row r="466" spans="1:9">
      <c r="D466" s="480"/>
      <c r="E466" s="480"/>
      <c r="F466" s="480"/>
      <c r="I466" s="524"/>
    </row>
    <row r="467" spans="1:9">
      <c r="A467" s="518"/>
      <c r="B467" s="519" t="s">
        <v>2782</v>
      </c>
      <c r="C467" s="521"/>
      <c r="D467" s="1295" t="s">
        <v>1233</v>
      </c>
      <c r="E467" s="1295"/>
      <c r="F467" s="1295"/>
      <c r="I467" s="524"/>
    </row>
    <row r="468" spans="1:9">
      <c r="D468" s="1295"/>
      <c r="E468" s="1295"/>
      <c r="F468" s="1295"/>
      <c r="I468" s="524"/>
    </row>
    <row r="469" spans="1:9">
      <c r="D469" s="1295"/>
      <c r="E469" s="1295"/>
      <c r="F469" s="1295"/>
      <c r="I469" s="524"/>
    </row>
    <row r="470" spans="1:9">
      <c r="D470" s="479"/>
      <c r="E470" s="479"/>
      <c r="F470" s="479"/>
      <c r="I470" s="524"/>
    </row>
    <row r="471" spans="1:9">
      <c r="B471" s="519" t="s">
        <v>2782</v>
      </c>
      <c r="C471" s="518"/>
      <c r="D471" s="1295" t="s">
        <v>1303</v>
      </c>
      <c r="E471" s="1295"/>
      <c r="F471" s="1295"/>
      <c r="I471" s="524"/>
    </row>
    <row r="472" spans="1:9">
      <c r="D472" s="1295"/>
      <c r="E472" s="1295"/>
      <c r="F472" s="1295"/>
      <c r="I472" s="524"/>
    </row>
    <row r="473" spans="1:9">
      <c r="D473" s="480"/>
      <c r="E473" s="480"/>
      <c r="F473" s="480"/>
      <c r="I473" s="524"/>
    </row>
    <row r="474" spans="1:9">
      <c r="B474" s="519" t="s">
        <v>2782</v>
      </c>
      <c r="C474" s="518"/>
      <c r="D474" s="1295" t="s">
        <v>1235</v>
      </c>
      <c r="E474" s="1295"/>
      <c r="F474" s="1295"/>
      <c r="I474" s="524"/>
    </row>
    <row r="475" spans="1:9">
      <c r="D475" s="1295"/>
      <c r="E475" s="1295"/>
      <c r="F475" s="1295"/>
      <c r="I475" s="524"/>
    </row>
    <row r="476" spans="1:9">
      <c r="D476" s="1295"/>
      <c r="E476" s="1295"/>
      <c r="F476" s="1295"/>
      <c r="I476" s="524"/>
    </row>
    <row r="477" spans="1:9">
      <c r="D477" s="1295"/>
      <c r="E477" s="1295"/>
      <c r="F477" s="1295"/>
      <c r="I477" s="524"/>
    </row>
    <row r="478" spans="1:9">
      <c r="B478" s="519" t="s">
        <v>2782</v>
      </c>
      <c r="D478" s="1295"/>
      <c r="E478" s="1295"/>
      <c r="F478" s="1295"/>
      <c r="I478" s="524"/>
    </row>
    <row r="479" spans="1:9">
      <c r="A479" s="433"/>
      <c r="B479" s="433"/>
      <c r="C479" s="433"/>
      <c r="D479" s="1295"/>
      <c r="E479" s="1295"/>
      <c r="F479" s="1295"/>
      <c r="I479" s="524"/>
    </row>
    <row r="480" spans="1:9">
      <c r="A480" s="433"/>
      <c r="C480" s="433"/>
      <c r="D480" s="1295"/>
      <c r="E480" s="1295"/>
      <c r="F480" s="1295"/>
      <c r="I480" s="524"/>
    </row>
    <row r="481" spans="1:9">
      <c r="A481" s="433"/>
      <c r="B481" s="519" t="s">
        <v>2782</v>
      </c>
      <c r="C481" s="433"/>
      <c r="D481" s="1295"/>
      <c r="E481" s="1295"/>
      <c r="F481" s="1295"/>
      <c r="I481" s="524"/>
    </row>
    <row r="482" spans="1:9">
      <c r="A482" s="433"/>
      <c r="B482" s="433"/>
      <c r="C482" s="433"/>
      <c r="D482" s="1295"/>
      <c r="E482" s="1295"/>
      <c r="F482" s="1295"/>
      <c r="I482" s="524"/>
    </row>
    <row r="483" spans="1:9">
      <c r="A483" s="433"/>
      <c r="C483" s="433"/>
      <c r="D483" s="1295"/>
      <c r="E483" s="1295"/>
      <c r="F483" s="1295"/>
      <c r="I483" s="524"/>
    </row>
    <row r="484" spans="1:9">
      <c r="A484" s="433"/>
      <c r="C484" s="433"/>
      <c r="D484" s="1295"/>
      <c r="E484" s="1295"/>
      <c r="F484" s="1295"/>
      <c r="I484" s="524"/>
    </row>
    <row r="485" spans="1:9">
      <c r="A485" s="433"/>
      <c r="C485" s="433"/>
      <c r="D485" s="1295"/>
      <c r="E485" s="1295"/>
      <c r="F485" s="1295"/>
      <c r="I485" s="524"/>
    </row>
    <row r="486" spans="1:9">
      <c r="A486" s="433"/>
      <c r="B486" s="519" t="s">
        <v>2782</v>
      </c>
      <c r="C486" s="433"/>
      <c r="D486" s="1295"/>
      <c r="E486" s="1295"/>
      <c r="F486" s="1295"/>
      <c r="I486" s="524"/>
    </row>
    <row r="487" spans="1:9">
      <c r="A487" s="433"/>
      <c r="C487" s="433"/>
      <c r="D487" s="1295"/>
      <c r="E487" s="1295"/>
      <c r="F487" s="1295"/>
      <c r="I487" s="524"/>
    </row>
    <row r="488" spans="1:9">
      <c r="A488" s="433"/>
      <c r="B488" s="519" t="s">
        <v>2782</v>
      </c>
      <c r="C488" s="433"/>
      <c r="D488" s="1295" t="s">
        <v>1236</v>
      </c>
      <c r="E488" s="1295"/>
      <c r="F488" s="1295"/>
      <c r="I488" s="524"/>
    </row>
    <row r="489" spans="1:9">
      <c r="A489" s="433"/>
      <c r="B489" s="433"/>
      <c r="C489" s="433"/>
      <c r="D489" s="1295"/>
      <c r="E489" s="1295"/>
      <c r="F489" s="1295"/>
      <c r="I489" s="524"/>
    </row>
    <row r="490" spans="1:9">
      <c r="A490" s="433"/>
      <c r="B490" s="433"/>
      <c r="C490" s="433"/>
      <c r="D490" s="1295"/>
      <c r="E490" s="1295"/>
      <c r="F490" s="1295"/>
      <c r="I490" s="524"/>
    </row>
    <row r="491" spans="1:9">
      <c r="A491" s="433"/>
      <c r="B491" s="433"/>
      <c r="C491" s="433"/>
      <c r="D491" s="1295"/>
      <c r="E491" s="1295"/>
      <c r="F491" s="1295"/>
      <c r="I491" s="524"/>
    </row>
    <row r="492" spans="1:9">
      <c r="D492" s="1295"/>
      <c r="E492" s="1295"/>
      <c r="F492" s="1295"/>
      <c r="I492" s="524"/>
    </row>
    <row r="493" spans="1:9">
      <c r="D493" s="480"/>
      <c r="E493" s="480"/>
      <c r="F493" s="480"/>
      <c r="I493" s="524"/>
    </row>
    <row r="494" spans="1:9">
      <c r="B494" s="519" t="s">
        <v>2782</v>
      </c>
      <c r="D494" s="1296" t="s">
        <v>1237</v>
      </c>
      <c r="E494" s="1296"/>
      <c r="F494" s="1296"/>
      <c r="I494" s="524"/>
    </row>
    <row r="495" spans="1:9">
      <c r="A495" s="480"/>
      <c r="B495" s="480"/>
      <c r="I495" s="524"/>
    </row>
    <row r="496" spans="1:9">
      <c r="A496" s="1283" t="s">
        <v>1078</v>
      </c>
      <c r="B496" s="1283"/>
      <c r="C496" s="1283"/>
      <c r="D496" s="1283"/>
      <c r="E496" s="1283"/>
      <c r="F496" s="1283"/>
      <c r="G496" s="1283"/>
      <c r="H496" s="1063"/>
      <c r="I496" s="1256"/>
    </row>
    <row r="497" spans="1:9">
      <c r="A497" s="480"/>
      <c r="B497" s="480"/>
      <c r="I497" s="524"/>
    </row>
    <row r="498" spans="1:9">
      <c r="D498" s="1280" t="s">
        <v>895</v>
      </c>
      <c r="E498" s="1280"/>
      <c r="F498" s="1280"/>
      <c r="I498" s="524"/>
    </row>
    <row r="499" spans="1:9">
      <c r="A499" s="518"/>
      <c r="B499" s="518"/>
      <c r="D499" s="1281" t="s">
        <v>1238</v>
      </c>
      <c r="E499" s="1281"/>
      <c r="F499" s="1281"/>
      <c r="I499" s="524"/>
    </row>
    <row r="500" spans="1:9">
      <c r="A500" s="518"/>
      <c r="B500" s="518"/>
      <c r="D500" s="481"/>
      <c r="I500" s="524"/>
    </row>
    <row r="501" spans="1:9">
      <c r="A501" s="518"/>
      <c r="B501" s="519" t="s">
        <v>2782</v>
      </c>
      <c r="D501" s="1277" t="s">
        <v>1239</v>
      </c>
      <c r="E501" s="1277"/>
      <c r="F501" s="1277"/>
      <c r="I501" s="524" t="s">
        <v>2092</v>
      </c>
    </row>
    <row r="502" spans="1:9">
      <c r="A502" s="518"/>
      <c r="B502" s="518"/>
      <c r="D502" s="1277"/>
      <c r="E502" s="1277"/>
      <c r="F502" s="1277"/>
      <c r="I502" s="524"/>
    </row>
    <row r="503" spans="1:9">
      <c r="A503" s="518"/>
      <c r="B503" s="518"/>
      <c r="D503" s="480"/>
      <c r="I503" s="524"/>
    </row>
    <row r="504" spans="1:9" ht="12.75" customHeight="1">
      <c r="B504" s="519" t="s">
        <v>2781</v>
      </c>
      <c r="D504" s="1282" t="s">
        <v>1381</v>
      </c>
      <c r="E504" s="1282"/>
      <c r="F504" s="1282"/>
      <c r="I504" s="524" t="s">
        <v>2093</v>
      </c>
    </row>
    <row r="505" spans="1:9">
      <c r="A505" s="518"/>
      <c r="D505" s="1282"/>
      <c r="E505" s="1282"/>
      <c r="F505" s="1282"/>
      <c r="I505" s="524"/>
    </row>
    <row r="506" spans="1:9">
      <c r="A506" s="518"/>
      <c r="B506" s="518"/>
      <c r="D506" s="1282"/>
      <c r="E506" s="1282"/>
      <c r="F506" s="1282"/>
      <c r="I506" s="524"/>
    </row>
    <row r="507" spans="1:9">
      <c r="A507" s="518"/>
      <c r="B507" s="518"/>
      <c r="D507" s="1282"/>
      <c r="E507" s="1282"/>
      <c r="F507" s="1282"/>
      <c r="I507" s="524"/>
    </row>
    <row r="508" spans="1:9">
      <c r="A508" s="518"/>
      <c r="D508" s="554"/>
      <c r="E508" s="554"/>
      <c r="F508" s="554"/>
      <c r="I508" s="524"/>
    </row>
    <row r="509" spans="1:9">
      <c r="A509" s="518"/>
      <c r="B509" s="519" t="s">
        <v>2781</v>
      </c>
      <c r="D509" s="1296" t="s">
        <v>1242</v>
      </c>
      <c r="E509" s="1296"/>
      <c r="F509" s="1296"/>
      <c r="I509" s="524" t="s">
        <v>2094</v>
      </c>
    </row>
    <row r="510" spans="1:9">
      <c r="A510" s="518"/>
      <c r="B510" s="518"/>
      <c r="D510" s="480"/>
      <c r="I510" s="524"/>
    </row>
    <row r="511" spans="1:9">
      <c r="A511" s="518"/>
      <c r="B511" s="519" t="s">
        <v>2781</v>
      </c>
      <c r="D511" s="1295" t="s">
        <v>1243</v>
      </c>
      <c r="E511" s="1295"/>
      <c r="F511" s="1295"/>
      <c r="I511" s="524" t="s">
        <v>2094</v>
      </c>
    </row>
    <row r="512" spans="1:9">
      <c r="A512" s="518"/>
      <c r="D512" s="1295"/>
      <c r="E512" s="1295"/>
      <c r="F512" s="1295"/>
      <c r="I512" s="524"/>
    </row>
    <row r="513" spans="1:9">
      <c r="A513" s="524"/>
      <c r="B513" s="524"/>
      <c r="D513" s="481"/>
      <c r="I513" s="524"/>
    </row>
    <row r="514" spans="1:9">
      <c r="A514" s="524"/>
      <c r="B514" s="519" t="s">
        <v>2782</v>
      </c>
      <c r="D514" s="1296" t="s">
        <v>1244</v>
      </c>
      <c r="E514" s="1296"/>
      <c r="F514" s="1296"/>
      <c r="I514" s="524" t="s">
        <v>2147</v>
      </c>
    </row>
    <row r="515" spans="1:9">
      <c r="A515" s="518"/>
      <c r="B515" s="518"/>
      <c r="D515" s="480"/>
      <c r="I515" s="524"/>
    </row>
    <row r="516" spans="1:9">
      <c r="A516" s="1283" t="s">
        <v>1079</v>
      </c>
      <c r="B516" s="1283"/>
      <c r="C516" s="1283"/>
      <c r="D516" s="1283"/>
      <c r="E516" s="1283"/>
      <c r="F516" s="1283"/>
      <c r="G516" s="1283"/>
      <c r="H516" s="1063"/>
      <c r="I516" s="1256"/>
    </row>
    <row r="517" spans="1:9" ht="12" customHeight="1">
      <c r="A517" s="518"/>
      <c r="B517" s="518"/>
      <c r="D517" s="480"/>
      <c r="I517" s="524"/>
    </row>
    <row r="518" spans="1:9">
      <c r="C518" s="516"/>
      <c r="D518" s="1294" t="s">
        <v>802</v>
      </c>
      <c r="E518" s="1294"/>
      <c r="F518" s="1294"/>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9" customHeight="1">
      <c r="A522" s="517"/>
      <c r="B522" s="519" t="s">
        <v>2781</v>
      </c>
      <c r="C522" s="517"/>
      <c r="D522" s="1277" t="s">
        <v>2372</v>
      </c>
      <c r="E522" s="1277"/>
      <c r="F522" s="1277"/>
      <c r="I522" s="524" t="s">
        <v>2129</v>
      </c>
    </row>
    <row r="523" spans="1:9">
      <c r="A523" s="517"/>
      <c r="B523" s="517"/>
      <c r="C523" s="517"/>
      <c r="D523" s="1277"/>
      <c r="E523" s="1277"/>
      <c r="F523" s="1277"/>
      <c r="I523" s="524"/>
    </row>
    <row r="524" spans="1:9">
      <c r="A524" s="517"/>
      <c r="B524" s="517"/>
      <c r="C524" s="517"/>
      <c r="D524" s="485"/>
      <c r="E524" s="485"/>
      <c r="F524" s="485"/>
      <c r="I524" s="514"/>
    </row>
    <row r="525" spans="1:9" ht="12.75" customHeight="1">
      <c r="A525" s="517"/>
      <c r="B525" s="519" t="s">
        <v>2782</v>
      </c>
      <c r="D525" s="417" t="s">
        <v>2202</v>
      </c>
      <c r="E525" s="416"/>
      <c r="F525" s="416"/>
      <c r="I525" s="524" t="s">
        <v>2095</v>
      </c>
    </row>
    <row r="526" spans="1:9">
      <c r="A526" s="517"/>
      <c r="B526" s="517"/>
      <c r="C526" s="517"/>
      <c r="D526" s="416"/>
      <c r="E526" s="96" t="s">
        <v>2203</v>
      </c>
      <c r="I526" s="524"/>
    </row>
    <row r="527" spans="1:9">
      <c r="A527" s="517"/>
      <c r="B527" s="517"/>
      <c r="D527" s="1325" t="s">
        <v>2373</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15" customHeight="1">
      <c r="A531" s="517"/>
      <c r="B531" s="519" t="s">
        <v>2782</v>
      </c>
      <c r="C531" s="517"/>
      <c r="D531" s="1295" t="s">
        <v>2374</v>
      </c>
      <c r="E531" s="1295"/>
      <c r="F531" s="1295"/>
      <c r="I531" s="524" t="s">
        <v>2095</v>
      </c>
    </row>
    <row r="532" spans="1:9">
      <c r="A532" s="517"/>
      <c r="B532" s="517"/>
      <c r="C532" s="517"/>
      <c r="D532" s="1295"/>
      <c r="E532" s="1295"/>
      <c r="F532" s="1295"/>
      <c r="I532" s="524"/>
    </row>
    <row r="533" spans="1:9" ht="12" customHeight="1">
      <c r="A533" s="480"/>
      <c r="B533" s="480"/>
      <c r="C533" s="521"/>
      <c r="D533" s="480"/>
      <c r="F533" s="482"/>
      <c r="I533" s="524"/>
    </row>
    <row r="534" spans="1:9">
      <c r="A534" s="1283" t="s">
        <v>1080</v>
      </c>
      <c r="B534" s="1283"/>
      <c r="C534" s="1283"/>
      <c r="D534" s="1283"/>
      <c r="E534" s="1283"/>
      <c r="F534" s="1283"/>
      <c r="G534" s="1283"/>
      <c r="H534" s="1063"/>
      <c r="I534" s="1256"/>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314" t="s">
        <v>1081</v>
      </c>
      <c r="B538" s="1314"/>
      <c r="C538" s="1314"/>
      <c r="D538" s="1314"/>
      <c r="E538" s="1314"/>
      <c r="F538" s="1314"/>
      <c r="G538" s="1314"/>
      <c r="H538" s="1063"/>
      <c r="I538" s="1256"/>
    </row>
    <row r="539" spans="1:9">
      <c r="A539" s="480"/>
      <c r="B539" s="480"/>
      <c r="C539" s="521"/>
      <c r="D539" s="480"/>
      <c r="F539" s="480"/>
      <c r="I539" s="524"/>
    </row>
    <row r="540" spans="1:9">
      <c r="C540" s="521"/>
      <c r="D540" s="1294" t="s">
        <v>691</v>
      </c>
      <c r="E540" s="1294"/>
      <c r="F540" s="1294"/>
      <c r="I540" s="524"/>
    </row>
    <row r="541" spans="1:9">
      <c r="C541" s="521"/>
      <c r="D541" s="1296" t="s">
        <v>1138</v>
      </c>
      <c r="E541" s="1296"/>
      <c r="F541" s="1296"/>
      <c r="I541" s="524"/>
    </row>
    <row r="542" spans="1:9">
      <c r="C542" s="521"/>
      <c r="D542" s="480"/>
      <c r="E542" s="480"/>
      <c r="F542" s="480"/>
      <c r="I542" s="524"/>
    </row>
    <row r="543" spans="1:9" ht="13.9" customHeight="1">
      <c r="A543" s="518"/>
      <c r="B543" s="519" t="s">
        <v>2781</v>
      </c>
      <c r="C543" s="521"/>
      <c r="D543" s="1296" t="s">
        <v>896</v>
      </c>
      <c r="E543" s="1296"/>
      <c r="F543" s="1296"/>
      <c r="I543" s="524" t="s">
        <v>2145</v>
      </c>
    </row>
    <row r="544" spans="1:9" ht="13.9" customHeight="1">
      <c r="A544" s="521"/>
      <c r="B544" s="521"/>
      <c r="C544" s="521"/>
      <c r="D544" s="480"/>
      <c r="I544" s="524"/>
    </row>
    <row r="545" spans="1:9">
      <c r="A545" s="518"/>
      <c r="B545" s="519" t="s">
        <v>2781</v>
      </c>
      <c r="C545" s="521"/>
      <c r="D545" s="1295" t="s">
        <v>1139</v>
      </c>
      <c r="E545" s="1295"/>
      <c r="F545" s="1295"/>
      <c r="I545" s="524" t="s">
        <v>2145</v>
      </c>
    </row>
    <row r="546" spans="1:9">
      <c r="A546" s="521"/>
      <c r="B546" s="521"/>
      <c r="C546" s="521"/>
      <c r="D546" s="1295"/>
      <c r="E546" s="1295"/>
      <c r="F546" s="1295"/>
      <c r="I546" s="524"/>
    </row>
    <row r="547" spans="1:9">
      <c r="A547" s="521"/>
      <c r="B547" s="521"/>
      <c r="C547" s="521"/>
      <c r="D547" s="480"/>
      <c r="E547" s="480"/>
      <c r="F547" s="480"/>
      <c r="I547" s="524"/>
    </row>
    <row r="548" spans="1:9">
      <c r="A548" s="518"/>
      <c r="B548" s="519" t="s">
        <v>2781</v>
      </c>
      <c r="C548" s="521"/>
      <c r="D548" s="1295" t="s">
        <v>1140</v>
      </c>
      <c r="E548" s="1295"/>
      <c r="F548" s="1295"/>
      <c r="I548" s="524" t="s">
        <v>2096</v>
      </c>
    </row>
    <row r="549" spans="1:9">
      <c r="A549" s="521"/>
      <c r="B549" s="521"/>
      <c r="C549" s="521"/>
      <c r="D549" s="1295"/>
      <c r="E549" s="1295"/>
      <c r="F549" s="1295"/>
      <c r="I549" s="524"/>
    </row>
    <row r="550" spans="1:9">
      <c r="A550" s="521"/>
      <c r="B550" s="521"/>
      <c r="C550" s="521"/>
      <c r="D550" s="480"/>
      <c r="E550" s="480"/>
      <c r="F550" s="480"/>
      <c r="I550" s="524"/>
    </row>
    <row r="551" spans="1:9">
      <c r="A551" s="518"/>
      <c r="B551" s="519" t="s">
        <v>2781</v>
      </c>
      <c r="C551" s="521"/>
      <c r="D551" s="1295" t="s">
        <v>1141</v>
      </c>
      <c r="E551" s="1295"/>
      <c r="F551" s="1295"/>
      <c r="I551" s="524" t="s">
        <v>2097</v>
      </c>
    </row>
    <row r="552" spans="1:9">
      <c r="A552" s="521"/>
      <c r="B552" s="521"/>
      <c r="C552" s="521"/>
      <c r="D552" s="1295"/>
      <c r="E552" s="1295"/>
      <c r="F552" s="1295"/>
      <c r="I552" s="524"/>
    </row>
    <row r="553" spans="1:9">
      <c r="A553" s="521"/>
      <c r="B553" s="521"/>
      <c r="C553" s="521"/>
      <c r="D553" s="480"/>
      <c r="E553" s="480"/>
      <c r="F553" s="480"/>
      <c r="I553" s="524"/>
    </row>
    <row r="554" spans="1:9">
      <c r="A554" s="518"/>
      <c r="B554" s="519" t="s">
        <v>2781</v>
      </c>
      <c r="C554" s="521"/>
      <c r="D554" s="1295" t="s">
        <v>1142</v>
      </c>
      <c r="E554" s="1295"/>
      <c r="F554" s="1295"/>
      <c r="I554" s="524" t="s">
        <v>2146</v>
      </c>
    </row>
    <row r="555" spans="1:9">
      <c r="A555" s="521"/>
      <c r="B555" s="521"/>
      <c r="C555" s="521"/>
      <c r="D555" s="1295"/>
      <c r="E555" s="1295"/>
      <c r="F555" s="1295"/>
      <c r="I555" s="524"/>
    </row>
    <row r="556" spans="1:9">
      <c r="A556" s="521"/>
      <c r="B556" s="521"/>
      <c r="C556" s="521"/>
      <c r="D556" s="1295"/>
      <c r="E556" s="1295"/>
      <c r="F556" s="1295"/>
      <c r="I556" s="524"/>
    </row>
    <row r="557" spans="1:9">
      <c r="A557" s="521"/>
      <c r="B557" s="521"/>
      <c r="C557" s="521"/>
      <c r="D557" s="480"/>
      <c r="E557" s="480"/>
      <c r="F557" s="480"/>
      <c r="I557" s="524"/>
    </row>
    <row r="558" spans="1:9">
      <c r="A558" s="518"/>
      <c r="B558" s="519" t="s">
        <v>2782</v>
      </c>
      <c r="C558" s="521"/>
      <c r="D558" s="1295" t="s">
        <v>1260</v>
      </c>
      <c r="E558" s="1295"/>
      <c r="F558" s="1295"/>
      <c r="I558" s="524" t="s">
        <v>2145</v>
      </c>
    </row>
    <row r="559" spans="1:9">
      <c r="A559" s="521"/>
      <c r="B559" s="521"/>
      <c r="C559" s="521"/>
      <c r="D559" s="1295"/>
      <c r="E559" s="1295"/>
      <c r="F559" s="1295"/>
      <c r="I559" s="524"/>
    </row>
    <row r="560" spans="1:9">
      <c r="A560" s="521"/>
      <c r="B560" s="521"/>
      <c r="C560" s="521"/>
      <c r="D560" s="480"/>
      <c r="E560" s="480"/>
      <c r="F560" s="480"/>
      <c r="I560" s="524"/>
    </row>
    <row r="561" spans="1:9">
      <c r="A561" s="518"/>
      <c r="B561" s="519" t="s">
        <v>2782</v>
      </c>
      <c r="C561" s="521"/>
      <c r="D561" s="1295" t="s">
        <v>1144</v>
      </c>
      <c r="E561" s="1295"/>
      <c r="F561" s="1295"/>
      <c r="I561" s="524" t="s">
        <v>2145</v>
      </c>
    </row>
    <row r="562" spans="1:9">
      <c r="A562" s="521"/>
      <c r="B562" s="521"/>
      <c r="C562" s="521"/>
      <c r="D562" s="1295"/>
      <c r="E562" s="1295"/>
      <c r="F562" s="1295"/>
      <c r="I562" s="524"/>
    </row>
    <row r="563" spans="1:9">
      <c r="A563" s="521"/>
      <c r="B563" s="521"/>
      <c r="C563" s="521"/>
      <c r="D563" s="480"/>
      <c r="E563" s="480"/>
      <c r="F563" s="480"/>
      <c r="I563" s="524"/>
    </row>
    <row r="564" spans="1:9">
      <c r="A564" s="518"/>
      <c r="B564" s="519" t="s">
        <v>2781</v>
      </c>
      <c r="C564" s="521"/>
      <c r="D564" s="1296" t="s">
        <v>1145</v>
      </c>
      <c r="E564" s="1296"/>
      <c r="F564" s="1296"/>
      <c r="I564" s="524" t="s">
        <v>2148</v>
      </c>
    </row>
    <row r="565" spans="1:9">
      <c r="A565" s="524"/>
      <c r="B565" s="524"/>
      <c r="C565" s="521"/>
      <c r="D565" s="1296" t="s">
        <v>2205</v>
      </c>
      <c r="E565" s="1296"/>
      <c r="F565" s="1296"/>
      <c r="I565" s="524"/>
    </row>
    <row r="566" spans="1:9">
      <c r="A566" s="524"/>
      <c r="B566" s="524"/>
      <c r="C566" s="521"/>
      <c r="E566" s="96" t="s">
        <v>2204</v>
      </c>
      <c r="F566" s="435"/>
      <c r="I566" s="524"/>
    </row>
    <row r="567" spans="1:9">
      <c r="A567" s="518"/>
      <c r="B567" s="518"/>
      <c r="C567" s="521"/>
      <c r="E567" s="480"/>
      <c r="F567" s="480"/>
      <c r="I567" s="524"/>
    </row>
    <row r="568" spans="1:9">
      <c r="A568" s="518"/>
      <c r="B568" s="519" t="s">
        <v>2781</v>
      </c>
      <c r="C568" s="521"/>
      <c r="D568" s="1296" t="s">
        <v>1147</v>
      </c>
      <c r="E568" s="1296"/>
      <c r="F568" s="1296"/>
      <c r="I568" s="524" t="s">
        <v>2098</v>
      </c>
    </row>
    <row r="569" spans="1:9">
      <c r="C569" s="521"/>
      <c r="D569" s="1295" t="s">
        <v>1148</v>
      </c>
      <c r="E569" s="1295"/>
      <c r="F569" s="1295"/>
      <c r="I569" s="524"/>
    </row>
    <row r="570" spans="1:9">
      <c r="A570" s="521"/>
      <c r="B570" s="521"/>
      <c r="C570" s="521"/>
      <c r="D570" s="1295"/>
      <c r="E570" s="1295"/>
      <c r="F570" s="1295"/>
      <c r="I570" s="524"/>
    </row>
    <row r="571" spans="1:9">
      <c r="A571" s="521"/>
      <c r="B571" s="521"/>
      <c r="C571" s="521"/>
      <c r="D571" s="1295"/>
      <c r="E571" s="1295"/>
      <c r="F571" s="1295"/>
      <c r="I571" s="524"/>
    </row>
    <row r="572" spans="1:9">
      <c r="A572" s="521"/>
      <c r="B572" s="521"/>
      <c r="C572" s="521"/>
      <c r="D572" s="480"/>
      <c r="E572" s="480"/>
      <c r="F572" s="480"/>
      <c r="I572" s="524"/>
    </row>
    <row r="573" spans="1:9">
      <c r="A573" s="518"/>
      <c r="B573" s="519" t="s">
        <v>2781</v>
      </c>
      <c r="C573" s="521"/>
      <c r="D573" s="1295" t="s">
        <v>2375</v>
      </c>
      <c r="E573" s="1295"/>
      <c r="F573" s="1295"/>
      <c r="I573" s="524" t="s">
        <v>2099</v>
      </c>
    </row>
    <row r="574" spans="1:9">
      <c r="A574" s="518"/>
      <c r="B574" s="518"/>
      <c r="C574" s="521"/>
      <c r="D574" s="1295"/>
      <c r="E574" s="1295"/>
      <c r="F574" s="1295"/>
      <c r="I574" s="524"/>
    </row>
    <row r="575" spans="1:9">
      <c r="A575" s="518"/>
      <c r="B575" s="518"/>
      <c r="C575" s="521"/>
      <c r="D575" s="1295"/>
      <c r="E575" s="1295"/>
      <c r="F575" s="1295"/>
      <c r="I575" s="524"/>
    </row>
    <row r="576" spans="1:9">
      <c r="A576" s="518"/>
      <c r="B576" s="518"/>
      <c r="C576" s="521"/>
      <c r="D576" s="1295"/>
      <c r="E576" s="1295"/>
      <c r="F576" s="1295"/>
      <c r="I576" s="524"/>
    </row>
    <row r="577" spans="1:9">
      <c r="A577" s="518"/>
      <c r="B577" s="518"/>
      <c r="C577" s="521"/>
      <c r="D577" s="480"/>
      <c r="E577" s="480"/>
      <c r="F577" s="480"/>
      <c r="I577" s="524"/>
    </row>
    <row r="578" spans="1:9">
      <c r="A578" s="1283" t="s">
        <v>1082</v>
      </c>
      <c r="B578" s="1283"/>
      <c r="C578" s="1283"/>
      <c r="D578" s="1283"/>
      <c r="E578" s="1283"/>
      <c r="F578" s="1283"/>
      <c r="G578" s="1283"/>
      <c r="H578" s="1063"/>
      <c r="I578" s="1256"/>
    </row>
    <row r="579" spans="1:9">
      <c r="A579" s="521"/>
      <c r="B579" s="521"/>
      <c r="C579" s="521"/>
      <c r="E579" s="480"/>
      <c r="F579" s="480"/>
      <c r="I579" s="524"/>
    </row>
    <row r="580" spans="1:9" ht="12.75" customHeight="1">
      <c r="C580" s="516"/>
      <c r="D580" s="1297" t="s">
        <v>211</v>
      </c>
      <c r="E580" s="1297"/>
      <c r="F580" s="1297"/>
      <c r="I580" s="524"/>
    </row>
    <row r="581" spans="1:9">
      <c r="A581" s="517"/>
      <c r="B581" s="517"/>
      <c r="C581" s="517"/>
      <c r="D581" s="1282" t="s">
        <v>1098</v>
      </c>
      <c r="E581" s="1282"/>
      <c r="F581" s="1282"/>
      <c r="I581" s="524"/>
    </row>
    <row r="582" spans="1:9">
      <c r="A582" s="433"/>
      <c r="B582" s="433"/>
      <c r="C582" s="517"/>
      <c r="D582" s="533"/>
      <c r="I582" s="524" t="s">
        <v>2100</v>
      </c>
    </row>
    <row r="583" spans="1:9">
      <c r="A583" s="517"/>
      <c r="B583" s="519" t="s">
        <v>2781</v>
      </c>
      <c r="D583" s="1282" t="s">
        <v>902</v>
      </c>
      <c r="E583" s="1282"/>
      <c r="F583" s="1282"/>
      <c r="I583" s="524"/>
    </row>
    <row r="584" spans="1:9">
      <c r="A584" s="524"/>
      <c r="B584" s="524"/>
      <c r="D584" s="510"/>
      <c r="I584" s="524"/>
    </row>
    <row r="585" spans="1:9">
      <c r="A585" s="524"/>
      <c r="B585" s="519" t="s">
        <v>2781</v>
      </c>
      <c r="D585" s="1282" t="s">
        <v>2376</v>
      </c>
      <c r="E585" s="1282"/>
      <c r="F585" s="1282"/>
      <c r="I585" s="524" t="s">
        <v>2102</v>
      </c>
    </row>
    <row r="586" spans="1:9">
      <c r="A586" s="524"/>
      <c r="B586" s="524"/>
      <c r="D586" s="1282"/>
      <c r="E586" s="1282"/>
      <c r="F586" s="1282"/>
      <c r="I586" s="524" t="s">
        <v>2101</v>
      </c>
    </row>
    <row r="587" spans="1:9">
      <c r="A587" s="524"/>
      <c r="B587" s="524"/>
      <c r="D587" s="1282"/>
      <c r="E587" s="1282"/>
      <c r="F587" s="1282"/>
      <c r="I587" s="524"/>
    </row>
    <row r="588" spans="1:9">
      <c r="A588" s="524"/>
      <c r="B588" s="524"/>
      <c r="D588" s="1282"/>
      <c r="E588" s="1282"/>
      <c r="F588" s="1282"/>
      <c r="I588" s="524"/>
    </row>
    <row r="589" spans="1:9">
      <c r="A589" s="524"/>
      <c r="B589" s="519" t="s">
        <v>2782</v>
      </c>
      <c r="D589" s="1282" t="s">
        <v>1100</v>
      </c>
      <c r="E589" s="1282"/>
      <c r="F589" s="1282"/>
      <c r="I589" s="524"/>
    </row>
    <row r="590" spans="1:9">
      <c r="A590" s="524"/>
      <c r="B590" s="524"/>
      <c r="D590" s="1282"/>
      <c r="E590" s="1282"/>
      <c r="F590" s="1282"/>
      <c r="I590" s="524"/>
    </row>
    <row r="591" spans="1:9">
      <c r="A591" s="524"/>
      <c r="B591" s="524"/>
      <c r="D591" s="1282"/>
      <c r="E591" s="1282"/>
      <c r="F591" s="1282"/>
      <c r="I591" s="524"/>
    </row>
    <row r="592" spans="1:9">
      <c r="A592" s="524"/>
      <c r="B592" s="524"/>
      <c r="D592" s="1282"/>
      <c r="E592" s="1282"/>
      <c r="F592" s="1282"/>
      <c r="I592" s="524"/>
    </row>
    <row r="593" spans="1:9">
      <c r="A593" s="524"/>
      <c r="B593" s="524"/>
      <c r="D593" s="473"/>
      <c r="E593" s="473"/>
      <c r="F593" s="473"/>
      <c r="I593" s="524"/>
    </row>
    <row r="594" spans="1:9">
      <c r="A594" s="524"/>
      <c r="B594" s="519" t="s">
        <v>2781</v>
      </c>
      <c r="D594" s="1282" t="s">
        <v>2377</v>
      </c>
      <c r="E594" s="1282"/>
      <c r="F594" s="1282"/>
      <c r="I594" s="524"/>
    </row>
    <row r="595" spans="1:9">
      <c r="A595" s="524"/>
      <c r="B595" s="524"/>
      <c r="D595" s="1282"/>
      <c r="E595" s="1282"/>
      <c r="F595" s="1282"/>
      <c r="I595" s="524"/>
    </row>
    <row r="596" spans="1:9">
      <c r="A596" s="524"/>
      <c r="B596" s="524"/>
      <c r="D596" s="533"/>
      <c r="I596" s="524"/>
    </row>
    <row r="597" spans="1:9">
      <c r="A597" s="524"/>
      <c r="B597" s="519" t="s">
        <v>2782</v>
      </c>
      <c r="D597" s="1282" t="s">
        <v>1102</v>
      </c>
      <c r="E597" s="1282"/>
      <c r="F597" s="1282"/>
      <c r="I597" s="524" t="s">
        <v>2149</v>
      </c>
    </row>
    <row r="598" spans="1:9">
      <c r="A598" s="524"/>
      <c r="B598" s="524"/>
      <c r="D598" s="1282"/>
      <c r="E598" s="1282"/>
      <c r="F598" s="1282"/>
      <c r="I598" s="524"/>
    </row>
    <row r="599" spans="1:9">
      <c r="A599" s="518"/>
      <c r="B599" s="518"/>
      <c r="D599" s="533"/>
      <c r="I599" s="524"/>
    </row>
    <row r="600" spans="1:9">
      <c r="A600" s="1283" t="s">
        <v>1083</v>
      </c>
      <c r="B600" s="1283"/>
      <c r="C600" s="1283"/>
      <c r="D600" s="1283"/>
      <c r="E600" s="1283"/>
      <c r="F600" s="1283"/>
      <c r="G600" s="1283"/>
      <c r="H600" s="1063"/>
      <c r="I600" s="1256"/>
    </row>
    <row r="601" spans="1:9">
      <c r="I601" s="524"/>
    </row>
    <row r="602" spans="1:9">
      <c r="D602" s="1294" t="s">
        <v>1183</v>
      </c>
      <c r="E602" s="1294"/>
      <c r="F602" s="1294"/>
      <c r="I602" s="524"/>
    </row>
    <row r="603" spans="1:9">
      <c r="D603" s="1317" t="s">
        <v>1184</v>
      </c>
      <c r="E603" s="1317"/>
      <c r="F603" s="1317"/>
      <c r="I603" s="524"/>
    </row>
    <row r="604" spans="1:9">
      <c r="D604" s="478"/>
      <c r="I604" s="524"/>
    </row>
    <row r="605" spans="1:9" ht="14.25" customHeight="1">
      <c r="A605" s="518"/>
      <c r="B605" s="519" t="s">
        <v>2781</v>
      </c>
      <c r="D605" s="1335" t="s">
        <v>2206</v>
      </c>
      <c r="E605" s="1335"/>
      <c r="F605" s="1335"/>
      <c r="I605" s="524" t="s">
        <v>2130</v>
      </c>
    </row>
    <row r="606" spans="1:9">
      <c r="D606" s="1335"/>
      <c r="E606" s="1335"/>
      <c r="F606" s="1335"/>
      <c r="I606" s="524"/>
    </row>
    <row r="607" spans="1:9">
      <c r="D607" s="416"/>
      <c r="E607" s="1071" t="s">
        <v>2207</v>
      </c>
      <c r="F607" s="416"/>
      <c r="I607" s="524"/>
    </row>
    <row r="608" spans="1:9">
      <c r="I608" s="524"/>
    </row>
    <row r="609" spans="1:9">
      <c r="A609" s="1283" t="s">
        <v>1084</v>
      </c>
      <c r="B609" s="1283"/>
      <c r="C609" s="1283"/>
      <c r="D609" s="1283"/>
      <c r="E609" s="1283"/>
      <c r="F609" s="1283"/>
      <c r="G609" s="1283"/>
      <c r="H609" s="1063"/>
      <c r="I609" s="1256"/>
    </row>
    <row r="610" spans="1:9">
      <c r="A610" s="480"/>
      <c r="B610" s="480"/>
      <c r="I610" s="524"/>
    </row>
    <row r="611" spans="1:9">
      <c r="A611" s="516"/>
      <c r="B611" s="516"/>
      <c r="C611" s="516"/>
      <c r="D611" s="1318" t="s">
        <v>1186</v>
      </c>
      <c r="E611" s="1318"/>
      <c r="F611" s="1318"/>
      <c r="I611" s="524"/>
    </row>
    <row r="612" spans="1:9">
      <c r="A612" s="516"/>
      <c r="B612" s="516"/>
      <c r="C612" s="516"/>
      <c r="D612" s="1318"/>
      <c r="E612" s="1318"/>
      <c r="F612" s="1318"/>
      <c r="I612" s="524"/>
    </row>
    <row r="613" spans="1:9">
      <c r="C613" s="517"/>
      <c r="D613" s="1317" t="s">
        <v>1187</v>
      </c>
      <c r="E613" s="1317"/>
      <c r="F613" s="1317"/>
      <c r="I613" s="524"/>
    </row>
    <row r="614" spans="1:9">
      <c r="C614" s="517"/>
      <c r="D614" s="478"/>
      <c r="E614" s="478"/>
      <c r="F614" s="478"/>
      <c r="I614" s="524"/>
    </row>
    <row r="615" spans="1:9" ht="12.75" customHeight="1">
      <c r="A615" s="524"/>
      <c r="B615" s="519" t="s">
        <v>2781</v>
      </c>
      <c r="D615" s="1293" t="s">
        <v>1188</v>
      </c>
      <c r="E615" s="1293"/>
      <c r="F615" s="1293"/>
      <c r="I615" s="524" t="s">
        <v>2150</v>
      </c>
    </row>
    <row r="616" spans="1:9">
      <c r="D616" s="1293"/>
      <c r="E616" s="1293"/>
      <c r="F616" s="1293"/>
      <c r="I616" s="524"/>
    </row>
    <row r="617" spans="1:9">
      <c r="I617" s="524"/>
    </row>
    <row r="618" spans="1:9">
      <c r="B618" s="519" t="s">
        <v>2782</v>
      </c>
      <c r="D618" s="1293" t="s">
        <v>1189</v>
      </c>
      <c r="E618" s="1293"/>
      <c r="F618" s="1293"/>
      <c r="I618" s="524" t="s">
        <v>2103</v>
      </c>
    </row>
    <row r="619" spans="1:9">
      <c r="C619" s="534"/>
      <c r="D619" s="1293"/>
      <c r="E619" s="1293"/>
      <c r="F619" s="1293"/>
      <c r="I619" s="524"/>
    </row>
    <row r="620" spans="1:9">
      <c r="C620" s="534"/>
      <c r="I620" s="524"/>
    </row>
    <row r="621" spans="1:9">
      <c r="B621" s="519" t="s">
        <v>2782</v>
      </c>
      <c r="C621" s="534"/>
      <c r="D621" s="1293" t="s">
        <v>1190</v>
      </c>
      <c r="E621" s="1293"/>
      <c r="F621" s="1293"/>
      <c r="I621" s="524" t="s">
        <v>2151</v>
      </c>
    </row>
    <row r="622" spans="1:9">
      <c r="C622" s="534"/>
      <c r="D622" s="1293"/>
      <c r="E622" s="1293"/>
      <c r="F622" s="1293"/>
      <c r="I622" s="534" t="s">
        <v>2152</v>
      </c>
    </row>
    <row r="623" spans="1:9">
      <c r="C623" s="534"/>
      <c r="I623" s="524"/>
    </row>
    <row r="624" spans="1:9">
      <c r="A624" s="1283" t="s">
        <v>1085</v>
      </c>
      <c r="B624" s="1283"/>
      <c r="C624" s="1283"/>
      <c r="D624" s="1283"/>
      <c r="E624" s="1283"/>
      <c r="F624" s="1283"/>
      <c r="G624" s="1283"/>
      <c r="H624" s="1063"/>
      <c r="I624" s="1256"/>
    </row>
    <row r="625" spans="1:9">
      <c r="A625" s="516"/>
      <c r="B625" s="516"/>
      <c r="C625" s="516"/>
      <c r="I625" s="524"/>
    </row>
    <row r="626" spans="1:9">
      <c r="C626" s="524"/>
      <c r="D626" s="1294" t="s">
        <v>1191</v>
      </c>
      <c r="E626" s="1294"/>
      <c r="F626" s="1294"/>
      <c r="I626" s="524"/>
    </row>
    <row r="627" spans="1:9">
      <c r="A627" s="524"/>
      <c r="B627" s="524"/>
      <c r="D627" s="435"/>
      <c r="I627" s="524"/>
    </row>
    <row r="628" spans="1:9" ht="14.25" customHeight="1">
      <c r="A628" s="518"/>
      <c r="B628" s="519" t="s">
        <v>2781</v>
      </c>
      <c r="D628" s="1335" t="s">
        <v>2378</v>
      </c>
      <c r="E628" s="1335"/>
      <c r="F628" s="1335"/>
      <c r="I628" s="524" t="s">
        <v>2131</v>
      </c>
    </row>
    <row r="629" spans="1:9">
      <c r="D629" s="1335"/>
      <c r="E629" s="1335"/>
      <c r="F629" s="1335"/>
      <c r="I629" s="524"/>
    </row>
    <row r="630" spans="1:9">
      <c r="D630" s="416"/>
      <c r="E630" s="1071" t="s">
        <v>2209</v>
      </c>
      <c r="F630" s="416"/>
      <c r="I630" s="524"/>
    </row>
    <row r="631" spans="1:9">
      <c r="D631" s="1295" t="s">
        <v>2208</v>
      </c>
      <c r="E631" s="1295"/>
      <c r="F631" s="1295"/>
      <c r="I631" s="524"/>
    </row>
    <row r="632" spans="1:9">
      <c r="D632" s="1295"/>
      <c r="E632" s="1295"/>
      <c r="F632" s="1295"/>
      <c r="I632" s="524"/>
    </row>
    <row r="633" spans="1:9">
      <c r="D633" s="1295"/>
      <c r="E633" s="1295"/>
      <c r="F633" s="1295"/>
      <c r="I633" s="524"/>
    </row>
    <row r="634" spans="1:9">
      <c r="D634" s="479"/>
      <c r="E634" s="479"/>
      <c r="F634" s="479"/>
      <c r="I634" s="524"/>
    </row>
    <row r="635" spans="1:9">
      <c r="A635" s="518"/>
      <c r="B635" s="519" t="s">
        <v>2781</v>
      </c>
      <c r="D635" s="1295" t="s">
        <v>1193</v>
      </c>
      <c r="E635" s="1295"/>
      <c r="F635" s="1295"/>
      <c r="I635" s="524" t="s">
        <v>2153</v>
      </c>
    </row>
    <row r="636" spans="1:9">
      <c r="A636" s="521"/>
      <c r="B636" s="521"/>
      <c r="C636" s="521"/>
      <c r="D636" s="1295"/>
      <c r="E636" s="1295"/>
      <c r="F636" s="1295"/>
      <c r="I636" s="524"/>
    </row>
    <row r="637" spans="1:9">
      <c r="A637" s="521"/>
      <c r="B637" s="521"/>
      <c r="C637" s="521"/>
      <c r="D637" s="480"/>
      <c r="E637" s="480"/>
      <c r="F637" s="480"/>
      <c r="I637" s="524"/>
    </row>
    <row r="638" spans="1:9">
      <c r="A638" s="518"/>
      <c r="B638" s="519" t="s">
        <v>2782</v>
      </c>
      <c r="C638" s="521"/>
      <c r="D638" s="1295" t="s">
        <v>1332</v>
      </c>
      <c r="E638" s="1295"/>
      <c r="F638" s="1295"/>
      <c r="I638" s="524" t="s">
        <v>2104</v>
      </c>
    </row>
    <row r="639" spans="1:9">
      <c r="A639" s="518"/>
      <c r="B639" s="518"/>
      <c r="C639" s="521"/>
      <c r="D639" s="1295"/>
      <c r="E639" s="1295"/>
      <c r="F639" s="1295"/>
      <c r="I639" s="524"/>
    </row>
    <row r="640" spans="1:9">
      <c r="A640" s="518"/>
      <c r="B640" s="518"/>
      <c r="C640" s="521"/>
      <c r="D640" s="1295"/>
      <c r="E640" s="1295"/>
      <c r="F640" s="1295"/>
      <c r="I640" s="524"/>
    </row>
    <row r="641" spans="1:9">
      <c r="A641" s="521"/>
      <c r="B641" s="519" t="s">
        <v>2782</v>
      </c>
      <c r="C641" s="521"/>
      <c r="D641" s="1296" t="s">
        <v>1195</v>
      </c>
      <c r="E641" s="1296"/>
      <c r="F641" s="1296"/>
      <c r="I641" s="524" t="s">
        <v>2104</v>
      </c>
    </row>
    <row r="642" spans="1:9">
      <c r="A642" s="521"/>
      <c r="B642" s="521"/>
      <c r="C642" s="521"/>
      <c r="D642" s="480"/>
      <c r="E642" s="480"/>
      <c r="F642" s="480"/>
      <c r="I642" s="524"/>
    </row>
    <row r="643" spans="1:9">
      <c r="A643" s="1283" t="s">
        <v>1086</v>
      </c>
      <c r="B643" s="1283"/>
      <c r="C643" s="1283"/>
      <c r="D643" s="1283"/>
      <c r="E643" s="1283"/>
      <c r="F643" s="1283"/>
      <c r="G643" s="1283"/>
      <c r="H643" s="1063"/>
      <c r="I643" s="1256"/>
    </row>
    <row r="644" spans="1:9">
      <c r="A644" s="480"/>
      <c r="B644" s="480"/>
      <c r="C644" s="521"/>
      <c r="D644" s="480"/>
      <c r="E644" s="480"/>
      <c r="F644" s="480"/>
      <c r="I644" s="524"/>
    </row>
    <row r="645" spans="1:9">
      <c r="C645" s="516"/>
      <c r="D645" s="1294" t="s">
        <v>1245</v>
      </c>
      <c r="E645" s="1294"/>
      <c r="F645" s="1294"/>
      <c r="I645" s="524"/>
    </row>
    <row r="646" spans="1:9">
      <c r="A646" s="517"/>
      <c r="B646" s="517"/>
      <c r="C646" s="517"/>
      <c r="D646" s="1296" t="s">
        <v>1246</v>
      </c>
      <c r="E646" s="1296"/>
      <c r="F646" s="1296"/>
      <c r="I646" s="524"/>
    </row>
    <row r="647" spans="1:9">
      <c r="A647" s="517"/>
      <c r="B647" s="517"/>
      <c r="C647" s="517"/>
      <c r="D647" s="480"/>
      <c r="E647" s="480"/>
      <c r="F647" s="480"/>
      <c r="I647" s="524"/>
    </row>
    <row r="648" spans="1:9" ht="12.75" customHeight="1">
      <c r="B648" s="519" t="s">
        <v>2782</v>
      </c>
      <c r="C648" s="521"/>
      <c r="D648" s="1295" t="s">
        <v>1389</v>
      </c>
      <c r="E648" s="1295"/>
      <c r="F648" s="1295"/>
      <c r="I648" s="524" t="s">
        <v>2156</v>
      </c>
    </row>
    <row r="649" spans="1:9">
      <c r="D649" s="1295"/>
      <c r="E649" s="1295"/>
      <c r="F649" s="1295"/>
      <c r="I649" s="524"/>
    </row>
    <row r="650" spans="1:9">
      <c r="D650" s="1295"/>
      <c r="E650" s="1295"/>
      <c r="F650" s="1295"/>
      <c r="I650" s="524"/>
    </row>
    <row r="651" spans="1:9">
      <c r="D651" s="1295"/>
      <c r="E651" s="1295"/>
      <c r="F651" s="1295"/>
      <c r="I651" s="524"/>
    </row>
    <row r="652" spans="1:9" ht="14.65" customHeight="1">
      <c r="A652" s="518"/>
      <c r="B652" s="518"/>
      <c r="C652" s="521"/>
      <c r="D652" s="416"/>
      <c r="E652" s="416"/>
      <c r="F652" s="416"/>
      <c r="I652" s="524"/>
    </row>
    <row r="653" spans="1:9" ht="12.75" customHeight="1">
      <c r="A653" s="517"/>
      <c r="B653" s="519" t="s">
        <v>2782</v>
      </c>
      <c r="C653" s="521"/>
      <c r="D653" s="1295" t="s">
        <v>1391</v>
      </c>
      <c r="E653" s="1295"/>
      <c r="F653" s="1295"/>
      <c r="I653" s="524" t="s">
        <v>2156</v>
      </c>
    </row>
    <row r="654" spans="1:9">
      <c r="A654" s="517"/>
      <c r="B654" s="518"/>
      <c r="C654" s="521"/>
      <c r="D654" s="1295"/>
      <c r="E654" s="1295"/>
      <c r="F654" s="1295"/>
      <c r="I654" s="524"/>
    </row>
    <row r="655" spans="1:9">
      <c r="A655" s="517"/>
      <c r="B655" s="518"/>
      <c r="C655" s="521"/>
      <c r="D655" s="1295"/>
      <c r="E655" s="1295"/>
      <c r="F655" s="1295"/>
      <c r="I655" s="524"/>
    </row>
    <row r="656" spans="1:9">
      <c r="A656" s="517"/>
      <c r="B656" s="518"/>
      <c r="C656" s="521"/>
      <c r="D656" s="1295"/>
      <c r="E656" s="1295"/>
      <c r="F656" s="1295"/>
      <c r="I656" s="524"/>
    </row>
    <row r="657" spans="1:9">
      <c r="A657" s="517"/>
      <c r="B657" s="518"/>
      <c r="C657" s="521"/>
      <c r="D657" s="1295"/>
      <c r="E657" s="1295"/>
      <c r="F657" s="1295"/>
      <c r="I657" s="524"/>
    </row>
    <row r="658" spans="1:9" ht="14.25" customHeight="1">
      <c r="A658" s="517"/>
      <c r="B658" s="518"/>
      <c r="C658" s="521"/>
      <c r="F658" s="417"/>
      <c r="I658" s="524"/>
    </row>
    <row r="659" spans="1:9" ht="12.75" customHeight="1">
      <c r="A659" s="517"/>
      <c r="B659" s="519" t="s">
        <v>2782</v>
      </c>
      <c r="C659" s="521"/>
      <c r="D659" s="1295" t="s">
        <v>1390</v>
      </c>
      <c r="E659" s="1295"/>
      <c r="F659" s="1295"/>
      <c r="I659" s="524" t="s">
        <v>2156</v>
      </c>
    </row>
    <row r="660" spans="1:9">
      <c r="A660" s="517"/>
      <c r="B660" s="518"/>
      <c r="C660" s="521"/>
      <c r="D660" s="1295"/>
      <c r="E660" s="1295"/>
      <c r="F660" s="1295"/>
      <c r="I660" s="524"/>
    </row>
    <row r="661" spans="1:9">
      <c r="A661" s="518"/>
      <c r="B661" s="518"/>
      <c r="C661" s="521"/>
      <c r="D661" s="1295"/>
      <c r="E661" s="1295"/>
      <c r="F661" s="1295"/>
      <c r="I661" s="524"/>
    </row>
    <row r="662" spans="1:9">
      <c r="A662" s="518"/>
      <c r="B662" s="518"/>
      <c r="C662" s="521"/>
      <c r="D662" s="1295"/>
      <c r="E662" s="1295"/>
      <c r="F662" s="1295"/>
      <c r="I662" s="524"/>
    </row>
    <row r="663" spans="1:9">
      <c r="A663" s="518"/>
      <c r="B663" s="518"/>
      <c r="C663" s="521"/>
      <c r="D663" s="479"/>
      <c r="E663" s="479"/>
      <c r="F663" s="479"/>
      <c r="I663" s="524"/>
    </row>
    <row r="664" spans="1:9" ht="12.75" customHeight="1">
      <c r="A664" s="517"/>
      <c r="B664" s="519" t="s">
        <v>2782</v>
      </c>
      <c r="C664" s="521"/>
      <c r="D664" s="1295" t="s">
        <v>2379</v>
      </c>
      <c r="E664" s="1295"/>
      <c r="F664" s="1295"/>
      <c r="I664" s="524" t="s">
        <v>2156</v>
      </c>
    </row>
    <row r="665" spans="1:9" ht="12.75" customHeight="1">
      <c r="A665" s="517"/>
      <c r="B665" s="518"/>
      <c r="C665" s="521"/>
      <c r="D665" s="1295"/>
      <c r="E665" s="1295"/>
      <c r="F665" s="1295"/>
      <c r="I665" s="524"/>
    </row>
    <row r="666" spans="1:9" ht="12.75" customHeight="1">
      <c r="A666" s="517"/>
      <c r="B666" s="518"/>
      <c r="C666" s="521"/>
      <c r="D666" s="1295"/>
      <c r="E666" s="1295"/>
      <c r="F666" s="1295"/>
      <c r="I666" s="524"/>
    </row>
    <row r="667" spans="1:9" ht="12.75" customHeight="1">
      <c r="A667" s="517"/>
      <c r="B667" s="518"/>
      <c r="C667" s="521"/>
      <c r="D667" s="1295"/>
      <c r="E667" s="1295"/>
      <c r="F667" s="1295"/>
      <c r="I667" s="524"/>
    </row>
    <row r="668" spans="1:9" ht="12.75" customHeight="1">
      <c r="A668" s="517"/>
      <c r="B668" s="518"/>
      <c r="C668" s="521"/>
      <c r="D668" s="1295"/>
      <c r="E668" s="1295"/>
      <c r="F668" s="1295"/>
      <c r="I668" s="524"/>
    </row>
    <row r="669" spans="1:9" ht="12.75" customHeight="1">
      <c r="A669" s="517"/>
      <c r="B669" s="518"/>
      <c r="C669" s="521"/>
      <c r="D669" s="1295"/>
      <c r="E669" s="1295"/>
      <c r="F669" s="1295"/>
      <c r="I669" s="524"/>
    </row>
    <row r="670" spans="1:9" ht="12.75" customHeight="1">
      <c r="A670" s="517"/>
      <c r="B670" s="518"/>
      <c r="C670" s="521"/>
      <c r="D670" s="1295"/>
      <c r="E670" s="1295"/>
      <c r="F670" s="1295"/>
      <c r="I670" s="524"/>
    </row>
    <row r="671" spans="1:9" ht="12.75" customHeight="1">
      <c r="A671" s="517"/>
      <c r="B671" s="518"/>
      <c r="C671" s="521"/>
      <c r="D671" s="1295"/>
      <c r="E671" s="1295"/>
      <c r="F671" s="1295"/>
      <c r="I671" s="524"/>
    </row>
    <row r="672" spans="1:9" ht="12.75" customHeight="1">
      <c r="A672" s="517"/>
      <c r="B672" s="518"/>
      <c r="C672" s="521"/>
      <c r="D672" s="1295"/>
      <c r="E672" s="1295"/>
      <c r="F672" s="1295"/>
      <c r="I672" s="524"/>
    </row>
    <row r="673" spans="1:11">
      <c r="A673" s="521"/>
      <c r="B673" s="521"/>
      <c r="C673" s="521"/>
      <c r="D673" s="480"/>
      <c r="E673" s="480"/>
      <c r="F673" s="480"/>
      <c r="I673" s="524"/>
    </row>
    <row r="674" spans="1:11">
      <c r="A674" s="1283" t="s">
        <v>1087</v>
      </c>
      <c r="B674" s="1283"/>
      <c r="C674" s="1283"/>
      <c r="D674" s="1283"/>
      <c r="E674" s="1283"/>
      <c r="F674" s="1283"/>
      <c r="G674" s="1283"/>
      <c r="H674" s="1065"/>
      <c r="I674" s="1260"/>
      <c r="J674" s="535"/>
      <c r="K674" s="535"/>
    </row>
    <row r="675" spans="1:11">
      <c r="A675" s="482"/>
      <c r="B675" s="482"/>
      <c r="C675" s="482"/>
      <c r="D675" s="482"/>
      <c r="E675" s="482"/>
      <c r="F675" s="482"/>
      <c r="G675" s="482"/>
      <c r="H675" s="535"/>
      <c r="I675" s="517"/>
      <c r="J675" s="535"/>
      <c r="K675" s="535"/>
    </row>
    <row r="676" spans="1:11">
      <c r="C676" s="516"/>
      <c r="D676" s="1294" t="s">
        <v>99</v>
      </c>
      <c r="E676" s="1294"/>
      <c r="F676" s="1294"/>
      <c r="H676" s="535"/>
      <c r="I676" s="517"/>
      <c r="J676" s="535"/>
      <c r="K676" s="535"/>
    </row>
    <row r="677" spans="1:11">
      <c r="A677" s="516"/>
      <c r="B677" s="516"/>
      <c r="C677" s="516"/>
      <c r="D677" s="1294" t="s">
        <v>123</v>
      </c>
      <c r="E677" s="1294"/>
      <c r="F677" s="1294"/>
      <c r="H677" s="535"/>
      <c r="I677" s="517"/>
      <c r="J677" s="535"/>
      <c r="K677" s="535"/>
    </row>
    <row r="678" spans="1:11">
      <c r="A678" s="517"/>
      <c r="B678" s="517"/>
      <c r="C678" s="517"/>
      <c r="D678" s="1296" t="s">
        <v>1123</v>
      </c>
      <c r="E678" s="1296"/>
      <c r="F678" s="1296"/>
      <c r="H678" s="535"/>
      <c r="I678" s="517"/>
      <c r="J678" s="535"/>
      <c r="K678" s="535"/>
    </row>
    <row r="679" spans="1:11">
      <c r="A679" s="517"/>
      <c r="B679" s="517"/>
      <c r="C679" s="517"/>
      <c r="H679" s="535"/>
      <c r="I679" s="517"/>
      <c r="J679" s="535"/>
      <c r="K679" s="535"/>
    </row>
    <row r="680" spans="1:11">
      <c r="A680" s="518"/>
      <c r="B680" s="519" t="s">
        <v>2781</v>
      </c>
      <c r="C680" s="517"/>
      <c r="D680" s="1296" t="s">
        <v>898</v>
      </c>
      <c r="E680" s="1296"/>
      <c r="F680" s="1296"/>
      <c r="H680" s="535"/>
      <c r="I680" s="517" t="s">
        <v>2132</v>
      </c>
      <c r="J680" s="535"/>
      <c r="K680" s="535"/>
    </row>
    <row r="681" spans="1:11">
      <c r="A681" s="517"/>
      <c r="B681" s="517"/>
      <c r="C681" s="517"/>
      <c r="D681" s="1296" t="s">
        <v>908</v>
      </c>
      <c r="E681" s="1296"/>
      <c r="F681" s="1296"/>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2782</v>
      </c>
      <c r="C685" s="517"/>
      <c r="D685" s="1295" t="s">
        <v>2380</v>
      </c>
      <c r="E685" s="1295"/>
      <c r="F685" s="1295"/>
      <c r="H685" s="535"/>
      <c r="I685" s="517" t="s">
        <v>2154</v>
      </c>
      <c r="J685" s="535"/>
      <c r="K685" s="535"/>
    </row>
    <row r="686" spans="1:11">
      <c r="A686" s="524"/>
      <c r="B686" s="524"/>
      <c r="C686" s="517"/>
      <c r="D686" s="1295"/>
      <c r="E686" s="1295"/>
      <c r="F686" s="1295"/>
      <c r="H686" s="535"/>
      <c r="I686" s="517"/>
      <c r="J686" s="535"/>
      <c r="K686" s="535"/>
    </row>
    <row r="687" spans="1:11">
      <c r="A687" s="517"/>
      <c r="B687" s="517"/>
      <c r="C687" s="517"/>
      <c r="D687" s="1295"/>
      <c r="E687" s="1295"/>
      <c r="F687" s="1295"/>
      <c r="H687" s="535"/>
      <c r="I687" s="517"/>
      <c r="J687" s="535"/>
      <c r="K687" s="535"/>
    </row>
    <row r="688" spans="1:11">
      <c r="A688" s="517"/>
      <c r="B688" s="517"/>
      <c r="C688" s="517"/>
      <c r="H688" s="535"/>
      <c r="I688" s="517" t="s">
        <v>2133</v>
      </c>
      <c r="J688" s="535"/>
      <c r="K688" s="535"/>
    </row>
    <row r="689" spans="1:11">
      <c r="A689" s="518"/>
      <c r="B689" s="519" t="s">
        <v>2781</v>
      </c>
      <c r="C689" s="517"/>
      <c r="D689" s="1296" t="s">
        <v>936</v>
      </c>
      <c r="E689" s="1296"/>
      <c r="F689" s="1296"/>
      <c r="H689" s="535"/>
      <c r="I689" s="517"/>
      <c r="J689" s="535"/>
      <c r="K689" s="535"/>
    </row>
    <row r="690" spans="1:11">
      <c r="A690" s="518"/>
      <c r="B690" s="518"/>
      <c r="C690" s="517"/>
      <c r="D690" s="1296" t="s">
        <v>908</v>
      </c>
      <c r="E690" s="1296"/>
      <c r="F690" s="1296"/>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2782</v>
      </c>
      <c r="C693" s="517"/>
      <c r="D693" s="1295" t="s">
        <v>1136</v>
      </c>
      <c r="E693" s="1295"/>
      <c r="F693" s="1295"/>
      <c r="H693" s="535"/>
      <c r="I693" s="517" t="s">
        <v>2105</v>
      </c>
      <c r="J693" s="535"/>
      <c r="K693" s="535"/>
    </row>
    <row r="694" spans="1:11">
      <c r="A694" s="517"/>
      <c r="B694" s="517"/>
      <c r="C694" s="517"/>
      <c r="D694" s="1295"/>
      <c r="E694" s="1295"/>
      <c r="F694" s="1295"/>
      <c r="H694" s="535"/>
      <c r="I694" s="517"/>
      <c r="J694" s="535"/>
      <c r="K694" s="535"/>
    </row>
    <row r="695" spans="1:11">
      <c r="A695" s="517"/>
      <c r="B695" s="517"/>
      <c r="C695" s="517"/>
      <c r="D695" s="1295"/>
      <c r="E695" s="1295"/>
      <c r="F695" s="1295"/>
      <c r="H695" s="535"/>
      <c r="I695" s="517"/>
      <c r="J695" s="535"/>
      <c r="K695" s="535"/>
    </row>
    <row r="696" spans="1:11">
      <c r="A696" s="517"/>
      <c r="B696" s="517"/>
      <c r="C696" s="517"/>
      <c r="D696" s="1295"/>
      <c r="E696" s="1295"/>
      <c r="F696" s="1295"/>
      <c r="H696" s="535"/>
      <c r="I696" s="517"/>
      <c r="J696" s="535"/>
      <c r="K696" s="535"/>
    </row>
    <row r="697" spans="1:11">
      <c r="A697" s="517"/>
      <c r="B697" s="517"/>
      <c r="C697" s="517"/>
      <c r="D697" s="1295"/>
      <c r="E697" s="1295"/>
      <c r="F697" s="1295"/>
      <c r="H697" s="535"/>
      <c r="I697" s="517"/>
      <c r="J697" s="535"/>
      <c r="K697" s="535"/>
    </row>
    <row r="698" spans="1:11">
      <c r="A698" s="517"/>
      <c r="B698" s="517"/>
      <c r="C698" s="517"/>
      <c r="D698" s="1295"/>
      <c r="E698" s="1295"/>
      <c r="F698" s="1295"/>
      <c r="H698" s="535"/>
      <c r="I698" s="517"/>
      <c r="J698" s="535"/>
      <c r="K698" s="535"/>
    </row>
    <row r="699" spans="1:11">
      <c r="A699" s="517"/>
      <c r="B699" s="517"/>
      <c r="C699" s="517"/>
      <c r="D699" s="479"/>
      <c r="E699" s="479"/>
      <c r="F699" s="479"/>
      <c r="H699" s="535"/>
      <c r="I699" s="517"/>
      <c r="J699" s="535"/>
      <c r="K699" s="535"/>
    </row>
    <row r="700" spans="1:11">
      <c r="A700" s="517"/>
      <c r="B700" s="519" t="s">
        <v>2782</v>
      </c>
      <c r="C700" s="517"/>
      <c r="D700" s="1295" t="s">
        <v>1307</v>
      </c>
      <c r="E700" s="1295"/>
      <c r="F700" s="1295"/>
      <c r="H700" s="535"/>
      <c r="I700" s="517" t="s">
        <v>2105</v>
      </c>
      <c r="J700" s="535"/>
      <c r="K700" s="535"/>
    </row>
    <row r="701" spans="1:11">
      <c r="A701" s="517"/>
      <c r="B701" s="517"/>
      <c r="C701" s="517"/>
      <c r="D701" s="1295"/>
      <c r="E701" s="1295"/>
      <c r="F701" s="1295"/>
      <c r="H701" s="535"/>
      <c r="I701" s="517"/>
      <c r="J701" s="535"/>
      <c r="K701" s="535"/>
    </row>
    <row r="702" spans="1:11">
      <c r="A702" s="517"/>
      <c r="B702" s="517"/>
      <c r="C702" s="517"/>
      <c r="D702" s="479"/>
      <c r="E702" s="479"/>
      <c r="F702" s="479"/>
      <c r="H702" s="535"/>
      <c r="I702" s="517"/>
      <c r="J702" s="535"/>
      <c r="K702" s="535"/>
    </row>
    <row r="703" spans="1:11">
      <c r="A703" s="518"/>
      <c r="B703" s="519" t="s">
        <v>2782</v>
      </c>
      <c r="C703" s="517"/>
      <c r="D703" s="1295" t="s">
        <v>1127</v>
      </c>
      <c r="E703" s="1295"/>
      <c r="F703" s="1295"/>
      <c r="H703" s="535"/>
      <c r="I703" s="517" t="s">
        <v>2105</v>
      </c>
      <c r="J703" s="535"/>
      <c r="K703" s="535"/>
    </row>
    <row r="704" spans="1:11">
      <c r="A704" s="517"/>
      <c r="B704" s="517"/>
      <c r="C704" s="517"/>
      <c r="D704" s="1295"/>
      <c r="E704" s="1295"/>
      <c r="F704" s="1295"/>
      <c r="H704" s="535"/>
      <c r="I704" s="517"/>
      <c r="J704" s="535"/>
      <c r="K704" s="535"/>
    </row>
    <row r="705" spans="1:11">
      <c r="A705" s="517"/>
      <c r="B705" s="517"/>
      <c r="C705" s="517"/>
      <c r="D705" s="1295"/>
      <c r="E705" s="1295"/>
      <c r="F705" s="1295"/>
      <c r="H705" s="535"/>
      <c r="I705" s="517"/>
      <c r="J705" s="535"/>
      <c r="K705" s="535"/>
    </row>
    <row r="706" spans="1:11" ht="15" customHeight="1">
      <c r="A706" s="517"/>
      <c r="B706" s="517"/>
      <c r="C706" s="517"/>
      <c r="D706" s="1295"/>
      <c r="E706" s="1295"/>
      <c r="F706" s="1295"/>
      <c r="H706" s="535"/>
      <c r="I706" s="517"/>
      <c r="J706" s="535"/>
      <c r="K706" s="535"/>
    </row>
    <row r="707" spans="1:11" ht="15" customHeight="1">
      <c r="A707" s="517"/>
      <c r="B707" s="517"/>
      <c r="C707" s="517"/>
      <c r="D707" s="1295"/>
      <c r="E707" s="1295"/>
      <c r="F707" s="1295"/>
      <c r="H707" s="535"/>
      <c r="I707" s="517"/>
      <c r="J707" s="535"/>
      <c r="K707" s="535"/>
    </row>
    <row r="708" spans="1:11">
      <c r="A708" s="517"/>
      <c r="B708" s="517"/>
      <c r="C708" s="517"/>
      <c r="D708" s="1295"/>
      <c r="E708" s="1295"/>
      <c r="F708" s="1295"/>
      <c r="H708" s="535"/>
      <c r="I708" s="517"/>
      <c r="J708" s="535"/>
      <c r="K708" s="535"/>
    </row>
    <row r="709" spans="1:11">
      <c r="A709" s="517"/>
      <c r="B709" s="517"/>
      <c r="C709" s="517"/>
      <c r="D709" s="1295"/>
      <c r="E709" s="1295"/>
      <c r="F709" s="1295"/>
      <c r="H709" s="535"/>
      <c r="I709" s="517"/>
      <c r="J709" s="535"/>
      <c r="K709" s="535"/>
    </row>
    <row r="710" spans="1:11">
      <c r="A710" s="517"/>
      <c r="B710" s="517"/>
      <c r="C710" s="517"/>
      <c r="D710" s="1295"/>
      <c r="E710" s="1295"/>
      <c r="F710" s="1295"/>
      <c r="H710" s="535"/>
      <c r="I710" s="517"/>
      <c r="J710" s="535"/>
      <c r="K710" s="535"/>
    </row>
    <row r="711" spans="1:11" ht="15" customHeight="1">
      <c r="A711" s="517"/>
      <c r="B711" s="517"/>
      <c r="C711" s="517"/>
      <c r="D711" s="1295"/>
      <c r="E711" s="1295"/>
      <c r="F711" s="1295"/>
      <c r="H711" s="535"/>
      <c r="I711" s="517"/>
      <c r="J711" s="535"/>
      <c r="K711" s="535"/>
    </row>
    <row r="712" spans="1:11">
      <c r="A712" s="517"/>
      <c r="B712" s="517"/>
      <c r="C712" s="517"/>
      <c r="D712" s="1295"/>
      <c r="E712" s="1295"/>
      <c r="F712" s="1295"/>
      <c r="H712" s="535"/>
      <c r="I712" s="517"/>
      <c r="J712" s="535"/>
      <c r="K712" s="535"/>
    </row>
    <row r="713" spans="1:11">
      <c r="A713" s="517"/>
      <c r="B713" s="517"/>
      <c r="C713" s="517"/>
      <c r="D713" s="1295"/>
      <c r="E713" s="1295"/>
      <c r="F713" s="1295"/>
      <c r="H713" s="535"/>
      <c r="I713" s="517"/>
      <c r="J713" s="535"/>
      <c r="K713" s="535"/>
    </row>
    <row r="714" spans="1:11">
      <c r="A714" s="517"/>
      <c r="B714" s="517"/>
      <c r="C714" s="517"/>
      <c r="D714" s="1295"/>
      <c r="E714" s="1295"/>
      <c r="F714" s="1295"/>
      <c r="H714" s="535"/>
      <c r="I714" s="517"/>
      <c r="J714" s="535"/>
      <c r="K714" s="535"/>
    </row>
    <row r="715" spans="1:11">
      <c r="A715" s="517"/>
      <c r="B715" s="517"/>
      <c r="C715" s="517"/>
      <c r="D715" s="1295"/>
      <c r="E715" s="1295"/>
      <c r="F715" s="1295"/>
      <c r="H715" s="535"/>
      <c r="I715" s="517"/>
      <c r="J715" s="535"/>
      <c r="K715" s="535"/>
    </row>
    <row r="716" spans="1:11">
      <c r="A716" s="517"/>
      <c r="B716" s="519" t="s">
        <v>2782</v>
      </c>
      <c r="C716" s="517"/>
      <c r="D716" s="1295" t="s">
        <v>1134</v>
      </c>
      <c r="E716" s="1295"/>
      <c r="F716" s="1295"/>
      <c r="H716" s="535"/>
      <c r="I716" s="517" t="s">
        <v>2155</v>
      </c>
      <c r="J716" s="535"/>
      <c r="K716" s="535"/>
    </row>
    <row r="717" spans="1:11">
      <c r="A717" s="517"/>
      <c r="B717" s="517"/>
      <c r="C717" s="517"/>
      <c r="D717" s="1295"/>
      <c r="E717" s="1295"/>
      <c r="F717" s="1295"/>
      <c r="H717" s="535"/>
      <c r="I717" s="517"/>
      <c r="J717" s="535"/>
      <c r="K717" s="535"/>
    </row>
    <row r="718" spans="1:11">
      <c r="A718" s="517"/>
      <c r="B718" s="517"/>
      <c r="C718" s="517"/>
      <c r="D718" s="479"/>
      <c r="E718" s="479"/>
      <c r="F718" s="479"/>
      <c r="H718" s="535"/>
      <c r="I718" s="517"/>
      <c r="J718" s="535"/>
      <c r="K718" s="535"/>
    </row>
    <row r="719" spans="1:11">
      <c r="A719" s="517"/>
      <c r="B719" s="519" t="s">
        <v>2782</v>
      </c>
      <c r="C719" s="517"/>
      <c r="D719" s="1295" t="s">
        <v>1128</v>
      </c>
      <c r="E719" s="1295"/>
      <c r="F719" s="1295"/>
      <c r="H719" s="535"/>
      <c r="I719" s="517" t="s">
        <v>2155</v>
      </c>
      <c r="J719" s="535"/>
      <c r="K719" s="535"/>
    </row>
    <row r="720" spans="1:11">
      <c r="A720" s="517"/>
      <c r="B720" s="517"/>
      <c r="C720" s="517"/>
      <c r="D720" s="1295"/>
      <c r="E720" s="1295"/>
      <c r="F720" s="1295"/>
      <c r="H720" s="535"/>
      <c r="I720" s="517"/>
      <c r="J720" s="535"/>
      <c r="K720" s="535"/>
    </row>
    <row r="721" spans="1:11">
      <c r="A721" s="517"/>
      <c r="B721" s="517"/>
      <c r="C721" s="517"/>
      <c r="D721" s="1295"/>
      <c r="E721" s="1295"/>
      <c r="F721" s="1295"/>
      <c r="H721" s="535"/>
      <c r="I721" s="517"/>
      <c r="J721" s="535"/>
      <c r="K721" s="535"/>
    </row>
    <row r="722" spans="1:11">
      <c r="A722" s="517"/>
      <c r="B722" s="517"/>
      <c r="C722" s="517"/>
      <c r="H722" s="535"/>
      <c r="I722" s="517"/>
      <c r="J722" s="535"/>
      <c r="K722" s="535"/>
    </row>
    <row r="723" spans="1:11">
      <c r="A723" s="517"/>
      <c r="B723" s="519" t="s">
        <v>2782</v>
      </c>
      <c r="C723" s="517"/>
      <c r="D723" s="1295" t="s">
        <v>1129</v>
      </c>
      <c r="E723" s="1295"/>
      <c r="F723" s="1295"/>
      <c r="H723" s="535"/>
      <c r="I723" s="517" t="s">
        <v>2155</v>
      </c>
      <c r="J723" s="535"/>
      <c r="K723" s="535"/>
    </row>
    <row r="724" spans="1:11">
      <c r="A724" s="517"/>
      <c r="B724" s="517"/>
      <c r="C724" s="517"/>
      <c r="D724" s="1295"/>
      <c r="E724" s="1295"/>
      <c r="F724" s="1295"/>
      <c r="H724" s="535"/>
      <c r="I724" s="517"/>
      <c r="J724" s="535"/>
      <c r="K724" s="535"/>
    </row>
    <row r="725" spans="1:11">
      <c r="A725" s="517"/>
      <c r="B725" s="517"/>
      <c r="C725" s="517"/>
      <c r="D725" s="1295"/>
      <c r="E725" s="1295"/>
      <c r="F725" s="1295"/>
      <c r="H725" s="535"/>
      <c r="I725" s="517"/>
      <c r="J725" s="535"/>
      <c r="K725" s="535"/>
    </row>
    <row r="726" spans="1:11">
      <c r="A726" s="517"/>
      <c r="B726" s="517"/>
      <c r="C726" s="517"/>
      <c r="H726" s="535"/>
      <c r="I726" s="517"/>
      <c r="J726" s="535"/>
      <c r="K726" s="535"/>
    </row>
    <row r="727" spans="1:11">
      <c r="A727" s="518"/>
      <c r="B727" s="519" t="s">
        <v>2782</v>
      </c>
      <c r="C727" s="517"/>
      <c r="D727" s="1295" t="s">
        <v>1130</v>
      </c>
      <c r="E727" s="1295"/>
      <c r="F727" s="1295"/>
      <c r="H727" s="535"/>
      <c r="I727" s="517" t="s">
        <v>2106</v>
      </c>
      <c r="J727" s="535"/>
      <c r="K727" s="535"/>
    </row>
    <row r="728" spans="1:11">
      <c r="A728" s="517"/>
      <c r="B728" s="517"/>
      <c r="C728" s="517"/>
      <c r="D728" s="1295"/>
      <c r="E728" s="1295"/>
      <c r="F728" s="1295"/>
      <c r="H728" s="535"/>
      <c r="I728" s="517"/>
      <c r="J728" s="535"/>
      <c r="K728" s="535"/>
    </row>
    <row r="729" spans="1:11">
      <c r="A729" s="517"/>
      <c r="B729" s="517"/>
      <c r="C729" s="517"/>
      <c r="D729" s="1295"/>
      <c r="E729" s="1295"/>
      <c r="F729" s="1295"/>
      <c r="H729" s="535"/>
      <c r="I729" s="517"/>
      <c r="J729" s="535"/>
      <c r="K729" s="535"/>
    </row>
    <row r="730" spans="1:11">
      <c r="A730" s="517"/>
      <c r="B730" s="517"/>
      <c r="C730" s="517"/>
      <c r="D730" s="1295"/>
      <c r="E730" s="1295"/>
      <c r="F730" s="1295"/>
      <c r="H730" s="535"/>
      <c r="I730" s="517"/>
      <c r="J730" s="535"/>
      <c r="K730" s="535"/>
    </row>
    <row r="731" spans="1:11">
      <c r="A731" s="517"/>
      <c r="B731" s="517"/>
      <c r="C731" s="517"/>
      <c r="D731" s="526"/>
      <c r="H731" s="535"/>
      <c r="I731" s="517"/>
      <c r="J731" s="535"/>
      <c r="K731" s="535"/>
    </row>
    <row r="732" spans="1:11">
      <c r="A732" s="518"/>
      <c r="B732" s="519" t="s">
        <v>2782</v>
      </c>
      <c r="C732" s="517"/>
      <c r="D732" s="1295" t="s">
        <v>2503</v>
      </c>
      <c r="E732" s="1295"/>
      <c r="F732" s="1295"/>
      <c r="H732" s="535"/>
      <c r="I732" s="517" t="s">
        <v>2122</v>
      </c>
      <c r="J732" s="535"/>
      <c r="K732" s="535"/>
    </row>
    <row r="733" spans="1:11">
      <c r="A733" s="517"/>
      <c r="B733" s="517"/>
      <c r="C733" s="517"/>
      <c r="D733" s="1295"/>
      <c r="E733" s="1295"/>
      <c r="F733" s="1295"/>
      <c r="H733" s="535"/>
      <c r="I733" s="517"/>
      <c r="J733" s="535"/>
      <c r="K733" s="535"/>
    </row>
    <row r="734" spans="1:11">
      <c r="A734" s="517"/>
      <c r="B734" s="517"/>
      <c r="C734" s="517"/>
      <c r="D734" s="1295"/>
      <c r="E734" s="1295"/>
      <c r="F734" s="1295"/>
      <c r="H734" s="535"/>
      <c r="I734" s="517"/>
      <c r="J734" s="535"/>
      <c r="K734" s="535"/>
    </row>
    <row r="735" spans="1:11">
      <c r="A735" s="517"/>
      <c r="B735" s="517"/>
      <c r="C735" s="517"/>
      <c r="D735" s="1295"/>
      <c r="E735" s="1295"/>
      <c r="F735" s="1295"/>
      <c r="H735" s="535"/>
      <c r="I735" s="517"/>
      <c r="J735" s="535"/>
      <c r="K735" s="535"/>
    </row>
    <row r="736" spans="1:11">
      <c r="A736" s="517"/>
      <c r="B736" s="517"/>
      <c r="C736" s="517"/>
      <c r="D736" s="1295"/>
      <c r="E736" s="1295"/>
      <c r="F736" s="1295"/>
      <c r="H736" s="535"/>
      <c r="I736" s="517"/>
      <c r="J736" s="535"/>
      <c r="K736" s="535"/>
    </row>
    <row r="737" spans="1:11">
      <c r="A737" s="517"/>
      <c r="B737" s="517"/>
      <c r="C737" s="517"/>
      <c r="D737" s="1295"/>
      <c r="E737" s="1295"/>
      <c r="F737" s="1295"/>
      <c r="H737" s="535"/>
      <c r="I737" s="517"/>
      <c r="J737" s="535"/>
      <c r="K737" s="535"/>
    </row>
    <row r="738" spans="1:11">
      <c r="A738" s="517"/>
      <c r="B738" s="517"/>
      <c r="C738" s="517"/>
      <c r="D738" s="1295"/>
      <c r="E738" s="1295"/>
      <c r="F738" s="1295"/>
      <c r="H738" s="535"/>
      <c r="I738" s="517"/>
      <c r="J738" s="535"/>
      <c r="K738" s="535"/>
    </row>
    <row r="739" spans="1:11">
      <c r="A739" s="517"/>
      <c r="B739" s="517"/>
      <c r="C739" s="517"/>
      <c r="D739" s="1312" t="s">
        <v>2389</v>
      </c>
      <c r="E739" s="1312"/>
      <c r="F739" s="1312"/>
      <c r="H739" s="535"/>
      <c r="I739" s="517"/>
      <c r="J739" s="535"/>
      <c r="K739" s="535"/>
    </row>
    <row r="740" spans="1:11">
      <c r="A740" s="517"/>
      <c r="B740" s="517"/>
      <c r="C740" s="517"/>
      <c r="D740" s="369"/>
      <c r="H740" s="535"/>
      <c r="I740" s="517"/>
      <c r="J740" s="535"/>
      <c r="K740" s="535"/>
    </row>
    <row r="741" spans="1:11">
      <c r="A741" s="1314" t="s">
        <v>1088</v>
      </c>
      <c r="B741" s="1314"/>
      <c r="C741" s="1314"/>
      <c r="D741" s="1314"/>
      <c r="E741" s="1314"/>
      <c r="F741" s="1314"/>
      <c r="G741" s="1314"/>
      <c r="H741" s="1065"/>
      <c r="I741" s="1260"/>
      <c r="J741" s="535"/>
      <c r="K741" s="535"/>
    </row>
    <row r="742" spans="1:11">
      <c r="A742" s="517"/>
      <c r="B742" s="517"/>
      <c r="C742" s="517"/>
      <c r="D742" s="526"/>
      <c r="G742" s="535"/>
      <c r="H742" s="535"/>
      <c r="I742" s="517"/>
      <c r="J742" s="535"/>
      <c r="K742" s="535"/>
    </row>
    <row r="743" spans="1:11" ht="13.9" customHeight="1">
      <c r="C743" s="517"/>
      <c r="D743" s="1297" t="s">
        <v>1104</v>
      </c>
      <c r="E743" s="1297"/>
      <c r="F743" s="1297"/>
      <c r="G743" s="535"/>
      <c r="H743" s="535"/>
      <c r="I743" s="517"/>
      <c r="J743" s="535"/>
      <c r="K743" s="535"/>
    </row>
    <row r="744" spans="1:11">
      <c r="A744" s="517"/>
      <c r="B744" s="517"/>
      <c r="C744" s="517"/>
      <c r="D744" s="1298" t="s">
        <v>1105</v>
      </c>
      <c r="E744" s="1298"/>
      <c r="F744" s="1298"/>
      <c r="G744" s="535"/>
      <c r="H744" s="535"/>
      <c r="I744" s="517"/>
      <c r="J744" s="535"/>
      <c r="K744" s="535"/>
    </row>
    <row r="745" spans="1:11">
      <c r="A745" s="517"/>
      <c r="B745" s="517"/>
      <c r="C745" s="517"/>
      <c r="G745" s="535"/>
      <c r="H745" s="535"/>
      <c r="I745" s="517"/>
      <c r="J745" s="535"/>
      <c r="K745" s="535"/>
    </row>
    <row r="746" spans="1:11">
      <c r="A746" s="518"/>
      <c r="B746" s="519" t="s">
        <v>2781</v>
      </c>
      <c r="D746" s="1295" t="s">
        <v>1106</v>
      </c>
      <c r="E746" s="1295"/>
      <c r="F746" s="1295"/>
      <c r="G746" s="535"/>
      <c r="H746" s="535"/>
      <c r="I746" s="517" t="s">
        <v>2107</v>
      </c>
      <c r="J746" s="535"/>
      <c r="K746" s="535"/>
    </row>
    <row r="747" spans="1:11" ht="10.5" customHeight="1">
      <c r="D747" s="1295"/>
      <c r="E747" s="1295"/>
      <c r="F747" s="1295"/>
      <c r="G747" s="535"/>
      <c r="H747" s="535"/>
      <c r="I747" s="517"/>
      <c r="J747" s="535"/>
      <c r="K747" s="535"/>
    </row>
    <row r="748" spans="1:11">
      <c r="D748" s="1295"/>
      <c r="E748" s="1295"/>
      <c r="F748" s="1295"/>
      <c r="G748" s="535"/>
      <c r="H748" s="535"/>
      <c r="I748" s="517"/>
      <c r="J748" s="535"/>
      <c r="K748" s="535"/>
    </row>
    <row r="749" spans="1:11">
      <c r="D749" s="1295"/>
      <c r="E749" s="1295"/>
      <c r="F749" s="1295"/>
      <c r="G749" s="535"/>
      <c r="H749" s="535"/>
      <c r="I749" s="517"/>
      <c r="J749" s="535"/>
      <c r="K749" s="535"/>
    </row>
    <row r="750" spans="1:11">
      <c r="D750" s="1295"/>
      <c r="E750" s="1295"/>
      <c r="F750" s="1295"/>
      <c r="G750" s="535"/>
      <c r="H750" s="535"/>
      <c r="I750" s="517"/>
      <c r="J750" s="535"/>
      <c r="K750" s="535"/>
    </row>
    <row r="751" spans="1:11" ht="15.4" customHeight="1">
      <c r="D751" s="1295"/>
      <c r="E751" s="1295"/>
      <c r="F751" s="1295"/>
      <c r="G751" s="535"/>
      <c r="H751" s="535"/>
      <c r="I751" s="517"/>
      <c r="J751" s="535"/>
      <c r="K751" s="535"/>
    </row>
    <row r="752" spans="1:11">
      <c r="D752" s="533"/>
      <c r="E752" s="480"/>
      <c r="F752" s="480"/>
      <c r="G752" s="535"/>
      <c r="H752" s="535"/>
      <c r="I752" s="517"/>
      <c r="J752" s="535"/>
      <c r="K752" s="535"/>
    </row>
    <row r="753" spans="1:11" s="539" customFormat="1">
      <c r="A753" s="537"/>
      <c r="B753" s="519" t="s">
        <v>2781</v>
      </c>
      <c r="C753" s="538"/>
      <c r="D753" s="1295" t="s">
        <v>1348</v>
      </c>
      <c r="E753" s="1295"/>
      <c r="F753" s="1295"/>
      <c r="I753" s="1261" t="s">
        <v>2107</v>
      </c>
    </row>
    <row r="754" spans="1:11" s="539" customFormat="1">
      <c r="A754" s="538"/>
      <c r="B754" s="538"/>
      <c r="C754" s="538"/>
      <c r="D754" s="1295"/>
      <c r="E754" s="1295"/>
      <c r="F754" s="1295"/>
      <c r="I754" s="1261"/>
    </row>
    <row r="755" spans="1:11" s="539" customFormat="1">
      <c r="A755" s="538"/>
      <c r="B755" s="538"/>
      <c r="C755" s="538"/>
      <c r="D755" s="1295"/>
      <c r="E755" s="1295"/>
      <c r="F755" s="1295"/>
      <c r="I755" s="1261"/>
    </row>
    <row r="756" spans="1:11" s="539" customFormat="1">
      <c r="A756" s="538"/>
      <c r="B756" s="538"/>
      <c r="C756" s="538"/>
      <c r="D756" s="1295"/>
      <c r="E756" s="1295"/>
      <c r="F756" s="1295"/>
      <c r="I756" s="1261"/>
    </row>
    <row r="757" spans="1:11" s="539" customFormat="1">
      <c r="A757" s="538"/>
      <c r="B757" s="538"/>
      <c r="C757" s="538"/>
      <c r="D757" s="533"/>
      <c r="I757" s="1261"/>
    </row>
    <row r="758" spans="1:11" s="539" customFormat="1">
      <c r="A758" s="518"/>
      <c r="B758" s="519" t="s">
        <v>2782</v>
      </c>
      <c r="C758" s="538"/>
      <c r="D758" s="1293" t="s">
        <v>1349</v>
      </c>
      <c r="E758" s="1293"/>
      <c r="F758" s="1293"/>
      <c r="I758" s="1261" t="s">
        <v>2108</v>
      </c>
    </row>
    <row r="759" spans="1:11" s="539" customFormat="1">
      <c r="A759" s="538"/>
      <c r="B759" s="538"/>
      <c r="C759" s="538"/>
      <c r="D759" s="1293"/>
      <c r="E759" s="1293"/>
      <c r="F759" s="1293"/>
      <c r="I759" s="1261"/>
    </row>
    <row r="760" spans="1:11" s="539" customFormat="1">
      <c r="A760" s="538"/>
      <c r="B760" s="538"/>
      <c r="C760" s="538"/>
      <c r="D760" s="1293"/>
      <c r="E760" s="1293"/>
      <c r="F760" s="1293"/>
      <c r="I760" s="1261"/>
    </row>
    <row r="761" spans="1:11">
      <c r="D761" s="533"/>
      <c r="E761" s="480"/>
      <c r="F761" s="480"/>
      <c r="G761" s="535"/>
      <c r="H761" s="535"/>
      <c r="I761" s="517"/>
      <c r="J761" s="535"/>
      <c r="K761" s="535"/>
    </row>
    <row r="762" spans="1:11">
      <c r="A762" s="518"/>
      <c r="B762" s="519" t="s">
        <v>2782</v>
      </c>
      <c r="D762" s="1295" t="s">
        <v>1304</v>
      </c>
      <c r="E762" s="1295"/>
      <c r="F762" s="1295"/>
      <c r="G762" s="535"/>
      <c r="H762" s="535"/>
      <c r="I762" s="517" t="s">
        <v>2107</v>
      </c>
      <c r="J762" s="535"/>
      <c r="K762" s="535"/>
    </row>
    <row r="763" spans="1:11">
      <c r="D763" s="1295"/>
      <c r="E763" s="1295"/>
      <c r="F763" s="1295"/>
      <c r="G763" s="535"/>
      <c r="H763" s="535"/>
      <c r="I763" s="517"/>
      <c r="J763" s="535"/>
      <c r="K763" s="535"/>
    </row>
    <row r="764" spans="1:11">
      <c r="D764" s="479"/>
      <c r="E764" s="479"/>
      <c r="F764" s="479"/>
      <c r="G764" s="535"/>
      <c r="H764" s="535"/>
      <c r="I764" s="517"/>
      <c r="J764" s="535"/>
      <c r="K764" s="535"/>
    </row>
    <row r="765" spans="1:11">
      <c r="B765" s="519" t="s">
        <v>2782</v>
      </c>
      <c r="D765" s="1295" t="s">
        <v>1321</v>
      </c>
      <c r="E765" s="1295"/>
      <c r="F765" s="1295"/>
      <c r="G765" s="535"/>
      <c r="H765" s="535"/>
      <c r="I765" s="517" t="s">
        <v>2107</v>
      </c>
      <c r="J765" s="535"/>
      <c r="K765" s="535"/>
    </row>
    <row r="766" spans="1:11">
      <c r="D766" s="1295"/>
      <c r="E766" s="1295"/>
      <c r="F766" s="1295"/>
      <c r="G766" s="535"/>
      <c r="H766" s="535"/>
      <c r="I766" s="517"/>
      <c r="J766" s="535"/>
      <c r="K766" s="535"/>
    </row>
    <row r="767" spans="1:11">
      <c r="D767" s="1295"/>
      <c r="E767" s="1295"/>
      <c r="F767" s="1295"/>
      <c r="G767" s="535"/>
      <c r="H767" s="535"/>
      <c r="I767" s="517"/>
      <c r="J767" s="535"/>
      <c r="K767" s="535"/>
    </row>
    <row r="768" spans="1:11">
      <c r="D768" s="479"/>
      <c r="E768" s="479"/>
      <c r="F768" s="479"/>
      <c r="G768" s="535"/>
      <c r="H768" s="535"/>
      <c r="I768" s="517"/>
      <c r="J768" s="535"/>
      <c r="K768" s="535"/>
    </row>
    <row r="769" spans="1:9">
      <c r="A769" s="1347" t="s">
        <v>1990</v>
      </c>
      <c r="B769" s="1347"/>
      <c r="C769" s="1347"/>
      <c r="D769" s="1347"/>
      <c r="E769" s="1347"/>
      <c r="F769" s="1347"/>
      <c r="G769" s="1347"/>
      <c r="H769" s="1063"/>
      <c r="I769" s="1256"/>
    </row>
    <row r="770" spans="1:9">
      <c r="A770" s="57"/>
      <c r="B770" s="57"/>
      <c r="C770" s="385"/>
      <c r="D770" s="3"/>
      <c r="E770" s="3"/>
      <c r="F770" s="3"/>
      <c r="G770" s="3"/>
      <c r="I770" s="524"/>
    </row>
    <row r="771" spans="1:9">
      <c r="A771" s="57"/>
      <c r="B771" s="57"/>
      <c r="C771" s="385"/>
      <c r="D771" s="1336" t="s">
        <v>2044</v>
      </c>
      <c r="E771" s="1336"/>
      <c r="F771" s="1336"/>
      <c r="G771" s="3"/>
      <c r="I771" s="524"/>
    </row>
    <row r="772" spans="1:9">
      <c r="A772" s="57"/>
      <c r="B772" s="57"/>
      <c r="C772" s="385"/>
      <c r="D772" s="1281" t="s">
        <v>1943</v>
      </c>
      <c r="E772" s="1281"/>
      <c r="F772" s="1281"/>
      <c r="G772" s="3"/>
      <c r="I772" s="524"/>
    </row>
    <row r="773" spans="1:9">
      <c r="A773" s="57"/>
      <c r="B773" s="57"/>
      <c r="C773" s="385"/>
      <c r="D773" s="481"/>
      <c r="E773" s="481"/>
      <c r="F773" s="481"/>
      <c r="G773" s="3"/>
      <c r="I773" s="524"/>
    </row>
    <row r="774" spans="1:9">
      <c r="A774" s="57"/>
      <c r="B774" s="519" t="s">
        <v>2781</v>
      </c>
      <c r="C774" s="385"/>
      <c r="D774" s="1308" t="s">
        <v>1944</v>
      </c>
      <c r="E774" s="1308"/>
      <c r="F774" s="1308"/>
      <c r="G774" s="3"/>
      <c r="I774" s="517" t="s">
        <v>2157</v>
      </c>
    </row>
    <row r="775" spans="1:9">
      <c r="A775" s="57"/>
      <c r="B775" s="57"/>
      <c r="C775" s="385"/>
      <c r="D775" s="1308"/>
      <c r="E775" s="1308"/>
      <c r="F775" s="1308"/>
      <c r="G775" s="3"/>
      <c r="I775" s="524"/>
    </row>
    <row r="776" spans="1:9">
      <c r="A776" s="175"/>
      <c r="B776" s="175"/>
      <c r="C776" s="175"/>
      <c r="D776" s="1308"/>
      <c r="E776" s="1308"/>
      <c r="F776" s="1308"/>
      <c r="G776" s="118"/>
      <c r="I776" s="524"/>
    </row>
    <row r="777" spans="1:9">
      <c r="A777" s="385"/>
      <c r="B777" s="385"/>
      <c r="C777" s="385"/>
      <c r="D777" s="174"/>
      <c r="E777" s="3"/>
      <c r="F777" s="3"/>
      <c r="G777" s="3"/>
      <c r="I777" s="524"/>
    </row>
    <row r="778" spans="1:9">
      <c r="A778" s="172"/>
      <c r="B778" s="519" t="s">
        <v>2782</v>
      </c>
      <c r="C778" s="172"/>
      <c r="D778" s="1308" t="s">
        <v>1945</v>
      </c>
      <c r="E778" s="1308"/>
      <c r="F778" s="1308"/>
      <c r="G778" s="3"/>
      <c r="I778" s="517" t="s">
        <v>2157</v>
      </c>
    </row>
    <row r="779" spans="1:9">
      <c r="A779" s="172"/>
      <c r="B779" s="172"/>
      <c r="C779" s="172"/>
      <c r="D779" s="1308"/>
      <c r="E779" s="1308"/>
      <c r="F779" s="1308"/>
      <c r="G779" s="3"/>
      <c r="I779" s="524"/>
    </row>
    <row r="780" spans="1:9">
      <c r="A780" s="172"/>
      <c r="B780" s="172"/>
      <c r="C780" s="172"/>
      <c r="D780" s="1308"/>
      <c r="E780" s="1308"/>
      <c r="F780" s="1308"/>
      <c r="G780" s="3"/>
      <c r="I780" s="524"/>
    </row>
    <row r="781" spans="1:9">
      <c r="A781" s="175"/>
      <c r="B781" s="175"/>
      <c r="C781" s="175"/>
      <c r="D781" s="3"/>
      <c r="E781" s="1023"/>
      <c r="F781" s="1023"/>
      <c r="G781" s="1023"/>
      <c r="I781" s="524"/>
    </row>
    <row r="782" spans="1:9">
      <c r="A782" s="176"/>
      <c r="B782" s="519" t="s">
        <v>2782</v>
      </c>
      <c r="C782" s="1024"/>
      <c r="D782" s="1308" t="s">
        <v>1946</v>
      </c>
      <c r="E782" s="1308"/>
      <c r="F782" s="1308"/>
      <c r="G782" s="1023"/>
      <c r="I782" s="517" t="s">
        <v>2157</v>
      </c>
    </row>
    <row r="783" spans="1:9">
      <c r="A783" s="176"/>
      <c r="B783" s="176"/>
      <c r="C783" s="1024"/>
      <c r="D783" s="1308"/>
      <c r="E783" s="1308"/>
      <c r="F783" s="1308"/>
      <c r="G783" s="1023"/>
      <c r="I783" s="524"/>
    </row>
    <row r="784" spans="1:9">
      <c r="A784" s="176"/>
      <c r="B784" s="176"/>
      <c r="C784" s="1024"/>
      <c r="D784" s="1308"/>
      <c r="E784" s="1308"/>
      <c r="F784" s="1308"/>
      <c r="G784" s="1023"/>
      <c r="I784" s="524"/>
    </row>
    <row r="785" spans="1:9">
      <c r="A785" s="176"/>
      <c r="B785" s="176"/>
      <c r="C785" s="1024"/>
      <c r="D785" s="118"/>
      <c r="E785" s="3"/>
      <c r="F785" s="3"/>
      <c r="G785" s="1023"/>
      <c r="I785" s="524"/>
    </row>
    <row r="786" spans="1:9">
      <c r="A786" s="176"/>
      <c r="B786" s="519" t="s">
        <v>2782</v>
      </c>
      <c r="C786" s="1024"/>
      <c r="D786" s="1308" t="s">
        <v>1947</v>
      </c>
      <c r="E786" s="1308"/>
      <c r="F786" s="1308"/>
      <c r="G786" s="1023"/>
      <c r="I786" s="517" t="s">
        <v>2157</v>
      </c>
    </row>
    <row r="787" spans="1:9">
      <c r="A787" s="176"/>
      <c r="B787" s="176"/>
      <c r="C787" s="1024"/>
      <c r="D787" s="1308"/>
      <c r="E787" s="1308"/>
      <c r="F787" s="1308"/>
      <c r="G787" s="1023"/>
      <c r="I787" s="524"/>
    </row>
    <row r="788" spans="1:9">
      <c r="A788" s="176"/>
      <c r="B788" s="176"/>
      <c r="C788" s="1024"/>
      <c r="D788" s="1308"/>
      <c r="E788" s="1308"/>
      <c r="F788" s="1308"/>
      <c r="G788" s="1023"/>
      <c r="I788" s="524"/>
    </row>
    <row r="789" spans="1:9">
      <c r="A789" s="176"/>
      <c r="B789" s="176"/>
      <c r="C789" s="1024"/>
      <c r="D789" s="1308"/>
      <c r="E789" s="1308"/>
      <c r="F789" s="1308"/>
      <c r="G789" s="1023"/>
      <c r="I789" s="524"/>
    </row>
    <row r="790" spans="1:9">
      <c r="A790" s="176"/>
      <c r="B790" s="176"/>
      <c r="C790" s="1024"/>
      <c r="D790" s="1308"/>
      <c r="E790" s="1308"/>
      <c r="F790" s="1308"/>
      <c r="G790" s="1023"/>
      <c r="I790" s="524"/>
    </row>
    <row r="791" spans="1:9">
      <c r="A791" s="176"/>
      <c r="B791" s="176"/>
      <c r="C791" s="1024"/>
      <c r="D791" s="1308"/>
      <c r="E791" s="1308"/>
      <c r="F791" s="1308"/>
      <c r="G791" s="1023"/>
      <c r="I791" s="524"/>
    </row>
    <row r="792" spans="1:9">
      <c r="A792" s="176"/>
      <c r="B792" s="176"/>
      <c r="C792" s="1024"/>
      <c r="D792" s="1308" t="s">
        <v>1991</v>
      </c>
      <c r="E792" s="1308"/>
      <c r="F792" s="1308"/>
      <c r="G792" s="1023"/>
      <c r="I792" s="524"/>
    </row>
    <row r="793" spans="1:9">
      <c r="A793" s="176"/>
      <c r="B793" s="176"/>
      <c r="C793" s="1024"/>
      <c r="D793" s="1308"/>
      <c r="E793" s="1308"/>
      <c r="F793" s="1308"/>
      <c r="G793" s="1023"/>
      <c r="I793" s="524"/>
    </row>
    <row r="794" spans="1:9">
      <c r="A794" s="176"/>
      <c r="B794" s="176"/>
      <c r="C794" s="1024"/>
      <c r="D794" s="1308"/>
      <c r="E794" s="1308"/>
      <c r="F794" s="1308"/>
      <c r="G794" s="1023"/>
      <c r="I794" s="524"/>
    </row>
    <row r="795" spans="1:9">
      <c r="A795" s="176"/>
      <c r="B795" s="385"/>
      <c r="C795" s="1024"/>
      <c r="D795" s="1025"/>
      <c r="E795" s="1025"/>
      <c r="F795" s="1025"/>
      <c r="G795" s="1023"/>
      <c r="I795" s="524"/>
    </row>
    <row r="796" spans="1:9">
      <c r="A796" s="176"/>
      <c r="B796" s="519" t="s">
        <v>2782</v>
      </c>
      <c r="C796" s="1024"/>
      <c r="D796" s="1308" t="s">
        <v>1948</v>
      </c>
      <c r="E796" s="1308"/>
      <c r="F796" s="1308"/>
      <c r="G796" s="1023"/>
      <c r="I796" s="517" t="s">
        <v>2157</v>
      </c>
    </row>
    <row r="797" spans="1:9">
      <c r="A797" s="176"/>
      <c r="B797" s="176"/>
      <c r="C797" s="1024"/>
      <c r="D797" s="1308"/>
      <c r="E797" s="1308"/>
      <c r="F797" s="1308"/>
      <c r="G797" s="1023"/>
      <c r="I797" s="524"/>
    </row>
    <row r="798" spans="1:9">
      <c r="A798" s="176"/>
      <c r="B798" s="176"/>
      <c r="C798" s="1024"/>
      <c r="D798" s="1308"/>
      <c r="E798" s="1308"/>
      <c r="F798" s="1308"/>
      <c r="G798" s="1023"/>
      <c r="I798" s="524"/>
    </row>
    <row r="799" spans="1:9">
      <c r="A799" s="176"/>
      <c r="B799" s="176"/>
      <c r="C799" s="1024"/>
      <c r="D799" s="1308"/>
      <c r="E799" s="1308"/>
      <c r="F799" s="1308"/>
      <c r="G799" s="1023"/>
      <c r="I799" s="524"/>
    </row>
    <row r="800" spans="1:9">
      <c r="A800" s="176"/>
      <c r="B800" s="176"/>
      <c r="C800" s="1024"/>
      <c r="D800" s="1308"/>
      <c r="E800" s="1308"/>
      <c r="F800" s="1308"/>
      <c r="G800" s="1023"/>
      <c r="I800" s="524"/>
    </row>
    <row r="801" spans="1:9">
      <c r="A801" s="176"/>
      <c r="B801" s="176"/>
      <c r="C801" s="1024"/>
      <c r="D801" s="1308"/>
      <c r="E801" s="1308"/>
      <c r="F801" s="1308"/>
      <c r="G801" s="1023"/>
      <c r="I801" s="524"/>
    </row>
    <row r="802" spans="1:9">
      <c r="A802" s="176"/>
      <c r="B802" s="176"/>
      <c r="C802" s="1024"/>
      <c r="D802" s="1017"/>
      <c r="E802" s="1017"/>
      <c r="F802" s="1017"/>
      <c r="G802" s="1023"/>
      <c r="I802" s="524"/>
    </row>
    <row r="803" spans="1:9">
      <c r="A803" s="176"/>
      <c r="B803" s="519" t="s">
        <v>2782</v>
      </c>
      <c r="C803" s="1024"/>
      <c r="D803" s="1308" t="s">
        <v>1949</v>
      </c>
      <c r="E803" s="1308"/>
      <c r="F803" s="1308"/>
      <c r="G803" s="1023"/>
      <c r="I803" s="517" t="s">
        <v>2157</v>
      </c>
    </row>
    <row r="804" spans="1:9">
      <c r="A804" s="176"/>
      <c r="B804" s="176"/>
      <c r="C804" s="1024"/>
      <c r="D804" s="1308"/>
      <c r="E804" s="1308"/>
      <c r="F804" s="1308"/>
      <c r="G804" s="1023"/>
      <c r="I804" s="524"/>
    </row>
    <row r="805" spans="1:9">
      <c r="A805" s="176"/>
      <c r="B805" s="176"/>
      <c r="C805" s="1024"/>
      <c r="D805" s="1308"/>
      <c r="E805" s="1308"/>
      <c r="F805" s="1308"/>
      <c r="G805" s="1023"/>
      <c r="I805" s="524"/>
    </row>
    <row r="806" spans="1:9">
      <c r="A806" s="176"/>
      <c r="B806" s="176"/>
      <c r="C806" s="1024"/>
      <c r="D806" s="1308"/>
      <c r="E806" s="1308"/>
      <c r="F806" s="1308"/>
      <c r="G806" s="1023"/>
      <c r="I806" s="524"/>
    </row>
    <row r="807" spans="1:9">
      <c r="A807" s="176"/>
      <c r="B807" s="176"/>
      <c r="C807" s="1024"/>
      <c r="D807" s="1308"/>
      <c r="E807" s="1308"/>
      <c r="F807" s="1308"/>
      <c r="G807" s="1023"/>
      <c r="I807" s="524"/>
    </row>
    <row r="808" spans="1:9">
      <c r="A808" s="176"/>
      <c r="B808" s="176"/>
      <c r="C808" s="1024"/>
      <c r="D808" s="1308"/>
      <c r="E808" s="1308"/>
      <c r="F808" s="1308"/>
      <c r="G808" s="1023"/>
      <c r="I808" s="524"/>
    </row>
    <row r="809" spans="1:9">
      <c r="A809" s="176"/>
      <c r="B809" s="176"/>
      <c r="C809" s="1024"/>
      <c r="D809" s="1017"/>
      <c r="E809" s="1017"/>
      <c r="F809" s="1017"/>
      <c r="G809" s="1023"/>
      <c r="I809" s="524"/>
    </row>
    <row r="810" spans="1:9">
      <c r="A810" s="176"/>
      <c r="B810" s="519" t="s">
        <v>2782</v>
      </c>
      <c r="C810" s="1024"/>
      <c r="D810" s="1305" t="s">
        <v>1950</v>
      </c>
      <c r="E810" s="1305"/>
      <c r="F810" s="1305"/>
      <c r="G810" s="1023"/>
      <c r="I810" s="517" t="s">
        <v>2157</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313" t="s">
        <v>1951</v>
      </c>
      <c r="B817" s="1313"/>
      <c r="C817" s="1313"/>
      <c r="D817" s="1313"/>
      <c r="E817" s="1313"/>
      <c r="F817" s="1313"/>
      <c r="G817" s="1313"/>
      <c r="H817" s="1063"/>
      <c r="I817" s="1256"/>
    </row>
    <row r="818" spans="1:9" ht="12.75" customHeight="1">
      <c r="A818" s="172"/>
      <c r="B818" s="172"/>
      <c r="C818" s="1024"/>
      <c r="D818" s="1023"/>
      <c r="E818" s="1023"/>
      <c r="F818" s="1023"/>
      <c r="G818" s="1023"/>
      <c r="I818" s="524"/>
    </row>
    <row r="819" spans="1:9" ht="12.75" customHeight="1">
      <c r="A819" s="176"/>
      <c r="B819" s="176"/>
      <c r="C819" s="385"/>
      <c r="D819" s="1301" t="s">
        <v>1992</v>
      </c>
      <c r="E819" s="1301"/>
      <c r="F819" s="1301"/>
      <c r="G819" s="3"/>
      <c r="I819" s="524"/>
    </row>
    <row r="820" spans="1:9" ht="14.25" customHeight="1">
      <c r="A820" s="176"/>
      <c r="B820" s="176"/>
      <c r="C820" s="385"/>
      <c r="D820" s="1268" t="s">
        <v>1952</v>
      </c>
      <c r="E820" s="1268"/>
      <c r="F820" s="1268"/>
      <c r="G820" s="3"/>
      <c r="I820" s="524"/>
    </row>
    <row r="821" spans="1:9" ht="12.75" customHeight="1">
      <c r="A821" s="176"/>
      <c r="B821" s="176"/>
      <c r="C821" s="385"/>
      <c r="D821" s="474"/>
      <c r="E821" s="474"/>
      <c r="F821" s="474"/>
      <c r="G821" s="3"/>
      <c r="I821" s="524"/>
    </row>
    <row r="822" spans="1:9" ht="12.75" customHeight="1">
      <c r="A822" s="385"/>
      <c r="B822" s="519" t="s">
        <v>2781</v>
      </c>
      <c r="C822" s="1024"/>
      <c r="D822" s="1268" t="s">
        <v>1953</v>
      </c>
      <c r="E822" s="1268"/>
      <c r="F822" s="1268"/>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8" t="s">
        <v>2390</v>
      </c>
      <c r="E825" s="1338"/>
      <c r="F825" s="1338"/>
      <c r="G825" s="3"/>
      <c r="I825" s="524"/>
    </row>
    <row r="826" spans="1:9" ht="12.75" hidden="1" customHeight="1">
      <c r="A826" s="13"/>
      <c r="B826" s="13"/>
      <c r="C826" s="1024"/>
      <c r="D826" s="1338"/>
      <c r="E826" s="1338"/>
      <c r="F826" s="1338"/>
      <c r="G826" s="3"/>
      <c r="I826" s="524"/>
    </row>
    <row r="827" spans="1:9" ht="12.75" hidden="1" customHeight="1">
      <c r="A827" s="13"/>
      <c r="B827" s="13"/>
      <c r="C827" s="1024"/>
      <c r="D827" s="1338"/>
      <c r="E827" s="1338"/>
      <c r="F827" s="1338"/>
      <c r="G827" s="3"/>
      <c r="I827" s="524"/>
    </row>
    <row r="828" spans="1:9" ht="12.75" hidden="1" customHeight="1">
      <c r="A828" s="13"/>
      <c r="B828" s="13"/>
      <c r="C828" s="1024"/>
      <c r="D828" s="1338"/>
      <c r="E828" s="1338"/>
      <c r="F828" s="1338"/>
      <c r="G828" s="3"/>
      <c r="I828" s="524"/>
    </row>
    <row r="829" spans="1:9" ht="12.75" hidden="1" customHeight="1">
      <c r="A829" s="13"/>
      <c r="B829" s="13"/>
      <c r="C829" s="1024"/>
      <c r="D829" s="1338"/>
      <c r="E829" s="1338"/>
      <c r="F829" s="1338"/>
      <c r="G829" s="3"/>
      <c r="I829" s="524"/>
    </row>
    <row r="830" spans="1:9" ht="12.75" hidden="1" customHeight="1">
      <c r="A830" s="13"/>
      <c r="B830" s="13"/>
      <c r="C830" s="1024"/>
      <c r="D830" s="1338"/>
      <c r="E830" s="1338"/>
      <c r="F830" s="1338"/>
      <c r="G830" s="3"/>
      <c r="I830" s="524"/>
    </row>
    <row r="831" spans="1:9" ht="12.75" hidden="1" customHeight="1">
      <c r="A831" s="13"/>
      <c r="B831" s="13"/>
      <c r="C831" s="1024"/>
      <c r="D831" s="1338"/>
      <c r="E831" s="1338"/>
      <c r="F831" s="1338"/>
      <c r="G831" s="3"/>
      <c r="I831" s="524"/>
    </row>
    <row r="832" spans="1:9" ht="12.75" hidden="1" customHeight="1">
      <c r="A832" s="13"/>
      <c r="B832" s="13"/>
      <c r="C832" s="1024"/>
      <c r="D832" s="1338"/>
      <c r="E832" s="1338"/>
      <c r="F832" s="1338"/>
      <c r="G832" s="3"/>
      <c r="I832" s="524"/>
    </row>
    <row r="833" spans="1:9" ht="12.75" hidden="1" customHeight="1">
      <c r="A833" s="13"/>
      <c r="B833" s="13"/>
      <c r="C833" s="1024"/>
      <c r="D833" s="1338"/>
      <c r="E833" s="1338"/>
      <c r="F833" s="1338"/>
      <c r="G833" s="3"/>
      <c r="I833" s="524"/>
    </row>
    <row r="834" spans="1:9" ht="12.75" hidden="1" customHeight="1">
      <c r="A834" s="13"/>
      <c r="B834" s="13"/>
      <c r="C834" s="1024"/>
      <c r="D834" s="1338"/>
      <c r="E834" s="1338"/>
      <c r="F834" s="1338"/>
      <c r="G834" s="3"/>
      <c r="I834" s="524"/>
    </row>
    <row r="835" spans="1:9" ht="12.75" hidden="1" customHeight="1">
      <c r="A835" s="13"/>
      <c r="B835" s="13"/>
      <c r="C835" s="1024"/>
      <c r="D835" s="1026"/>
      <c r="E835" s="3"/>
      <c r="F835" s="3"/>
      <c r="G835" s="3"/>
      <c r="I835" s="524"/>
    </row>
    <row r="836" spans="1:9" ht="12.75" customHeight="1">
      <c r="A836" s="176"/>
      <c r="B836" s="519" t="s">
        <v>2781</v>
      </c>
      <c r="C836" s="1024"/>
      <c r="D836" s="1268" t="s">
        <v>1954</v>
      </c>
      <c r="E836" s="1268"/>
      <c r="F836" s="1268"/>
      <c r="G836" s="3"/>
      <c r="I836" s="524" t="s">
        <v>2143</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2782</v>
      </c>
      <c r="C840" s="1024"/>
      <c r="D840" s="1301" t="s">
        <v>1955</v>
      </c>
      <c r="E840" s="1301"/>
      <c r="F840" s="1301"/>
      <c r="G840" s="3"/>
      <c r="I840" s="524"/>
    </row>
    <row r="841" spans="1:9" ht="12.75" customHeight="1">
      <c r="A841" s="385"/>
      <c r="B841" s="1027"/>
      <c r="C841" s="1024"/>
      <c r="D841" s="1301"/>
      <c r="E841" s="1301"/>
      <c r="F841" s="1301"/>
      <c r="G841" s="3"/>
      <c r="I841" s="524"/>
    </row>
    <row r="842" spans="1:9" ht="12.75" customHeight="1">
      <c r="A842" s="176"/>
      <c r="B842" s="385"/>
      <c r="C842" s="1024"/>
      <c r="D842" s="1268" t="s">
        <v>2381</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2782</v>
      </c>
      <c r="C849" s="1024"/>
      <c r="D849" s="1268" t="s">
        <v>1956</v>
      </c>
      <c r="E849" s="1268"/>
      <c r="F849" s="1268"/>
      <c r="G849" s="3"/>
      <c r="I849" s="524" t="s">
        <v>2126</v>
      </c>
    </row>
    <row r="850" spans="1:9" ht="12.75" customHeight="1">
      <c r="A850" s="176"/>
      <c r="B850" s="176"/>
      <c r="C850" s="1024"/>
      <c r="D850" s="1268" t="s">
        <v>1957</v>
      </c>
      <c r="E850" s="1268"/>
      <c r="F850" s="1268"/>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2782</v>
      </c>
      <c r="C853" s="1024"/>
      <c r="D853" s="1268" t="s">
        <v>1958</v>
      </c>
      <c r="E853" s="1268"/>
      <c r="F853" s="1268"/>
      <c r="G853" s="3"/>
      <c r="I853" s="524" t="s">
        <v>2144</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1993</v>
      </c>
      <c r="E860" s="1284"/>
      <c r="F860" s="1284"/>
      <c r="G860" s="1023"/>
      <c r="I860" s="524"/>
    </row>
    <row r="861" spans="1:9" ht="12.75" customHeight="1">
      <c r="A861" s="385"/>
      <c r="B861" s="385"/>
      <c r="C861" s="175"/>
      <c r="D861" s="1337" t="s">
        <v>1960</v>
      </c>
      <c r="E861" s="1337"/>
      <c r="F861" s="1337"/>
      <c r="G861" s="1023"/>
      <c r="I861" s="524"/>
    </row>
    <row r="862" spans="1:9" ht="12.75" customHeight="1">
      <c r="A862" s="385"/>
      <c r="B862" s="385"/>
      <c r="C862" s="175"/>
      <c r="D862" s="1030"/>
      <c r="E862" s="1030"/>
      <c r="F862" s="1030"/>
      <c r="G862" s="1023"/>
      <c r="I862" s="524"/>
    </row>
    <row r="863" spans="1:9" ht="12.75" customHeight="1">
      <c r="A863" s="176"/>
      <c r="B863" s="519" t="s">
        <v>2781</v>
      </c>
      <c r="C863" s="385"/>
      <c r="D863" s="1279" t="s">
        <v>1961</v>
      </c>
      <c r="E863" s="1279"/>
      <c r="F863" s="1279"/>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2781</v>
      </c>
      <c r="C866" s="385"/>
      <c r="D866" s="1268" t="s">
        <v>1962</v>
      </c>
      <c r="E866" s="1286"/>
      <c r="F866" s="1286"/>
      <c r="G866" s="3"/>
      <c r="I866" s="524" t="s">
        <v>2144</v>
      </c>
    </row>
    <row r="867" spans="1:9" ht="12.75" customHeight="1">
      <c r="A867" s="385"/>
      <c r="B867" s="385"/>
      <c r="C867" s="385"/>
      <c r="D867" s="1286"/>
      <c r="E867" s="1286"/>
      <c r="F867" s="1286"/>
      <c r="G867" s="3"/>
      <c r="I867" s="524"/>
    </row>
    <row r="868" spans="1:9" ht="12.75" customHeight="1">
      <c r="A868" s="385"/>
      <c r="B868" s="385"/>
      <c r="C868" s="385"/>
      <c r="D868" s="118"/>
      <c r="E868" s="3"/>
      <c r="F868" s="3"/>
      <c r="G868" s="3"/>
      <c r="I868" s="524"/>
    </row>
    <row r="869" spans="1:9" ht="12.75" customHeight="1">
      <c r="A869" s="385"/>
      <c r="B869" s="519" t="s">
        <v>2782</v>
      </c>
      <c r="C869" s="385"/>
      <c r="D869" s="1333" t="s">
        <v>1963</v>
      </c>
      <c r="E869" s="1333"/>
      <c r="F869" s="1333"/>
      <c r="G869" s="1023"/>
      <c r="I869" s="524"/>
    </row>
    <row r="870" spans="1:9" ht="12.75" customHeight="1">
      <c r="A870" s="385"/>
      <c r="B870" s="1031"/>
      <c r="C870" s="385"/>
      <c r="D870" s="1333"/>
      <c r="E870" s="1333"/>
      <c r="F870" s="1333"/>
      <c r="G870" s="1023"/>
      <c r="I870" s="524"/>
    </row>
    <row r="871" spans="1:9" ht="12.75" customHeight="1">
      <c r="A871" s="176"/>
      <c r="B871"/>
      <c r="C871" s="385"/>
      <c r="D871" s="1268" t="s">
        <v>2381</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2782</v>
      </c>
      <c r="C878" s="385"/>
      <c r="D878" s="1311" t="s">
        <v>1956</v>
      </c>
      <c r="E878" s="1311"/>
      <c r="F878" s="1311"/>
      <c r="G878" s="1023"/>
      <c r="I878" s="524" t="s">
        <v>2126</v>
      </c>
    </row>
    <row r="879" spans="1:9" ht="12.75" customHeight="1">
      <c r="A879" s="176"/>
      <c r="B879" s="176"/>
      <c r="C879" s="385"/>
      <c r="D879" s="1311" t="s">
        <v>1957</v>
      </c>
      <c r="E879" s="1311"/>
      <c r="F879" s="1311"/>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2782</v>
      </c>
      <c r="C882" s="385"/>
      <c r="D882" s="1268" t="s">
        <v>1958</v>
      </c>
      <c r="E882" s="1268"/>
      <c r="F882" s="1268"/>
      <c r="G882" s="1023"/>
      <c r="I882" s="524" t="s">
        <v>2144</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313" t="s">
        <v>1994</v>
      </c>
      <c r="B887" s="1313"/>
      <c r="C887" s="1313"/>
      <c r="D887" s="1313"/>
      <c r="E887" s="1313"/>
      <c r="F887" s="1313"/>
      <c r="G887" s="1313"/>
      <c r="H887" s="1063"/>
      <c r="I887" s="1256"/>
    </row>
    <row r="888" spans="1:9" ht="12.75" customHeight="1">
      <c r="A888" s="57"/>
      <c r="B888" s="57"/>
      <c r="C888" s="57"/>
      <c r="D888" s="57"/>
      <c r="E888" s="57"/>
      <c r="F888" s="57"/>
      <c r="G888" s="57"/>
      <c r="I888" s="524"/>
    </row>
    <row r="889" spans="1:9" ht="12.75" customHeight="1">
      <c r="A889" s="57"/>
      <c r="B889" s="57"/>
      <c r="C889" s="57"/>
      <c r="D889" s="1307" t="s">
        <v>2000</v>
      </c>
      <c r="E889" s="1307"/>
      <c r="F889" s="1307"/>
      <c r="G889" s="57"/>
      <c r="I889" s="524"/>
    </row>
    <row r="890" spans="1:9" ht="12.75" customHeight="1">
      <c r="A890" s="57"/>
      <c r="B890" s="57"/>
      <c r="C890" s="57"/>
      <c r="D890" s="1016"/>
      <c r="E890" s="1016"/>
      <c r="F890" s="1016"/>
      <c r="G890" s="57"/>
      <c r="I890" s="524"/>
    </row>
    <row r="891" spans="1:9" ht="12.75" customHeight="1">
      <c r="A891" s="57"/>
      <c r="B891" s="519" t="s">
        <v>2781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7" t="s">
        <v>1995</v>
      </c>
      <c r="E893" s="1307"/>
      <c r="F893" s="1307"/>
      <c r="G893" s="1023"/>
      <c r="I893" s="524"/>
    </row>
    <row r="894" spans="1:9" ht="12.75" customHeight="1">
      <c r="A894" s="172"/>
      <c r="B894" s="172"/>
      <c r="C894" s="172"/>
      <c r="D894" s="1279" t="s">
        <v>1964</v>
      </c>
      <c r="E894" s="1279"/>
      <c r="F894" s="1279"/>
      <c r="G894" s="1023"/>
      <c r="I894" s="524"/>
    </row>
    <row r="895" spans="1:9" ht="12.75" customHeight="1">
      <c r="A895" s="1024"/>
      <c r="B895" s="1024"/>
      <c r="C895" s="1024"/>
      <c r="D895" s="2"/>
      <c r="E895" s="1023"/>
      <c r="F895" s="1023"/>
      <c r="G895" s="1023"/>
      <c r="I895" s="524"/>
    </row>
    <row r="896" spans="1:9" ht="12.75" customHeight="1">
      <c r="A896" s="176"/>
      <c r="B896" s="519" t="s">
        <v>2781</v>
      </c>
      <c r="C896" s="385"/>
      <c r="D896" s="1268" t="s">
        <v>1968</v>
      </c>
      <c r="E896" s="1268"/>
      <c r="F896" s="1268"/>
      <c r="G896" s="3"/>
      <c r="I896" s="524" t="s">
        <v>2110</v>
      </c>
    </row>
    <row r="897" spans="1:9" ht="12.75" customHeight="1">
      <c r="A897" s="385"/>
      <c r="B897" s="385"/>
      <c r="C897" s="385"/>
      <c r="D897" s="1268"/>
      <c r="E897" s="1268"/>
      <c r="F897" s="1268"/>
      <c r="G897" s="3"/>
      <c r="I897" s="524"/>
    </row>
    <row r="898" spans="1:9" ht="12.75" customHeight="1">
      <c r="A898" s="172"/>
      <c r="B898" s="172"/>
      <c r="C898" s="172"/>
      <c r="D898" s="1268" t="s">
        <v>1967</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2781</v>
      </c>
      <c r="C901" s="175"/>
      <c r="D901" s="1278" t="s">
        <v>1965</v>
      </c>
      <c r="E901" s="1278"/>
      <c r="F901" s="1278"/>
      <c r="G901" s="1023"/>
      <c r="I901" s="524" t="s">
        <v>2109</v>
      </c>
    </row>
    <row r="902" spans="1:9" ht="12.75" customHeight="1">
      <c r="A902" s="176"/>
      <c r="B902" s="176"/>
      <c r="C902" s="175"/>
      <c r="D902" s="1278"/>
      <c r="E902" s="1278"/>
      <c r="F902" s="1278"/>
      <c r="G902" s="1023"/>
      <c r="I902" s="524"/>
    </row>
    <row r="903" spans="1:9" ht="12.75" customHeight="1">
      <c r="A903" s="176"/>
      <c r="B903" s="176"/>
      <c r="C903" s="175"/>
      <c r="D903" s="1278"/>
      <c r="E903" s="1278"/>
      <c r="F903" s="1278"/>
      <c r="G903" s="1023"/>
      <c r="I903" s="524"/>
    </row>
    <row r="904" spans="1:9" ht="12.75" customHeight="1">
      <c r="A904" s="176"/>
      <c r="B904" s="176"/>
      <c r="C904" s="175"/>
      <c r="D904" s="1278"/>
      <c r="E904" s="1278"/>
      <c r="F904" s="1278"/>
      <c r="G904" s="1023"/>
      <c r="I904" s="524"/>
    </row>
    <row r="905" spans="1:9" ht="12.75" customHeight="1">
      <c r="A905" s="176"/>
      <c r="B905" s="176"/>
      <c r="C905" s="175"/>
      <c r="D905" s="1278"/>
      <c r="E905" s="1278"/>
      <c r="F905" s="1278"/>
      <c r="G905" s="1023"/>
      <c r="I905" s="524"/>
    </row>
    <row r="906" spans="1:9" ht="12.75" customHeight="1">
      <c r="A906" s="175"/>
      <c r="B906" s="175"/>
      <c r="C906" s="175"/>
      <c r="D906" s="1278"/>
      <c r="E906" s="1278"/>
      <c r="F906" s="1278"/>
      <c r="G906" s="1023"/>
      <c r="I906" s="524"/>
    </row>
    <row r="907" spans="1:9" ht="12.75" customHeight="1">
      <c r="A907" s="175"/>
      <c r="B907" s="175"/>
      <c r="C907" s="175"/>
      <c r="D907" s="1278"/>
      <c r="E907" s="1278"/>
      <c r="F907" s="1278"/>
      <c r="G907" s="1023"/>
      <c r="I907" s="524"/>
    </row>
    <row r="908" spans="1:9" ht="12.75" customHeight="1">
      <c r="A908" s="175"/>
      <c r="B908" s="175"/>
      <c r="C908" s="175"/>
      <c r="D908" s="1278"/>
      <c r="E908" s="1278"/>
      <c r="F908" s="1278"/>
      <c r="G908" s="1023"/>
      <c r="I908" s="524"/>
    </row>
    <row r="909" spans="1:9" ht="12.75" customHeight="1">
      <c r="A909" s="175"/>
      <c r="B909" s="175"/>
      <c r="C909" s="175"/>
      <c r="D909" s="363"/>
      <c r="E909" s="363"/>
      <c r="F909" s="363"/>
      <c r="G909" s="1023"/>
      <c r="I909" s="524"/>
    </row>
    <row r="910" spans="1:9" ht="12.75" customHeight="1">
      <c r="A910" s="1024"/>
      <c r="B910" s="519" t="s">
        <v>2782</v>
      </c>
      <c r="C910" s="1024"/>
      <c r="D910" s="1268" t="s">
        <v>1969</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2782</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2782</v>
      </c>
      <c r="C918" s="1024"/>
      <c r="D918" s="1279" t="s">
        <v>2382</v>
      </c>
      <c r="E918" s="1279"/>
      <c r="F918" s="1279"/>
      <c r="G918" s="1023"/>
      <c r="I918" s="524"/>
    </row>
    <row r="919" spans="1:9" ht="12.75" customHeight="1">
      <c r="A919" s="1024"/>
      <c r="B919" s="1024"/>
      <c r="C919" s="1024"/>
      <c r="D919" s="118"/>
      <c r="E919" s="1023"/>
      <c r="F919" s="1023"/>
      <c r="G919" s="1023"/>
      <c r="I919" s="524"/>
    </row>
    <row r="920" spans="1:9" ht="12.75" customHeight="1">
      <c r="A920" s="1024"/>
      <c r="B920" s="519" t="s">
        <v>2782</v>
      </c>
      <c r="C920" s="1024"/>
      <c r="D920" s="1279" t="s">
        <v>2383</v>
      </c>
      <c r="E920" s="1279"/>
      <c r="F920" s="1279"/>
      <c r="G920" s="1023"/>
      <c r="I920" s="524"/>
    </row>
    <row r="921" spans="1:9" ht="12.75" customHeight="1">
      <c r="A921" s="175"/>
      <c r="B921" s="175"/>
      <c r="C921" s="175"/>
      <c r="D921" s="2"/>
      <c r="E921" s="3"/>
      <c r="F921" s="1023"/>
      <c r="G921" s="1023"/>
      <c r="I921" s="524"/>
    </row>
    <row r="922" spans="1:9" ht="12.75" customHeight="1">
      <c r="A922" s="1032"/>
      <c r="B922" s="519" t="s">
        <v>2781</v>
      </c>
      <c r="C922" s="1033"/>
      <c r="D922" s="1278" t="s">
        <v>1966</v>
      </c>
      <c r="E922" s="1278"/>
      <c r="F922" s="1278"/>
      <c r="G922" s="1034"/>
      <c r="I922" s="524" t="s">
        <v>2159</v>
      </c>
    </row>
    <row r="923" spans="1:9" ht="12.75" customHeight="1">
      <c r="A923" s="1032"/>
      <c r="B923" s="1032"/>
      <c r="C923" s="1033"/>
      <c r="D923" s="1278"/>
      <c r="E923" s="1278"/>
      <c r="F923" s="1278"/>
      <c r="G923" s="1034"/>
      <c r="I923" s="524"/>
    </row>
    <row r="924" spans="1:9" ht="12.75" customHeight="1">
      <c r="A924" s="1032"/>
      <c r="B924" s="1032"/>
      <c r="C924" s="1033"/>
      <c r="D924" s="1278"/>
      <c r="E924" s="1278"/>
      <c r="F924" s="1278"/>
      <c r="G924" s="1034"/>
      <c r="I924" s="524"/>
    </row>
    <row r="925" spans="1:9" ht="12.75" customHeight="1">
      <c r="A925" s="1032"/>
      <c r="B925" s="1032"/>
      <c r="C925" s="1033"/>
      <c r="D925" s="1278"/>
      <c r="E925" s="1278"/>
      <c r="F925" s="1278"/>
      <c r="G925" s="1034"/>
      <c r="I925" s="524"/>
    </row>
    <row r="926" spans="1:9" ht="12.75" customHeight="1">
      <c r="A926" s="1032"/>
      <c r="B926" s="1032"/>
      <c r="C926" s="1033"/>
      <c r="D926" s="1278"/>
      <c r="E926" s="1278"/>
      <c r="F926" s="1278"/>
      <c r="G926" s="1034"/>
      <c r="I926" s="524"/>
    </row>
    <row r="927" spans="1:9" ht="12.75" customHeight="1">
      <c r="A927" s="1032"/>
      <c r="B927" s="1032"/>
      <c r="C927" s="1033"/>
      <c r="D927" s="1278"/>
      <c r="E927" s="1278"/>
      <c r="F927" s="1278"/>
      <c r="G927" s="1034"/>
      <c r="I927" s="524"/>
    </row>
    <row r="928" spans="1:9" ht="12.75" customHeight="1">
      <c r="A928" s="1032"/>
      <c r="B928" s="1032"/>
      <c r="C928" s="1033"/>
      <c r="D928" s="1278"/>
      <c r="E928" s="1278"/>
      <c r="F928" s="1278"/>
      <c r="G928" s="1034"/>
      <c r="I928" s="524"/>
    </row>
    <row r="929" spans="1:9" ht="12.75" customHeight="1">
      <c r="A929" s="1032"/>
      <c r="B929" s="1032"/>
      <c r="C929" s="1033"/>
      <c r="D929" s="1278"/>
      <c r="E929" s="1278"/>
      <c r="F929" s="1278"/>
      <c r="G929" s="1034"/>
      <c r="I929" s="524"/>
    </row>
    <row r="930" spans="1:9" ht="12.75" customHeight="1">
      <c r="A930" s="1032"/>
      <c r="B930" s="1032"/>
      <c r="C930" s="1033"/>
      <c r="D930" s="1278"/>
      <c r="E930" s="1278"/>
      <c r="F930" s="1278"/>
      <c r="G930" s="1034"/>
      <c r="I930" s="524"/>
    </row>
    <row r="931" spans="1:9" ht="12.75" customHeight="1">
      <c r="A931" s="175"/>
      <c r="B931" s="175"/>
      <c r="C931" s="175"/>
      <c r="D931" s="2"/>
      <c r="E931" s="3"/>
      <c r="F931" s="1023"/>
      <c r="G931" s="1023"/>
      <c r="I931" s="524"/>
    </row>
    <row r="932" spans="1:9" ht="12.75" customHeight="1">
      <c r="A932" s="176"/>
      <c r="B932" s="519" t="s">
        <v>2781</v>
      </c>
      <c r="C932" s="175"/>
      <c r="D932" s="1334" t="s">
        <v>2161</v>
      </c>
      <c r="E932" s="1334"/>
      <c r="F932" s="1334"/>
      <c r="G932" s="1023"/>
      <c r="I932" s="524" t="s">
        <v>2159</v>
      </c>
    </row>
    <row r="933" spans="1:9" ht="12.75" customHeight="1">
      <c r="A933" s="176"/>
      <c r="B933" s="176"/>
      <c r="C933" s="175"/>
      <c r="D933" s="1334"/>
      <c r="E933" s="1334"/>
      <c r="F933" s="1334"/>
      <c r="G933" s="1023"/>
      <c r="I933" s="524"/>
    </row>
    <row r="934" spans="1:9" ht="12.75" customHeight="1">
      <c r="A934" s="176"/>
      <c r="B934" s="176"/>
      <c r="C934" s="175"/>
      <c r="D934" s="1334"/>
      <c r="E934" s="1334"/>
      <c r="F934" s="1334"/>
      <c r="G934" s="1023"/>
      <c r="I934" s="524"/>
    </row>
    <row r="935" spans="1:9" ht="12.75" customHeight="1">
      <c r="A935" s="176"/>
      <c r="B935" s="176"/>
      <c r="C935" s="175"/>
      <c r="D935" s="1334"/>
      <c r="E935" s="1334"/>
      <c r="F935" s="1334"/>
      <c r="G935" s="1023"/>
      <c r="I935" s="524"/>
    </row>
    <row r="936" spans="1:9" ht="12.75" customHeight="1">
      <c r="A936" s="176"/>
      <c r="B936" s="176"/>
      <c r="C936" s="175"/>
      <c r="D936" s="1334"/>
      <c r="E936" s="1334"/>
      <c r="F936" s="1334"/>
      <c r="G936" s="1023"/>
      <c r="I936" s="524"/>
    </row>
    <row r="937" spans="1:9" ht="12.75" customHeight="1">
      <c r="A937" s="176"/>
      <c r="B937" s="176"/>
      <c r="C937" s="175"/>
      <c r="D937" s="1334"/>
      <c r="E937" s="1334"/>
      <c r="F937" s="1334"/>
      <c r="G937" s="1023"/>
      <c r="I937" s="524"/>
    </row>
    <row r="938" spans="1:9" ht="12.75" customHeight="1">
      <c r="A938" s="176"/>
      <c r="B938" s="176"/>
      <c r="C938" s="175"/>
      <c r="D938" s="1334"/>
      <c r="E938" s="1334"/>
      <c r="F938" s="1334"/>
      <c r="G938" s="1023"/>
      <c r="I938" s="524"/>
    </row>
    <row r="939" spans="1:9" ht="12.75" customHeight="1">
      <c r="A939" s="176"/>
      <c r="B939" s="176"/>
      <c r="C939" s="175"/>
      <c r="D939" s="1061"/>
      <c r="E939" s="1061"/>
      <c r="F939" s="1061"/>
      <c r="G939" s="1023"/>
      <c r="I939" s="524"/>
    </row>
    <row r="940" spans="1:9" ht="12.75" customHeight="1">
      <c r="A940" s="176"/>
      <c r="B940" s="519" t="s">
        <v>2781</v>
      </c>
      <c r="C940" s="175"/>
      <c r="D940" s="1277" t="s">
        <v>2455</v>
      </c>
      <c r="E940" s="1277"/>
      <c r="F940" s="1277"/>
      <c r="G940" s="1023"/>
      <c r="I940" s="524"/>
    </row>
    <row r="941" spans="1:9" ht="12.75" customHeight="1">
      <c r="A941" s="176"/>
      <c r="B941" s="176"/>
      <c r="C941" s="175"/>
      <c r="D941" s="1277"/>
      <c r="E941" s="1277"/>
      <c r="F941" s="1277"/>
      <c r="G941" s="1023"/>
      <c r="I941" s="524"/>
    </row>
    <row r="942" spans="1:9" ht="12.75" customHeight="1">
      <c r="A942" s="176"/>
      <c r="B942" s="176"/>
      <c r="C942" s="175"/>
      <c r="D942" s="1277"/>
      <c r="E942" s="1277"/>
      <c r="F942" s="1277"/>
      <c r="G942" s="1023"/>
      <c r="I942" s="524"/>
    </row>
    <row r="943" spans="1:9" ht="12.75" customHeight="1">
      <c r="A943" s="176"/>
      <c r="B943" s="176"/>
      <c r="C943" s="175"/>
      <c r="D943" s="1277"/>
      <c r="E943" s="1277"/>
      <c r="F943" s="1277"/>
      <c r="G943" s="1023"/>
      <c r="I943" s="524"/>
    </row>
    <row r="944" spans="1:9" ht="12.75" customHeight="1">
      <c r="A944" s="176"/>
      <c r="B944" s="176"/>
      <c r="C944" s="175"/>
      <c r="D944" s="1277"/>
      <c r="E944" s="1277"/>
      <c r="F944" s="1277"/>
      <c r="G944" s="1023"/>
      <c r="I944" s="524"/>
    </row>
    <row r="945" spans="1:9" ht="12.75" customHeight="1">
      <c r="A945" s="176"/>
      <c r="B945" s="176"/>
      <c r="C945" s="175"/>
      <c r="D945" s="1277"/>
      <c r="E945" s="1277"/>
      <c r="F945" s="1277"/>
      <c r="G945" s="1023"/>
      <c r="I945" s="524"/>
    </row>
    <row r="946" spans="1:9" ht="12.75" customHeight="1">
      <c r="A946" s="176"/>
      <c r="B946" s="176"/>
      <c r="C946" s="175"/>
      <c r="D946" s="1061"/>
      <c r="E946" s="1061"/>
      <c r="F946" s="1061"/>
      <c r="G946" s="1023"/>
      <c r="I946" s="524"/>
    </row>
    <row r="947" spans="1:9" ht="12.75" customHeight="1">
      <c r="A947" s="1024"/>
      <c r="B947" s="519" t="s">
        <v>2782</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2782</v>
      </c>
      <c r="C952" s="175"/>
      <c r="D952" s="1278" t="s">
        <v>2160</v>
      </c>
      <c r="E952" s="1278"/>
      <c r="F952" s="1278"/>
      <c r="G952" s="1023"/>
      <c r="I952" s="524" t="s">
        <v>2159</v>
      </c>
    </row>
    <row r="953" spans="1:9" ht="12.75" customHeight="1">
      <c r="A953" s="176"/>
      <c r="B953" s="176"/>
      <c r="C953" s="175"/>
      <c r="D953" s="1278"/>
      <c r="E953" s="1278"/>
      <c r="F953" s="1278"/>
      <c r="G953" s="1023"/>
      <c r="I953" s="524"/>
    </row>
    <row r="954" spans="1:9" ht="12.75" customHeight="1">
      <c r="A954" s="176"/>
      <c r="B954" s="176"/>
      <c r="C954" s="175"/>
      <c r="D954" s="1278"/>
      <c r="E954" s="1278"/>
      <c r="F954" s="1278"/>
      <c r="G954" s="1023"/>
      <c r="I954" s="524"/>
    </row>
    <row r="955" spans="1:9" ht="12.75" customHeight="1">
      <c r="A955" s="176"/>
      <c r="B955" s="176"/>
      <c r="C955" s="175"/>
      <c r="D955" s="1278"/>
      <c r="E955" s="1278"/>
      <c r="F955" s="1278"/>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1972</v>
      </c>
      <c r="E957" s="1284"/>
      <c r="F957" s="1284"/>
      <c r="G957" s="3"/>
      <c r="I957" s="524"/>
    </row>
    <row r="958" spans="1:9" ht="12.75" customHeight="1">
      <c r="A958" s="176"/>
      <c r="B958" s="519" t="s">
        <v>2782</v>
      </c>
      <c r="C958" s="385"/>
      <c r="D958" s="1279" t="s">
        <v>1996</v>
      </c>
      <c r="E958" s="1279"/>
      <c r="F958" s="1279"/>
      <c r="G958" s="3"/>
      <c r="I958" s="524" t="s">
        <v>2159</v>
      </c>
    </row>
    <row r="959" spans="1:9" ht="12.75" customHeight="1">
      <c r="A959" s="385"/>
      <c r="B959" s="385"/>
      <c r="C959" s="385"/>
      <c r="D959" s="3"/>
      <c r="E959" s="3"/>
      <c r="F959" s="3"/>
      <c r="G959" s="3"/>
      <c r="I959" s="524"/>
    </row>
    <row r="960" spans="1:9" ht="12.75" customHeight="1">
      <c r="A960" s="385"/>
      <c r="B960" s="385"/>
      <c r="C960" s="385"/>
      <c r="D960" s="1284" t="s">
        <v>1973</v>
      </c>
      <c r="E960" s="1284"/>
      <c r="F960" s="1284"/>
      <c r="G960"/>
      <c r="I960" s="524"/>
    </row>
    <row r="961" spans="1:9" ht="12.75" customHeight="1">
      <c r="A961" s="176"/>
      <c r="B961" s="519" t="s">
        <v>2781</v>
      </c>
      <c r="C961" s="385"/>
      <c r="D961" s="1268" t="s">
        <v>2384</v>
      </c>
      <c r="E961" s="1268"/>
      <c r="F961" s="1268"/>
      <c r="G961"/>
      <c r="I961" s="524" t="s">
        <v>2159</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313" t="s">
        <v>1974</v>
      </c>
      <c r="B977" s="1313"/>
      <c r="C977" s="1313"/>
      <c r="D977" s="1313"/>
      <c r="E977" s="1313"/>
      <c r="F977" s="1313"/>
      <c r="G977" s="1313"/>
      <c r="H977" s="1063"/>
      <c r="I977" s="1256"/>
    </row>
    <row r="978" spans="1:9" ht="12.75" customHeight="1">
      <c r="A978" s="118"/>
      <c r="B978" s="118"/>
      <c r="C978" s="385"/>
      <c r="D978" s="3"/>
      <c r="E978" s="3"/>
      <c r="F978" s="3"/>
      <c r="G978" s="3"/>
      <c r="I978" s="524"/>
    </row>
    <row r="979" spans="1:9" ht="12.75" customHeight="1">
      <c r="A979" s="385"/>
      <c r="B979" s="385"/>
      <c r="C979" s="1024"/>
      <c r="D979" s="1284" t="s">
        <v>1997</v>
      </c>
      <c r="E979" s="1284"/>
      <c r="F979" s="1284"/>
      <c r="G979" s="3"/>
      <c r="I979" s="524"/>
    </row>
    <row r="980" spans="1:9" ht="12.75" customHeight="1">
      <c r="A980" s="172"/>
      <c r="B980" s="172"/>
      <c r="C980" s="172"/>
      <c r="D980" s="1279" t="s">
        <v>1975</v>
      </c>
      <c r="E980" s="1279"/>
      <c r="F980" s="1279"/>
      <c r="G980" s="3"/>
      <c r="I980" s="524"/>
    </row>
    <row r="981" spans="1:9" ht="12.75" customHeight="1">
      <c r="A981" s="172"/>
      <c r="B981" s="172"/>
      <c r="C981" s="172"/>
      <c r="D981" s="3"/>
      <c r="E981" s="3"/>
      <c r="F981" s="1023"/>
      <c r="G981"/>
      <c r="I981" s="524"/>
    </row>
    <row r="982" spans="1:9" ht="12.75" customHeight="1">
      <c r="A982" s="385"/>
      <c r="B982" s="519" t="s">
        <v>2781</v>
      </c>
      <c r="C982" s="385"/>
      <c r="D982" s="1332" t="s">
        <v>2214</v>
      </c>
      <c r="E982" s="1332"/>
      <c r="F982" s="1332"/>
      <c r="G982"/>
      <c r="I982" s="524" t="s">
        <v>2139</v>
      </c>
    </row>
    <row r="983" spans="1:9" ht="12.75" customHeight="1">
      <c r="A983" s="385"/>
      <c r="B983" s="385"/>
      <c r="C983" s="385"/>
      <c r="D983" s="1332"/>
      <c r="E983" s="1332"/>
      <c r="F983" s="1332"/>
      <c r="G983"/>
      <c r="I983" s="524"/>
    </row>
    <row r="984" spans="1:9" ht="12.75" customHeight="1">
      <c r="A984" s="385"/>
      <c r="B984" s="385"/>
      <c r="C984" s="385"/>
      <c r="D984" s="1073"/>
      <c r="E984" s="1071" t="s">
        <v>2215</v>
      </c>
      <c r="F984" s="1073"/>
      <c r="G984"/>
      <c r="I984" s="524"/>
    </row>
    <row r="985" spans="1:9" ht="12.75" customHeight="1">
      <c r="A985" s="385"/>
      <c r="B985" s="385"/>
      <c r="C985" s="385"/>
      <c r="D985" s="1272" t="s">
        <v>2213</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2782</v>
      </c>
      <c r="C990" s="175"/>
      <c r="D990" s="1268" t="s">
        <v>1976</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2782</v>
      </c>
      <c r="C995" s="175"/>
      <c r="D995" s="1268" t="s">
        <v>1977</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2782</v>
      </c>
      <c r="C998" s="385"/>
      <c r="D998" s="1279" t="s">
        <v>1978</v>
      </c>
      <c r="E998" s="1279"/>
      <c r="F998" s="1279"/>
      <c r="G998"/>
      <c r="I998" s="524"/>
    </row>
    <row r="999" spans="1:9" ht="12.75" customHeight="1">
      <c r="A999" s="385"/>
      <c r="B999" s="385"/>
      <c r="C999" s="385"/>
      <c r="D999" s="3"/>
      <c r="E999" s="3"/>
      <c r="F999" s="3"/>
      <c r="G999"/>
      <c r="I999" s="524"/>
    </row>
    <row r="1000" spans="1:9" ht="12.75" customHeight="1">
      <c r="A1000" s="176"/>
      <c r="B1000" s="519" t="s">
        <v>2782</v>
      </c>
      <c r="C1000" s="385"/>
      <c r="D1000" s="1279" t="s">
        <v>1979</v>
      </c>
      <c r="E1000" s="1279"/>
      <c r="F1000" s="1279"/>
      <c r="G1000"/>
      <c r="I1000" s="524"/>
    </row>
    <row r="1001" spans="1:9" ht="12.75" customHeight="1">
      <c r="A1001" s="385"/>
      <c r="B1001" s="385"/>
      <c r="C1001" s="385"/>
      <c r="D1001" s="118"/>
      <c r="E1001" s="3"/>
      <c r="F1001" s="3"/>
      <c r="G1001"/>
      <c r="I1001" s="524"/>
    </row>
    <row r="1002" spans="1:9" ht="12.75" customHeight="1">
      <c r="A1002" s="176"/>
      <c r="B1002" s="519" t="s">
        <v>2781</v>
      </c>
      <c r="C1002" s="385"/>
      <c r="D1002" s="1279" t="s">
        <v>1980</v>
      </c>
      <c r="E1002" s="1279"/>
      <c r="F1002" s="1279"/>
      <c r="G1002"/>
      <c r="I1002" s="524"/>
    </row>
    <row r="1003" spans="1:9" ht="12.75" customHeight="1">
      <c r="A1003" s="385"/>
      <c r="B1003" s="385"/>
      <c r="C1003" s="385"/>
      <c r="D1003" s="118"/>
      <c r="E1003" s="3"/>
      <c r="F1003" s="3"/>
      <c r="G1003"/>
      <c r="I1003" s="524"/>
    </row>
    <row r="1004" spans="1:9" ht="12.75" customHeight="1">
      <c r="A1004" s="176"/>
      <c r="B1004" s="519" t="s">
        <v>2782</v>
      </c>
      <c r="C1004" s="385"/>
      <c r="D1004" s="1268" t="s">
        <v>1981</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2782</v>
      </c>
      <c r="C1007" s="1035"/>
      <c r="D1007" s="1308" t="s">
        <v>1982</v>
      </c>
      <c r="E1007" s="1308"/>
      <c r="F1007" s="1308"/>
      <c r="G1007" s="1036"/>
      <c r="I1007" s="524"/>
    </row>
    <row r="1008" spans="1:9" ht="12.75" customHeight="1">
      <c r="A1008" s="1035"/>
      <c r="B1008" s="1035"/>
      <c r="C1008" s="1035"/>
      <c r="D1008" s="1308"/>
      <c r="E1008" s="1308"/>
      <c r="F1008" s="1308"/>
      <c r="G1008" s="1036"/>
      <c r="I1008" s="524"/>
    </row>
    <row r="1009" spans="1:9" ht="12.75" customHeight="1">
      <c r="A1009" s="1035"/>
      <c r="B1009" s="1035"/>
      <c r="C1009" s="1035"/>
      <c r="D1009" s="1019"/>
      <c r="E1009" s="1036"/>
      <c r="F1009" s="1036"/>
      <c r="G1009" s="1036"/>
      <c r="I1009" s="524"/>
    </row>
    <row r="1010" spans="1:9" ht="12.75" customHeight="1">
      <c r="A1010" s="272"/>
      <c r="B1010" s="519" t="s">
        <v>2781</v>
      </c>
      <c r="C1010" s="1035"/>
      <c r="D1010" s="1326" t="s">
        <v>1983</v>
      </c>
      <c r="E1010" s="1326"/>
      <c r="F1010" s="1326"/>
      <c r="G1010" s="1036"/>
      <c r="I1010" s="524"/>
    </row>
    <row r="1011" spans="1:9" ht="12.75" customHeight="1">
      <c r="A1011" s="1035"/>
      <c r="B1011" s="1035"/>
      <c r="C1011" s="1035"/>
      <c r="D1011" s="1019"/>
      <c r="E1011" s="1036"/>
      <c r="F1011" s="1036"/>
      <c r="G1011" s="1036"/>
      <c r="I1011" s="524"/>
    </row>
    <row r="1012" spans="1:9" ht="12.75" customHeight="1">
      <c r="A1012" s="176"/>
      <c r="B1012" s="519" t="s">
        <v>2782</v>
      </c>
      <c r="C1012" s="385"/>
      <c r="D1012" s="1279" t="s">
        <v>1984</v>
      </c>
      <c r="E1012" s="1279"/>
      <c r="F1012" s="1279"/>
      <c r="G1012" s="3"/>
      <c r="I1012" s="524"/>
    </row>
    <row r="1013" spans="1:9" ht="12.75" customHeight="1">
      <c r="A1013" s="176"/>
      <c r="B1013" s="176"/>
      <c r="C1013" s="385"/>
      <c r="D1013" s="118"/>
      <c r="E1013" s="3"/>
      <c r="F1013" s="3"/>
      <c r="G1013" s="3"/>
      <c r="I1013" s="524"/>
    </row>
    <row r="1014" spans="1:9" ht="12.75" customHeight="1">
      <c r="A1014" s="176"/>
      <c r="B1014" s="519" t="s">
        <v>2782</v>
      </c>
      <c r="C1014" s="385"/>
      <c r="D1014" s="1268" t="s">
        <v>1985</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313" t="s">
        <v>1986</v>
      </c>
      <c r="B1017" s="1313"/>
      <c r="C1017" s="1313"/>
      <c r="D1017" s="1313"/>
      <c r="E1017" s="1313"/>
      <c r="F1017" s="1313"/>
      <c r="G1017" s="1313"/>
      <c r="H1017" s="1063"/>
      <c r="I1017" s="1256"/>
    </row>
    <row r="1018" spans="1:9" ht="12.75" customHeight="1">
      <c r="A1018" s="385"/>
      <c r="B1018" s="385"/>
      <c r="C1018" s="385"/>
      <c r="D1018" s="3"/>
      <c r="E1018" s="3"/>
      <c r="F1018" s="3"/>
      <c r="G1018" s="3"/>
      <c r="I1018" s="524"/>
    </row>
    <row r="1019" spans="1:9" ht="12.75" customHeight="1">
      <c r="A1019" s="385"/>
      <c r="B1019" s="385"/>
      <c r="C1019" s="385"/>
      <c r="D1019" s="1307" t="s">
        <v>1987</v>
      </c>
      <c r="E1019" s="1307"/>
      <c r="F1019" s="1307"/>
      <c r="G1019" s="3"/>
      <c r="I1019" s="524"/>
    </row>
    <row r="1020" spans="1:9" ht="12.75" customHeight="1">
      <c r="A1020" s="385"/>
      <c r="B1020" s="385"/>
      <c r="C1020" s="385"/>
      <c r="D1020" s="1326" t="s">
        <v>1988</v>
      </c>
      <c r="E1020" s="1326"/>
      <c r="F1020" s="1326"/>
      <c r="G1020" s="3"/>
      <c r="I1020" s="524"/>
    </row>
    <row r="1021" spans="1:9" ht="12.75" customHeight="1">
      <c r="A1021" s="172"/>
      <c r="B1021" s="172"/>
      <c r="C1021" s="172"/>
      <c r="D1021" s="3"/>
      <c r="E1021" s="3"/>
      <c r="F1021" s="3"/>
      <c r="G1021" s="3"/>
      <c r="I1021" s="524"/>
    </row>
    <row r="1022" spans="1:9" ht="12.75" customHeight="1">
      <c r="A1022" s="176"/>
      <c r="B1022" s="176"/>
      <c r="C1022" s="175"/>
      <c r="D1022" s="1307" t="s">
        <v>2002</v>
      </c>
      <c r="E1022" s="1307"/>
      <c r="F1022" s="1307"/>
      <c r="G1022" s="3"/>
      <c r="I1022" s="524" t="s">
        <v>2111</v>
      </c>
    </row>
    <row r="1023" spans="1:9" ht="12.75" customHeight="1">
      <c r="A1023" s="385"/>
      <c r="B1023" s="519" t="s">
        <v>2781</v>
      </c>
      <c r="C1023" s="385"/>
      <c r="D1023" s="1326" t="s">
        <v>1379</v>
      </c>
      <c r="E1023" s="1326"/>
      <c r="F1023" s="1326"/>
      <c r="G1023" s="3"/>
      <c r="I1023" s="524"/>
    </row>
    <row r="1024" spans="1:9" ht="12.75" customHeight="1">
      <c r="A1024" s="385"/>
      <c r="B1024" s="176"/>
      <c r="C1024" s="385"/>
      <c r="D1024" s="1326" t="s">
        <v>1989</v>
      </c>
      <c r="E1024" s="1326"/>
      <c r="F1024" s="1326"/>
      <c r="G1024" s="3"/>
      <c r="I1024" s="524"/>
    </row>
    <row r="1025" spans="1:9" ht="12.75" customHeight="1">
      <c r="A1025" s="385"/>
      <c r="B1025" s="385"/>
      <c r="C1025" s="385"/>
      <c r="D1025" s="1326"/>
      <c r="E1025" s="1326"/>
      <c r="F1025" s="1326"/>
      <c r="G1025" s="3"/>
      <c r="I1025" s="524"/>
    </row>
    <row r="1026" spans="1:9" ht="12.75" customHeight="1">
      <c r="A1026" s="1313" t="s">
        <v>1998</v>
      </c>
      <c r="B1026" s="1313"/>
      <c r="C1026" s="1313"/>
      <c r="D1026" s="1313"/>
      <c r="E1026" s="1313"/>
      <c r="F1026" s="1313"/>
      <c r="G1026" s="1313"/>
      <c r="H1026" s="1063"/>
      <c r="I1026" s="1256"/>
    </row>
    <row r="1027" spans="1:9" ht="12.75" customHeight="1">
      <c r="A1027" s="118"/>
      <c r="B1027" s="118"/>
      <c r="C1027" s="385"/>
      <c r="D1027" s="3"/>
      <c r="E1027" s="3"/>
      <c r="F1027" s="3"/>
      <c r="G1027" s="3"/>
      <c r="I1027" s="524"/>
    </row>
    <row r="1028" spans="1:9" ht="12.75" hidden="1" customHeight="1">
      <c r="A1028" s="118"/>
      <c r="B1028" s="433"/>
      <c r="D1028" s="1315" t="s">
        <v>1380</v>
      </c>
      <c r="E1028" s="1315"/>
      <c r="F1028" s="1315"/>
      <c r="G1028" s="3"/>
      <c r="I1028" s="524"/>
    </row>
    <row r="1029" spans="1:9" ht="12.75" hidden="1" customHeight="1">
      <c r="A1029" s="118"/>
      <c r="B1029" s="519" t="s">
        <v>308</v>
      </c>
      <c r="D1029" s="1317" t="s">
        <v>1379</v>
      </c>
      <c r="E1029" s="1317"/>
      <c r="F1029" s="1317"/>
      <c r="G1029" s="3"/>
      <c r="I1029" s="524"/>
    </row>
    <row r="1030" spans="1:9" ht="12.75" hidden="1" customHeight="1">
      <c r="A1030" s="118"/>
      <c r="B1030" s="433"/>
      <c r="D1030" s="1317" t="s">
        <v>1999</v>
      </c>
      <c r="E1030" s="1317"/>
      <c r="F1030" s="1317"/>
      <c r="G1030" s="3"/>
      <c r="I1030" s="524"/>
    </row>
    <row r="1031" spans="1:9" ht="12.75" hidden="1" customHeight="1">
      <c r="A1031" s="118"/>
      <c r="B1031" s="433"/>
      <c r="D1031" s="478"/>
      <c r="E1031" s="478"/>
      <c r="F1031" s="478"/>
      <c r="G1031" s="3"/>
      <c r="I1031" s="524"/>
    </row>
    <row r="1032" spans="1:9" ht="12.75" customHeight="1">
      <c r="A1032" s="118"/>
      <c r="B1032" s="118"/>
      <c r="C1032" s="385"/>
      <c r="D1032" s="1327" t="s">
        <v>1095</v>
      </c>
      <c r="E1032" s="1327"/>
      <c r="F1032" s="1327"/>
      <c r="G1032" s="3"/>
      <c r="I1032" s="524" t="s">
        <v>2140</v>
      </c>
    </row>
    <row r="1033" spans="1:9" ht="12.75" customHeight="1">
      <c r="A1033" s="345"/>
      <c r="B1033" s="345"/>
      <c r="C1033" s="345"/>
      <c r="D1033" s="1311" t="s">
        <v>1112</v>
      </c>
      <c r="E1033" s="1311"/>
      <c r="F1033" s="1311"/>
      <c r="G1033" s="98"/>
      <c r="I1033" s="524"/>
    </row>
    <row r="1034" spans="1:9" ht="12.75" customHeight="1">
      <c r="A1034" s="176"/>
      <c r="B1034" s="519" t="s">
        <v>2782</v>
      </c>
      <c r="C1034" s="385"/>
      <c r="D1034" s="1311" t="s">
        <v>1005</v>
      </c>
      <c r="E1034" s="1311"/>
      <c r="F1034" s="1311"/>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3" t="s">
        <v>2019</v>
      </c>
      <c r="B1037" s="1313"/>
      <c r="C1037" s="1313"/>
      <c r="D1037" s="1313"/>
      <c r="E1037" s="1313"/>
      <c r="F1037" s="1313"/>
      <c r="G1037" s="1313"/>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2782</v>
      </c>
      <c r="C1042" s="433"/>
      <c r="D1042" s="1329" t="s">
        <v>2003</v>
      </c>
      <c r="E1042" s="1329"/>
      <c r="F1042" s="1329"/>
      <c r="I1042" s="524" t="s">
        <v>2112</v>
      </c>
    </row>
    <row r="1043" spans="1:9">
      <c r="A1043" s="433"/>
      <c r="B1043" s="433"/>
      <c r="C1043" s="433"/>
      <c r="D1043" s="1329"/>
      <c r="E1043" s="1329"/>
      <c r="F1043" s="1329"/>
      <c r="I1043" s="524"/>
    </row>
    <row r="1044" spans="1:9">
      <c r="A1044" s="433"/>
      <c r="B1044" s="433"/>
      <c r="C1044" s="433"/>
      <c r="D1044" s="1329"/>
      <c r="E1044" s="1329"/>
      <c r="F1044" s="1329"/>
      <c r="I1044" s="524"/>
    </row>
    <row r="1045" spans="1:9">
      <c r="A1045" s="433"/>
      <c r="B1045" s="433"/>
      <c r="C1045" s="433"/>
      <c r="D1045" s="1329"/>
      <c r="E1045" s="1329"/>
      <c r="F1045" s="132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2782</v>
      </c>
      <c r="C1050" s="433"/>
      <c r="D1050" s="433" t="s">
        <v>2001</v>
      </c>
      <c r="I1050" s="524" t="s">
        <v>2113</v>
      </c>
    </row>
    <row r="1051" spans="1:9">
      <c r="A1051" s="433"/>
      <c r="B1051" s="433"/>
      <c r="C1051" s="433"/>
      <c r="I1051" s="524"/>
    </row>
    <row r="1052" spans="1:9">
      <c r="A1052" s="433"/>
      <c r="B1052" s="519" t="s">
        <v>2782</v>
      </c>
      <c r="C1052" s="433"/>
      <c r="D1052" s="1329" t="s">
        <v>2007</v>
      </c>
      <c r="E1052" s="1329"/>
      <c r="F1052" s="1329"/>
      <c r="I1052" s="524" t="s">
        <v>2114</v>
      </c>
    </row>
    <row r="1053" spans="1:9">
      <c r="A1053" s="433"/>
      <c r="B1053" s="433"/>
      <c r="C1053" s="433"/>
      <c r="D1053" s="1329"/>
      <c r="E1053" s="1329"/>
      <c r="F1053" s="1329"/>
      <c r="I1053" s="524"/>
    </row>
    <row r="1054" spans="1:9">
      <c r="A1054" s="433"/>
      <c r="B1054" s="433"/>
      <c r="C1054" s="433"/>
      <c r="D1054" s="1329"/>
      <c r="E1054" s="1329"/>
      <c r="F1054" s="1329"/>
      <c r="I1054" s="524"/>
    </row>
    <row r="1055" spans="1:9">
      <c r="A1055" s="433"/>
      <c r="B1055" s="433"/>
      <c r="C1055" s="433"/>
      <c r="D1055" s="1329"/>
      <c r="E1055" s="1329"/>
      <c r="F1055" s="1329"/>
      <c r="I1055" s="524"/>
    </row>
    <row r="1056" spans="1:9">
      <c r="A1056" s="433"/>
      <c r="B1056" s="433"/>
      <c r="C1056" s="433"/>
      <c r="D1056" s="1329"/>
      <c r="E1056" s="1329"/>
      <c r="F1056" s="1329"/>
      <c r="I1056" s="524"/>
    </row>
    <row r="1057" spans="1:9">
      <c r="A1057" s="433"/>
      <c r="B1057" s="433"/>
      <c r="C1057" s="433"/>
      <c r="I1057" s="524"/>
    </row>
    <row r="1058" spans="1:9">
      <c r="A1058" s="1313" t="s">
        <v>2008</v>
      </c>
      <c r="B1058" s="1313"/>
      <c r="C1058" s="1313"/>
      <c r="D1058" s="1313"/>
      <c r="E1058" s="1313"/>
      <c r="F1058" s="1313"/>
      <c r="G1058" s="1313"/>
      <c r="H1058" s="1063"/>
      <c r="I1058" s="1256"/>
    </row>
    <row r="1059" spans="1:9">
      <c r="A1059" s="433"/>
      <c r="B1059" s="433"/>
      <c r="C1059" s="433"/>
      <c r="I1059" s="524"/>
    </row>
    <row r="1060" spans="1:9">
      <c r="A1060" s="433"/>
      <c r="B1060" s="433"/>
      <c r="C1060" s="433"/>
      <c r="I1060" s="524"/>
    </row>
    <row r="1061" spans="1:9">
      <c r="A1061" s="433"/>
      <c r="B1061" s="519" t="s">
        <v>2781</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2782</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2782</v>
      </c>
      <c r="C1067" s="433"/>
      <c r="D1067" s="119" t="s">
        <v>2017</v>
      </c>
      <c r="I1067" s="524" t="s">
        <v>2117</v>
      </c>
    </row>
    <row r="1068" spans="1:9">
      <c r="A1068" s="433"/>
      <c r="B1068" s="433"/>
      <c r="C1068" s="433"/>
      <c r="D1068" s="1268" t="s">
        <v>2018</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2782</v>
      </c>
      <c r="C1075" s="433"/>
      <c r="D1075" s="1328" t="s">
        <v>2010</v>
      </c>
      <c r="E1075" s="1328"/>
      <c r="F1075" s="1328"/>
      <c r="I1075" s="524"/>
    </row>
    <row r="1076" spans="1:9">
      <c r="A1076" s="433"/>
      <c r="B1076" s="433"/>
      <c r="C1076" s="433"/>
      <c r="D1076" s="1328"/>
      <c r="E1076" s="1328"/>
      <c r="F1076" s="1328"/>
      <c r="I1076" s="524"/>
    </row>
    <row r="1077" spans="1:9">
      <c r="A1077" s="433"/>
      <c r="B1077" s="433"/>
      <c r="C1077" s="433"/>
      <c r="D1077" s="1328"/>
      <c r="E1077" s="1328"/>
      <c r="F1077" s="1328"/>
      <c r="I1077" s="524"/>
    </row>
    <row r="1078" spans="1:9">
      <c r="A1078" s="433"/>
      <c r="B1078" s="433"/>
      <c r="C1078" s="433"/>
      <c r="D1078" s="1328"/>
      <c r="E1078" s="1328"/>
      <c r="F1078" s="1328"/>
      <c r="I1078" s="524"/>
    </row>
    <row r="1079" spans="1:9">
      <c r="A1079" s="433"/>
      <c r="B1079" s="433"/>
      <c r="C1079" s="433"/>
      <c r="D1079" s="1328"/>
      <c r="E1079" s="1328"/>
      <c r="F1079" s="1328"/>
      <c r="I1079" s="524"/>
    </row>
    <row r="1080" spans="1:9">
      <c r="A1080" s="433"/>
      <c r="B1080" s="433"/>
      <c r="C1080" s="433"/>
      <c r="D1080" s="561" t="s">
        <v>2015</v>
      </c>
      <c r="I1080" s="524"/>
    </row>
    <row r="1081" spans="1:9">
      <c r="A1081" s="433"/>
      <c r="B1081" s="433"/>
      <c r="C1081" s="433"/>
      <c r="I1081" s="524"/>
    </row>
    <row r="1082" spans="1:9">
      <c r="A1082" s="1313" t="s">
        <v>2020</v>
      </c>
      <c r="B1082" s="1313"/>
      <c r="C1082" s="1313"/>
      <c r="D1082" s="1313"/>
      <c r="E1082" s="1313"/>
      <c r="F1082" s="1313"/>
      <c r="G1082" s="1313"/>
      <c r="H1082" s="1063"/>
      <c r="I1082" s="1256"/>
    </row>
    <row r="1083" spans="1:9">
      <c r="A1083" s="433"/>
      <c r="B1083" s="433"/>
      <c r="C1083" s="433"/>
      <c r="I1083" s="524"/>
    </row>
    <row r="1084" spans="1:9">
      <c r="A1084" s="433"/>
      <c r="B1084" s="433"/>
      <c r="C1084" s="433"/>
      <c r="I1084" s="524"/>
    </row>
    <row r="1085" spans="1:9" ht="12.75" customHeight="1">
      <c r="A1085" s="433"/>
      <c r="B1085" s="519" t="s">
        <v>2782</v>
      </c>
      <c r="C1085" s="433"/>
      <c r="D1085" s="1330" t="s">
        <v>2228</v>
      </c>
      <c r="E1085" s="1330"/>
      <c r="F1085" s="1330"/>
      <c r="I1085" s="524" t="s">
        <v>2119</v>
      </c>
    </row>
    <row r="1086" spans="1:9">
      <c r="A1086" s="433"/>
      <c r="B1086" s="433"/>
      <c r="C1086" s="433"/>
      <c r="D1086" s="1330"/>
      <c r="E1086" s="1330"/>
      <c r="F1086" s="1330"/>
      <c r="I1086" s="524"/>
    </row>
    <row r="1087" spans="1:9">
      <c r="A1087" s="433"/>
      <c r="B1087" s="433"/>
      <c r="C1087" s="433"/>
      <c r="D1087" s="1331" t="s">
        <v>2501</v>
      </c>
      <c r="E1087" s="1268"/>
      <c r="F1087" s="1268"/>
      <c r="I1087" s="524"/>
    </row>
    <row r="1088" spans="1:9">
      <c r="A1088" s="433"/>
      <c r="B1088" s="433"/>
      <c r="C1088" s="433"/>
      <c r="D1088" s="561"/>
      <c r="I1088" s="524"/>
    </row>
    <row r="1089" spans="1:9">
      <c r="A1089" s="433"/>
      <c r="B1089" s="519" t="s">
        <v>2782</v>
      </c>
      <c r="C1089" s="433"/>
      <c r="D1089" s="1328" t="s">
        <v>2021</v>
      </c>
      <c r="E1089" s="1328"/>
      <c r="F1089" s="1328"/>
      <c r="I1089" s="524" t="s">
        <v>2120</v>
      </c>
    </row>
    <row r="1090" spans="1:9">
      <c r="A1090" s="433"/>
      <c r="B1090" s="433"/>
      <c r="C1090" s="433"/>
      <c r="D1090" s="1328"/>
      <c r="E1090" s="1328"/>
      <c r="F1090" s="1328"/>
      <c r="I1090" s="524"/>
    </row>
    <row r="1091" spans="1:9">
      <c r="A1091" s="433"/>
      <c r="B1091" s="433"/>
      <c r="C1091" s="433"/>
      <c r="D1091" s="561"/>
      <c r="I1091" s="524"/>
    </row>
    <row r="1092" spans="1:9">
      <c r="A1092" s="433"/>
      <c r="B1092" s="519" t="s">
        <v>2782</v>
      </c>
      <c r="C1092" s="433"/>
      <c r="D1092" s="1328" t="s">
        <v>2164</v>
      </c>
      <c r="E1092" s="1328"/>
      <c r="F1092" s="1328"/>
      <c r="I1092" s="524" t="s">
        <v>2162</v>
      </c>
    </row>
    <row r="1093" spans="1:9">
      <c r="A1093" s="433"/>
      <c r="B1093" s="433"/>
      <c r="C1093" s="433"/>
      <c r="D1093" s="1328"/>
      <c r="E1093" s="1328"/>
      <c r="F1093" s="1328"/>
      <c r="I1093" s="524"/>
    </row>
    <row r="1094" spans="1:9">
      <c r="A1094" s="433"/>
      <c r="B1094" s="433"/>
      <c r="C1094" s="433"/>
      <c r="D1094" s="1328"/>
      <c r="E1094" s="1328"/>
      <c r="F1094" s="1328"/>
      <c r="I1094" s="524"/>
    </row>
    <row r="1095" spans="1:9">
      <c r="A1095" s="433"/>
      <c r="B1095" s="433"/>
      <c r="C1095" s="433"/>
      <c r="D1095" s="1328"/>
      <c r="E1095" s="1328"/>
      <c r="F1095" s="1328"/>
      <c r="I1095" s="524"/>
    </row>
    <row r="1096" spans="1:9">
      <c r="A1096" s="433"/>
      <c r="B1096" s="433"/>
      <c r="C1096" s="433"/>
      <c r="D1096" s="1328"/>
      <c r="E1096" s="1328"/>
      <c r="F1096" s="1328"/>
      <c r="I1096" s="524"/>
    </row>
    <row r="1097" spans="1:9">
      <c r="A1097" s="433"/>
      <c r="B1097" s="433"/>
      <c r="C1097" s="433"/>
      <c r="D1097" s="1328"/>
      <c r="E1097" s="1328"/>
      <c r="F1097" s="1328"/>
      <c r="I1097" s="524"/>
    </row>
    <row r="1098" spans="1:9" ht="12.5">
      <c r="A1098" s="433"/>
      <c r="B1098" s="433"/>
      <c r="C1098" s="433"/>
      <c r="D1098" s="561" t="s">
        <v>2163</v>
      </c>
      <c r="I1098" s="514"/>
    </row>
    <row r="1099" spans="1:9">
      <c r="A1099" s="433"/>
      <c r="B1099" s="519" t="s">
        <v>2781</v>
      </c>
      <c r="C1099" s="433"/>
      <c r="D1099" s="1328" t="s">
        <v>2022</v>
      </c>
      <c r="E1099" s="1328"/>
      <c r="F1099" s="1328"/>
      <c r="I1099" s="524" t="s">
        <v>2121</v>
      </c>
    </row>
    <row r="1100" spans="1:9">
      <c r="A1100" s="433"/>
      <c r="B1100" s="433"/>
      <c r="C1100" s="433"/>
      <c r="D1100" s="1328"/>
      <c r="E1100" s="1328"/>
      <c r="F1100" s="1328"/>
      <c r="I1100" s="524"/>
    </row>
    <row r="1101" spans="1:9">
      <c r="A1101" s="433"/>
      <c r="B1101" s="433"/>
      <c r="C1101" s="433"/>
      <c r="D1101" s="1328"/>
      <c r="E1101" s="1328"/>
      <c r="F1101" s="1328"/>
      <c r="I1101" s="524"/>
    </row>
    <row r="1102" spans="1:9">
      <c r="A1102" s="433"/>
      <c r="B1102" s="433"/>
      <c r="C1102" s="433"/>
      <c r="D1102" s="561"/>
      <c r="I1102" s="524"/>
    </row>
    <row r="1103" spans="1:9">
      <c r="A1103" s="433"/>
      <c r="B1103" s="519" t="s">
        <v>2782</v>
      </c>
      <c r="C1103" s="433"/>
      <c r="D1103" s="1272" t="s">
        <v>2165</v>
      </c>
      <c r="E1103" s="1272"/>
      <c r="F1103" s="1272"/>
      <c r="I1103" s="524" t="s">
        <v>2122</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2782</v>
      </c>
      <c r="C1107" s="433"/>
      <c r="D1107" s="1268" t="s">
        <v>2167</v>
      </c>
      <c r="E1107" s="1268"/>
      <c r="F1107" s="1268"/>
      <c r="I1107" s="524" t="s">
        <v>2166</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37.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4"/>
      <c r="H1525" s="1294"/>
      <c r="I1525" s="129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48" zoomScaleNormal="100" workbookViewId="0">
      <selection activeCell="AA945" sqref="AA945:AF945"/>
    </sheetView>
  </sheetViews>
  <sheetFormatPr defaultColWidth="0" defaultRowHeight="0" customHeight="1" zeroHeight="1"/>
  <cols>
    <col min="1" max="36" width="2.453125" customWidth="1"/>
    <col min="37" max="37" width="2.7265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15" customHeight="1">
      <c r="J1" s="100"/>
      <c r="AS1" s="1066">
        <v>4</v>
      </c>
    </row>
    <row r="2" spans="1:51" ht="13.15" customHeight="1"/>
    <row r="3" spans="1:51" ht="13.15" customHeight="1"/>
    <row r="4" spans="1:51" ht="13.15" customHeight="1"/>
    <row r="5" spans="1:51" ht="13.15" customHeight="1"/>
    <row r="6" spans="1:51" ht="13.15" customHeight="1"/>
    <row r="7" spans="1:51" ht="13.15" customHeight="1"/>
    <row r="8" spans="1:51" ht="26.25" customHeight="1">
      <c r="A8" s="1422" t="s">
        <v>100</v>
      </c>
      <c r="B8" s="1422"/>
      <c r="C8" s="1422"/>
      <c r="D8" s="1422"/>
      <c r="E8" s="1422"/>
      <c r="F8" s="1422"/>
      <c r="G8" s="1422"/>
      <c r="H8" s="1422"/>
      <c r="I8" s="1422"/>
      <c r="J8" s="1422"/>
      <c r="K8" s="1422"/>
      <c r="L8" s="1422"/>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933"/>
      <c r="AV8" s="933"/>
      <c r="AW8" s="933"/>
      <c r="AX8" s="933"/>
      <c r="AY8" s="933"/>
    </row>
    <row r="9" spans="1:51" ht="13.1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1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1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15" customHeight="1">
      <c r="A12" s="1423" t="s">
        <v>2639</v>
      </c>
      <c r="B12" s="1423"/>
      <c r="C12" s="1423"/>
      <c r="D12" s="1423"/>
      <c r="E12" s="1423"/>
      <c r="F12" s="1423"/>
      <c r="G12" s="1423"/>
      <c r="H12" s="1423"/>
      <c r="I12" s="1423"/>
      <c r="J12" s="1423"/>
      <c r="K12" s="1423"/>
      <c r="L12" s="1423"/>
      <c r="M12" s="1423"/>
      <c r="N12" s="1423"/>
      <c r="O12" s="1423"/>
      <c r="P12" s="1423"/>
      <c r="Q12" s="1423"/>
      <c r="R12" s="1423"/>
      <c r="S12" s="1423"/>
      <c r="T12" s="1423"/>
      <c r="U12" s="1423"/>
      <c r="V12" s="1423"/>
      <c r="W12" s="1423"/>
      <c r="X12" s="1423"/>
      <c r="Y12" s="1423"/>
      <c r="Z12" s="1423"/>
      <c r="AA12" s="1423"/>
      <c r="AB12" s="1423"/>
      <c r="AC12" s="1423"/>
      <c r="AD12" s="1423"/>
      <c r="AE12" s="1423"/>
      <c r="AF12" s="1423"/>
      <c r="AG12" s="1423"/>
      <c r="AH12" s="1423"/>
      <c r="AI12" s="1423"/>
      <c r="AJ12" s="1423"/>
      <c r="AK12" s="1423"/>
      <c r="AL12" s="1423"/>
      <c r="AM12" s="1423"/>
      <c r="AN12" s="1423"/>
      <c r="AO12" s="1423"/>
      <c r="AP12" s="1423"/>
      <c r="AQ12" s="1423"/>
      <c r="AR12" s="1423"/>
      <c r="AS12" s="1423"/>
      <c r="AT12" s="1423"/>
      <c r="AU12" s="6"/>
      <c r="AV12" s="6"/>
      <c r="AW12" s="6"/>
      <c r="AX12" s="6"/>
      <c r="AY12" s="6"/>
    </row>
    <row r="13" spans="1:51" ht="13.15" customHeight="1">
      <c r="A13" s="1266" t="s">
        <v>2392</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934"/>
      <c r="AV13" s="934"/>
      <c r="AW13" s="934"/>
      <c r="AX13" s="934"/>
      <c r="AY13" s="934"/>
    </row>
    <row r="14" spans="1:51" ht="13.15"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934"/>
      <c r="AV14" s="934"/>
      <c r="AW14" s="934"/>
      <c r="AX14" s="934"/>
      <c r="AY14" s="934"/>
    </row>
    <row r="15" spans="1:51"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15" customHeight="1">
      <c r="A16" s="57" t="s">
        <v>2393</v>
      </c>
      <c r="C16" s="4"/>
      <c r="D16" s="4"/>
      <c r="E16" s="4"/>
      <c r="F16" s="4"/>
      <c r="G16" s="4"/>
      <c r="H16" s="1431" t="s">
        <v>2766</v>
      </c>
      <c r="I16" s="1432"/>
      <c r="J16" s="1432"/>
      <c r="K16" s="1432"/>
      <c r="L16" s="1432"/>
      <c r="M16" s="1432"/>
      <c r="N16" s="1432"/>
      <c r="O16" s="1432"/>
      <c r="P16" s="1432"/>
      <c r="Q16" s="1432"/>
      <c r="R16" s="1432"/>
      <c r="S16" s="1432"/>
      <c r="T16" s="1432"/>
      <c r="U16" s="1432"/>
      <c r="V16" s="1432"/>
      <c r="W16" s="1432"/>
      <c r="X16" s="1432"/>
      <c r="Y16" s="1432"/>
      <c r="Z16" s="1432"/>
      <c r="AA16" s="1432"/>
      <c r="AB16" s="1432"/>
      <c r="AC16" s="1432"/>
      <c r="AD16" s="1432"/>
      <c r="AE16" s="1432"/>
      <c r="AF16" s="1432"/>
      <c r="AG16" s="1432"/>
      <c r="AH16" s="1432"/>
      <c r="AI16" s="1432"/>
      <c r="AJ16" s="1432"/>
    </row>
    <row r="17" spans="1:52" ht="13.15" customHeight="1"/>
    <row r="18" spans="1:52" ht="13.15" customHeight="1">
      <c r="A18" s="57" t="s">
        <v>101</v>
      </c>
      <c r="C18" s="4"/>
      <c r="D18" s="4"/>
      <c r="E18" s="4"/>
      <c r="F18" s="4"/>
      <c r="G18" s="4"/>
      <c r="H18" s="1428" t="s">
        <v>2641</v>
      </c>
      <c r="I18" s="1429"/>
      <c r="J18" s="1429"/>
      <c r="K18" s="1429"/>
      <c r="L18" s="1429"/>
      <c r="M18" s="1429"/>
      <c r="N18" s="1429"/>
      <c r="O18" s="1429"/>
      <c r="P18" s="1429"/>
      <c r="Q18" s="1429"/>
      <c r="R18" s="1429"/>
      <c r="S18" s="1429"/>
      <c r="T18" s="1429"/>
      <c r="U18" s="1429"/>
      <c r="V18" s="1429"/>
      <c r="W18" s="1429"/>
      <c r="X18" s="1429"/>
      <c r="Y18" s="1429"/>
      <c r="Z18" s="1429"/>
      <c r="AA18" s="1429"/>
      <c r="AB18" s="1429"/>
      <c r="AC18" s="1429"/>
      <c r="AD18" s="1429"/>
      <c r="AE18" s="1429"/>
      <c r="AF18" s="1429"/>
      <c r="AG18" s="1429"/>
      <c r="AH18" s="1429"/>
      <c r="AI18" s="1429"/>
      <c r="AJ18" s="1429"/>
    </row>
    <row r="19" spans="1:52" ht="13.15" customHeight="1"/>
    <row r="20" spans="1:52" ht="13.15" customHeight="1">
      <c r="A20" s="1424" t="s">
        <v>884</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c r="AM20" s="1424"/>
      <c r="AN20" s="1424"/>
      <c r="AO20" s="1424"/>
      <c r="AP20" s="1424"/>
      <c r="AQ20" s="1424"/>
      <c r="AR20" s="1424"/>
      <c r="AS20" s="1424"/>
      <c r="AT20" s="1424"/>
      <c r="AU20" s="935"/>
      <c r="AV20" s="935"/>
      <c r="AW20" s="935"/>
      <c r="AX20" s="935"/>
      <c r="AY20" s="935"/>
    </row>
    <row r="21" spans="1:52" ht="13.15" customHeight="1">
      <c r="A21" s="1433" t="s">
        <v>1033</v>
      </c>
      <c r="B21" s="1433"/>
      <c r="C21" s="1433"/>
      <c r="D21" s="1433"/>
      <c r="E21" s="1433"/>
      <c r="F21" s="1433"/>
      <c r="G21" s="1433"/>
      <c r="H21" s="1433"/>
      <c r="I21" s="1433"/>
      <c r="J21" s="1433"/>
      <c r="K21" s="1433"/>
      <c r="L21" s="1433"/>
      <c r="M21" s="1433"/>
      <c r="N21" s="1433"/>
      <c r="O21" s="1433"/>
      <c r="P21" s="1433"/>
      <c r="Q21" s="1433"/>
      <c r="R21" s="1433"/>
      <c r="S21" s="1433"/>
      <c r="T21" s="1433"/>
      <c r="U21" s="1433"/>
      <c r="V21" s="1433"/>
      <c r="W21" s="1433"/>
      <c r="X21" s="1433"/>
      <c r="Y21" s="1433"/>
      <c r="Z21" s="1433"/>
      <c r="AA21" s="1433"/>
      <c r="AB21" s="1433"/>
      <c r="AC21" s="1433"/>
      <c r="AD21" s="1433"/>
      <c r="AE21" s="1433"/>
      <c r="AF21" s="1433"/>
      <c r="AG21" s="1433"/>
      <c r="AH21" s="1433"/>
      <c r="AI21" s="1433"/>
      <c r="AJ21" s="1433"/>
      <c r="AK21" s="1433"/>
      <c r="AL21" s="1433"/>
      <c r="AM21" s="936"/>
      <c r="AN21" s="936"/>
      <c r="AO21" s="936"/>
      <c r="AP21" s="936"/>
      <c r="AQ21" s="936"/>
      <c r="AR21" s="936"/>
      <c r="AS21" s="936"/>
      <c r="AT21" s="936"/>
      <c r="AU21" s="936"/>
      <c r="AV21" s="936"/>
      <c r="AW21" s="936"/>
      <c r="AX21" s="936"/>
      <c r="AY21" s="936"/>
    </row>
    <row r="22" spans="1:52"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15" customHeight="1">
      <c r="A23" s="1330" t="s">
        <v>2505</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row>
    <row r="24" spans="1:52" ht="13.1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row>
    <row r="25" spans="1:52"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15" customHeight="1">
      <c r="A26" s="4"/>
      <c r="C26" s="4"/>
      <c r="D26" s="4"/>
      <c r="E26" s="4"/>
      <c r="F26" s="4"/>
      <c r="G26" s="4"/>
      <c r="H26" s="4"/>
      <c r="I26" s="4"/>
      <c r="J26" s="4"/>
      <c r="K26" s="4"/>
      <c r="L26" s="4"/>
      <c r="M26" s="1430">
        <f>'Basis &amp; Credits'!AB56</f>
        <v>2883331</v>
      </c>
      <c r="N26" s="1430"/>
      <c r="O26" s="1430"/>
      <c r="P26" s="1430"/>
      <c r="Q26" s="1430"/>
      <c r="R26" s="4" t="s">
        <v>768</v>
      </c>
      <c r="S26" s="4"/>
      <c r="T26" s="4"/>
      <c r="U26" s="4"/>
      <c r="V26" s="4"/>
      <c r="W26" s="4"/>
      <c r="X26" s="4"/>
      <c r="Y26" s="4"/>
      <c r="Z26" s="4"/>
      <c r="AF26" s="4"/>
      <c r="AG26" s="4"/>
      <c r="AH26" s="4"/>
      <c r="AI26" s="4"/>
      <c r="AJ26" s="4"/>
      <c r="AK26" s="4"/>
    </row>
    <row r="27" spans="1:52" ht="13.15" customHeight="1">
      <c r="A27" s="4"/>
      <c r="C27" s="4"/>
      <c r="D27" s="4"/>
      <c r="E27" s="4"/>
      <c r="F27" s="4"/>
      <c r="G27" s="4"/>
      <c r="H27" s="4"/>
      <c r="I27" s="4"/>
      <c r="J27" s="4"/>
      <c r="K27" s="4"/>
      <c r="L27" s="4"/>
      <c r="M27" s="1365">
        <f>'Basis &amp; Credits'!AB78</f>
        <v>15549560</v>
      </c>
      <c r="N27" s="1365"/>
      <c r="O27" s="1365"/>
      <c r="P27" s="1365"/>
      <c r="Q27" s="1365"/>
      <c r="R27" s="3" t="s">
        <v>1375</v>
      </c>
      <c r="S27" s="4"/>
      <c r="T27" s="4"/>
      <c r="U27" s="4"/>
      <c r="V27" s="4"/>
      <c r="W27" s="4"/>
      <c r="X27" s="4"/>
      <c r="Y27" s="4"/>
      <c r="Z27" s="4"/>
      <c r="AF27" s="4"/>
      <c r="AG27" s="4"/>
      <c r="AH27" s="4"/>
      <c r="AI27" s="4"/>
      <c r="AJ27" s="4"/>
      <c r="AK27" s="4"/>
    </row>
    <row r="28" spans="1:52"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15" customHeight="1">
      <c r="A29" s="1425" t="s">
        <v>2506</v>
      </c>
      <c r="B29" s="1425"/>
      <c r="C29" s="1425"/>
      <c r="D29" s="1425"/>
      <c r="E29" s="1425"/>
      <c r="F29" s="1425"/>
      <c r="G29" s="1425"/>
      <c r="H29" s="1425"/>
      <c r="I29" s="1425"/>
      <c r="J29" s="1425"/>
      <c r="K29" s="1425"/>
      <c r="L29" s="1425"/>
      <c r="M29" s="1425"/>
      <c r="N29" s="1425"/>
      <c r="O29" s="1425"/>
      <c r="P29" s="1425"/>
      <c r="Q29" s="1425"/>
      <c r="R29" s="1425"/>
      <c r="S29" s="1425"/>
      <c r="T29" s="1425"/>
      <c r="U29" s="1425"/>
      <c r="V29" s="1425"/>
      <c r="W29" s="1425"/>
      <c r="X29" s="1425"/>
      <c r="Y29" s="1425"/>
      <c r="Z29" s="1425"/>
      <c r="AA29" s="1425"/>
      <c r="AB29" s="1425"/>
      <c r="AC29" s="1425"/>
      <c r="AD29" s="1425"/>
      <c r="AE29" s="1425"/>
      <c r="AF29" s="1425"/>
      <c r="AG29" s="1425"/>
      <c r="AH29" s="1425"/>
      <c r="AI29" s="1425"/>
      <c r="AJ29" s="1425"/>
      <c r="AK29" s="1425"/>
      <c r="AL29" s="1425"/>
      <c r="AM29" s="1425"/>
      <c r="AN29" s="1425"/>
      <c r="AO29" s="1425"/>
      <c r="AP29" s="1425"/>
      <c r="AQ29" s="1425"/>
      <c r="AR29" s="1425"/>
      <c r="AS29" s="1425"/>
      <c r="AT29" s="1425"/>
    </row>
    <row r="30" spans="1:52" ht="13.15" customHeight="1">
      <c r="A30" s="1425"/>
      <c r="B30" s="1425"/>
      <c r="C30" s="1425"/>
      <c r="D30" s="1425"/>
      <c r="E30" s="1425"/>
      <c r="F30" s="1425"/>
      <c r="G30" s="1425"/>
      <c r="H30" s="1425"/>
      <c r="I30" s="1425"/>
      <c r="J30" s="1425"/>
      <c r="K30" s="1425"/>
      <c r="L30" s="1425"/>
      <c r="M30" s="1425"/>
      <c r="N30" s="1425"/>
      <c r="O30" s="1425"/>
      <c r="P30" s="1425"/>
      <c r="Q30" s="1425"/>
      <c r="R30" s="1425"/>
      <c r="S30" s="1425"/>
      <c r="T30" s="1425"/>
      <c r="U30" s="1425"/>
      <c r="V30" s="1425"/>
      <c r="W30" s="1425"/>
      <c r="X30" s="1425"/>
      <c r="Y30" s="1425"/>
      <c r="Z30" s="1425"/>
      <c r="AA30" s="1425"/>
      <c r="AB30" s="1425"/>
      <c r="AC30" s="1425"/>
      <c r="AD30" s="1425"/>
      <c r="AE30" s="1425"/>
      <c r="AF30" s="1425"/>
      <c r="AG30" s="1425"/>
      <c r="AH30" s="1425"/>
      <c r="AI30" s="1425"/>
      <c r="AJ30" s="1425"/>
      <c r="AK30" s="1425"/>
      <c r="AL30" s="1425"/>
      <c r="AM30" s="1425"/>
      <c r="AN30" s="1425"/>
      <c r="AO30" s="1425"/>
      <c r="AP30" s="1425"/>
      <c r="AQ30" s="1425"/>
      <c r="AR30" s="1425"/>
      <c r="AS30" s="1425"/>
      <c r="AT30" s="1425"/>
      <c r="AZ30" s="20"/>
    </row>
    <row r="31" spans="1:52" ht="13.15" customHeight="1">
      <c r="A31" s="1425"/>
      <c r="B31" s="1425"/>
      <c r="C31" s="1425"/>
      <c r="D31" s="1425"/>
      <c r="E31" s="1425"/>
      <c r="F31" s="1425"/>
      <c r="G31" s="1425"/>
      <c r="H31" s="1425"/>
      <c r="I31" s="1425"/>
      <c r="J31" s="1425"/>
      <c r="K31" s="1425"/>
      <c r="L31" s="1425"/>
      <c r="M31" s="1425"/>
      <c r="N31" s="1425"/>
      <c r="O31" s="1425"/>
      <c r="P31" s="1425"/>
      <c r="Q31" s="1425"/>
      <c r="R31" s="1425"/>
      <c r="S31" s="1425"/>
      <c r="T31" s="1425"/>
      <c r="U31" s="1425"/>
      <c r="V31" s="1425"/>
      <c r="W31" s="1425"/>
      <c r="X31" s="1425"/>
      <c r="Y31" s="1425"/>
      <c r="Z31" s="1425"/>
      <c r="AA31" s="1425"/>
      <c r="AB31" s="1425"/>
      <c r="AC31" s="1425"/>
      <c r="AD31" s="1425"/>
      <c r="AE31" s="1425"/>
      <c r="AF31" s="1425"/>
      <c r="AG31" s="1425"/>
      <c r="AH31" s="1425"/>
      <c r="AI31" s="1425"/>
      <c r="AJ31" s="1425"/>
      <c r="AK31" s="1425"/>
      <c r="AL31" s="1425"/>
      <c r="AM31" s="1425"/>
      <c r="AN31" s="1425"/>
      <c r="AO31" s="1425"/>
      <c r="AP31" s="1425"/>
      <c r="AQ31" s="1425"/>
      <c r="AR31" s="1425"/>
      <c r="AS31" s="1425"/>
      <c r="AT31" s="1425"/>
      <c r="AU31" s="20"/>
      <c r="AV31" s="20"/>
      <c r="AW31" s="20"/>
      <c r="AX31" s="20"/>
      <c r="AY31" s="20"/>
      <c r="AZ31" s="20"/>
    </row>
    <row r="32" spans="1:52"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15" customHeight="1">
      <c r="A33" s="553" t="s">
        <v>1386</v>
      </c>
      <c r="C33" s="553"/>
      <c r="D33" s="553"/>
      <c r="E33" s="553"/>
      <c r="F33" s="553"/>
      <c r="G33" s="553"/>
      <c r="H33" s="553"/>
      <c r="I33" s="553"/>
      <c r="J33" s="553"/>
      <c r="K33" s="553"/>
      <c r="L33" s="553"/>
      <c r="M33" s="553"/>
      <c r="N33" s="553"/>
      <c r="O33" s="1367" t="s">
        <v>553</v>
      </c>
      <c r="P33" s="1367"/>
      <c r="Q33" s="1426" t="s">
        <v>2507</v>
      </c>
      <c r="R33" s="1426"/>
      <c r="S33" s="1426"/>
      <c r="T33" s="1426"/>
      <c r="U33" s="1426"/>
      <c r="V33" s="1426"/>
      <c r="W33" s="1426"/>
      <c r="X33" s="1426"/>
      <c r="Y33" s="1426"/>
      <c r="Z33" s="1426"/>
      <c r="AA33" s="1426"/>
      <c r="AB33" s="1426"/>
      <c r="AC33" s="1426"/>
      <c r="AD33" s="1426"/>
      <c r="AE33" s="1426"/>
      <c r="AF33" s="1426"/>
      <c r="AG33" s="1426"/>
      <c r="AH33" s="1426"/>
      <c r="AI33" s="1426"/>
      <c r="AJ33" s="1426"/>
      <c r="AK33" s="1426"/>
      <c r="AL33" s="1426"/>
      <c r="AM33" s="1426"/>
      <c r="AN33" s="1426"/>
      <c r="AO33" s="1426"/>
      <c r="AP33" s="1426"/>
      <c r="AQ33" s="1426"/>
      <c r="AR33" s="1426"/>
      <c r="AS33" s="1426"/>
      <c r="AT33" s="1426"/>
      <c r="AU33" s="20"/>
      <c r="AV33" s="20"/>
      <c r="AW33" s="20"/>
      <c r="AX33" s="20"/>
      <c r="AY33" s="20"/>
    </row>
    <row r="34" spans="1:52" ht="13.15" customHeight="1">
      <c r="A34" s="1425" t="s">
        <v>2508</v>
      </c>
      <c r="B34" s="1425"/>
      <c r="C34" s="1425"/>
      <c r="D34" s="1425"/>
      <c r="E34" s="1425"/>
      <c r="F34" s="1425"/>
      <c r="G34" s="1425"/>
      <c r="H34" s="1425"/>
      <c r="I34" s="1425"/>
      <c r="J34" s="1425"/>
      <c r="K34" s="1425"/>
      <c r="L34" s="1425"/>
      <c r="M34" s="1425"/>
      <c r="N34" s="1425"/>
      <c r="O34" s="1425"/>
      <c r="P34" s="1425"/>
      <c r="Q34" s="1425"/>
      <c r="R34" s="1425"/>
      <c r="S34" s="1425"/>
      <c r="T34" s="1425"/>
      <c r="U34" s="1425"/>
      <c r="V34" s="1425"/>
      <c r="W34" s="1425"/>
      <c r="X34" s="1425"/>
      <c r="Y34" s="1425"/>
      <c r="Z34" s="1425"/>
      <c r="AA34" s="1425"/>
      <c r="AB34" s="1425"/>
      <c r="AC34" s="1425"/>
      <c r="AD34" s="1425"/>
      <c r="AE34" s="1425"/>
      <c r="AF34" s="1425"/>
      <c r="AG34" s="1425"/>
      <c r="AH34" s="1425"/>
      <c r="AI34" s="1425"/>
      <c r="AJ34" s="1425"/>
      <c r="AK34" s="1425"/>
      <c r="AL34" s="1425"/>
      <c r="AM34" s="1425"/>
      <c r="AN34" s="1425"/>
      <c r="AO34" s="1425"/>
      <c r="AP34" s="1425"/>
      <c r="AQ34" s="1425"/>
      <c r="AR34" s="1425"/>
      <c r="AS34" s="1425"/>
      <c r="AT34" s="1425"/>
      <c r="AU34" s="20"/>
      <c r="AV34" s="20"/>
      <c r="AW34" s="20"/>
      <c r="AX34" s="20"/>
      <c r="AY34" s="20"/>
      <c r="AZ34" s="20"/>
    </row>
    <row r="35" spans="1:52" ht="13.15" customHeight="1">
      <c r="A35" s="1425"/>
      <c r="B35" s="1425"/>
      <c r="C35" s="1425"/>
      <c r="D35" s="1425"/>
      <c r="E35" s="1425"/>
      <c r="F35" s="1425"/>
      <c r="G35" s="1425"/>
      <c r="H35" s="1425"/>
      <c r="I35" s="1425"/>
      <c r="J35" s="1425"/>
      <c r="K35" s="1425"/>
      <c r="L35" s="1425"/>
      <c r="M35" s="1425"/>
      <c r="N35" s="1425"/>
      <c r="O35" s="1425"/>
      <c r="P35" s="1425"/>
      <c r="Q35" s="1425"/>
      <c r="R35" s="1425"/>
      <c r="S35" s="1425"/>
      <c r="T35" s="1425"/>
      <c r="U35" s="1425"/>
      <c r="V35" s="1425"/>
      <c r="W35" s="1425"/>
      <c r="X35" s="1425"/>
      <c r="Y35" s="1425"/>
      <c r="Z35" s="1425"/>
      <c r="AA35" s="1425"/>
      <c r="AB35" s="1425"/>
      <c r="AC35" s="1425"/>
      <c r="AD35" s="1425"/>
      <c r="AE35" s="1425"/>
      <c r="AF35" s="1425"/>
      <c r="AG35" s="1425"/>
      <c r="AH35" s="1425"/>
      <c r="AI35" s="1425"/>
      <c r="AJ35" s="1425"/>
      <c r="AK35" s="1425"/>
      <c r="AL35" s="1425"/>
      <c r="AM35" s="1425"/>
      <c r="AN35" s="1425"/>
      <c r="AO35" s="1425"/>
      <c r="AP35" s="1425"/>
      <c r="AQ35" s="1425"/>
      <c r="AR35" s="1425"/>
      <c r="AS35" s="1425"/>
      <c r="AT35" s="1425"/>
      <c r="AU35" s="20"/>
      <c r="AV35" s="20"/>
      <c r="AW35" s="20"/>
      <c r="AX35" s="20"/>
      <c r="AY35" s="20"/>
      <c r="AZ35" s="20"/>
    </row>
    <row r="36" spans="1:52" ht="13.15" customHeight="1">
      <c r="A36" s="1425"/>
      <c r="B36" s="1425"/>
      <c r="C36" s="1425"/>
      <c r="D36" s="1425"/>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425"/>
      <c r="AH36" s="1425"/>
      <c r="AI36" s="1425"/>
      <c r="AJ36" s="1425"/>
      <c r="AK36" s="1425"/>
      <c r="AL36" s="1425"/>
      <c r="AM36" s="1425"/>
      <c r="AN36" s="1425"/>
      <c r="AO36" s="1425"/>
      <c r="AP36" s="1425"/>
      <c r="AQ36" s="1425"/>
      <c r="AR36" s="1425"/>
      <c r="AS36" s="1425"/>
      <c r="AT36" s="1425"/>
      <c r="AU36" s="20"/>
      <c r="AV36" s="20"/>
      <c r="AW36" s="20"/>
      <c r="AX36" s="20"/>
      <c r="AY36" s="20"/>
      <c r="AZ36" s="20"/>
    </row>
    <row r="37" spans="1:52" ht="13.15" customHeight="1">
      <c r="A37" s="1425"/>
      <c r="B37" s="1425"/>
      <c r="C37" s="1425"/>
      <c r="D37" s="1425"/>
      <c r="E37" s="1425"/>
      <c r="F37" s="1425"/>
      <c r="G37" s="1425"/>
      <c r="H37" s="1425"/>
      <c r="I37" s="1425"/>
      <c r="J37" s="1425"/>
      <c r="K37" s="1425"/>
      <c r="L37" s="1425"/>
      <c r="M37" s="1425"/>
      <c r="N37" s="1425"/>
      <c r="O37" s="1425"/>
      <c r="P37" s="1425"/>
      <c r="Q37" s="1425"/>
      <c r="R37" s="1425"/>
      <c r="S37" s="1425"/>
      <c r="T37" s="1425"/>
      <c r="U37" s="1425"/>
      <c r="V37" s="1425"/>
      <c r="W37" s="1425"/>
      <c r="X37" s="1425"/>
      <c r="Y37" s="1425"/>
      <c r="Z37" s="1425"/>
      <c r="AA37" s="1425"/>
      <c r="AB37" s="1425"/>
      <c r="AC37" s="1425"/>
      <c r="AD37" s="1425"/>
      <c r="AE37" s="1425"/>
      <c r="AF37" s="1425"/>
      <c r="AG37" s="1425"/>
      <c r="AH37" s="1425"/>
      <c r="AI37" s="1425"/>
      <c r="AJ37" s="1425"/>
      <c r="AK37" s="1425"/>
      <c r="AL37" s="1425"/>
      <c r="AM37" s="1425"/>
      <c r="AN37" s="1425"/>
      <c r="AO37" s="1425"/>
      <c r="AP37" s="1425"/>
      <c r="AQ37" s="1425"/>
      <c r="AR37" s="1425"/>
      <c r="AS37" s="1425"/>
      <c r="AT37" s="1425"/>
      <c r="AZ37" s="20"/>
    </row>
    <row r="38" spans="1:52" ht="13.15" customHeight="1">
      <c r="A38" s="3"/>
      <c r="AZ38" s="20"/>
    </row>
    <row r="39" spans="1:52" ht="13.15" customHeight="1">
      <c r="A39" s="1268" t="s">
        <v>2509</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1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1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1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1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1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1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15" customHeight="1">
      <c r="A46" s="1330" t="s">
        <v>2510</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row>
    <row r="47" spans="1:52" ht="13.1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row>
    <row r="48" spans="1:52" ht="13.1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row>
    <row r="49" spans="1:52" ht="13.1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row>
    <row r="50" spans="1:52" ht="13.1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15" customHeight="1">
      <c r="A51" s="1268" t="s">
        <v>2511</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1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15" customHeight="1">
      <c r="A54" s="1268" t="s">
        <v>2512</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1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1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1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1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1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15" customHeight="1">
      <c r="A60" s="1268" t="s">
        <v>2513</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1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1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1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15" customHeight="1">
      <c r="A65" s="1427" t="s">
        <v>2515</v>
      </c>
      <c r="B65" s="1427"/>
      <c r="C65" s="1427"/>
      <c r="D65" s="1427"/>
      <c r="E65" s="1427"/>
      <c r="F65" s="1427"/>
      <c r="G65" s="1427"/>
      <c r="H65" s="1427"/>
      <c r="I65" s="1427"/>
      <c r="J65" s="1427"/>
      <c r="K65" s="1427"/>
      <c r="L65" s="1427"/>
      <c r="M65" s="1427"/>
      <c r="N65" s="1427"/>
      <c r="O65" s="1427"/>
      <c r="P65" s="1427"/>
      <c r="Q65" s="1427"/>
      <c r="R65" s="1427"/>
      <c r="S65" s="1427"/>
      <c r="T65" s="1427"/>
      <c r="U65" s="1427"/>
      <c r="V65" s="1427"/>
      <c r="W65" s="1427"/>
      <c r="X65" s="1427"/>
      <c r="Y65" s="1427"/>
      <c r="Z65" s="1427"/>
      <c r="AA65" s="1427"/>
      <c r="AB65" s="1427"/>
      <c r="AC65" s="1427"/>
      <c r="AD65" s="1427"/>
      <c r="AE65" s="1427"/>
      <c r="AF65" s="1427"/>
      <c r="AG65" s="1427"/>
      <c r="AH65" s="1427"/>
      <c r="AI65" s="1427"/>
      <c r="AJ65" s="1427"/>
      <c r="AK65" s="1427"/>
      <c r="AL65" s="1427"/>
      <c r="AM65" s="1427"/>
      <c r="AN65" s="1427"/>
      <c r="AO65" s="1427"/>
      <c r="AP65" s="1427"/>
      <c r="AQ65" s="1427"/>
      <c r="AR65" s="1427"/>
      <c r="AS65" s="1427"/>
      <c r="AT65" s="1427"/>
      <c r="AU65" s="21"/>
      <c r="AV65" s="21"/>
      <c r="AW65" s="21"/>
      <c r="AX65" s="21"/>
      <c r="AY65" s="21"/>
      <c r="AZ65" s="20"/>
    </row>
    <row r="66" spans="1:52" ht="13.15" customHeight="1">
      <c r="A66" s="1427"/>
      <c r="B66" s="1427"/>
      <c r="C66" s="1427"/>
      <c r="D66" s="1427"/>
      <c r="E66" s="1427"/>
      <c r="F66" s="1427"/>
      <c r="G66" s="1427"/>
      <c r="H66" s="1427"/>
      <c r="I66" s="1427"/>
      <c r="J66" s="1427"/>
      <c r="K66" s="1427"/>
      <c r="L66" s="1427"/>
      <c r="M66" s="1427"/>
      <c r="N66" s="1427"/>
      <c r="O66" s="1427"/>
      <c r="P66" s="1427"/>
      <c r="Q66" s="1427"/>
      <c r="R66" s="1427"/>
      <c r="S66" s="1427"/>
      <c r="T66" s="1427"/>
      <c r="U66" s="1427"/>
      <c r="V66" s="1427"/>
      <c r="W66" s="1427"/>
      <c r="X66" s="1427"/>
      <c r="Y66" s="1427"/>
      <c r="Z66" s="1427"/>
      <c r="AA66" s="1427"/>
      <c r="AB66" s="1427"/>
      <c r="AC66" s="1427"/>
      <c r="AD66" s="1427"/>
      <c r="AE66" s="1427"/>
      <c r="AF66" s="1427"/>
      <c r="AG66" s="1427"/>
      <c r="AH66" s="1427"/>
      <c r="AI66" s="1427"/>
      <c r="AJ66" s="1427"/>
      <c r="AK66" s="1427"/>
      <c r="AL66" s="1427"/>
      <c r="AM66" s="1427"/>
      <c r="AN66" s="1427"/>
      <c r="AO66" s="1427"/>
      <c r="AP66" s="1427"/>
      <c r="AQ66" s="1427"/>
      <c r="AR66" s="1427"/>
      <c r="AS66" s="1427"/>
      <c r="AT66" s="1427"/>
      <c r="AU66" s="21"/>
      <c r="AV66" s="21"/>
      <c r="AW66" s="21"/>
      <c r="AX66" s="21"/>
      <c r="AY66" s="21"/>
      <c r="AZ66" s="20"/>
    </row>
    <row r="67" spans="1:52" ht="13.15" customHeight="1">
      <c r="A67" s="1427"/>
      <c r="B67" s="1427"/>
      <c r="C67" s="1427"/>
      <c r="D67" s="1427"/>
      <c r="E67" s="1427"/>
      <c r="F67" s="1427"/>
      <c r="G67" s="1427"/>
      <c r="H67" s="1427"/>
      <c r="I67" s="1427"/>
      <c r="J67" s="1427"/>
      <c r="K67" s="1427"/>
      <c r="L67" s="1427"/>
      <c r="M67" s="1427"/>
      <c r="N67" s="1427"/>
      <c r="O67" s="1427"/>
      <c r="P67" s="1427"/>
      <c r="Q67" s="1427"/>
      <c r="R67" s="1427"/>
      <c r="S67" s="1427"/>
      <c r="T67" s="1427"/>
      <c r="U67" s="1427"/>
      <c r="V67" s="1427"/>
      <c r="W67" s="1427"/>
      <c r="X67" s="1427"/>
      <c r="Y67" s="1427"/>
      <c r="Z67" s="1427"/>
      <c r="AA67" s="1427"/>
      <c r="AB67" s="1427"/>
      <c r="AC67" s="1427"/>
      <c r="AD67" s="1427"/>
      <c r="AE67" s="1427"/>
      <c r="AF67" s="1427"/>
      <c r="AG67" s="1427"/>
      <c r="AH67" s="1427"/>
      <c r="AI67" s="1427"/>
      <c r="AJ67" s="1427"/>
      <c r="AK67" s="1427"/>
      <c r="AL67" s="1427"/>
      <c r="AM67" s="1427"/>
      <c r="AN67" s="1427"/>
      <c r="AO67" s="1427"/>
      <c r="AP67" s="1427"/>
      <c r="AQ67" s="1427"/>
      <c r="AR67" s="1427"/>
      <c r="AS67" s="1427"/>
      <c r="AT67" s="1427"/>
      <c r="AZ67" s="20"/>
    </row>
    <row r="68" spans="1:52"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15" customHeight="1">
      <c r="A69" s="1427" t="s">
        <v>2516</v>
      </c>
      <c r="B69" s="1427"/>
      <c r="C69" s="1427"/>
      <c r="D69" s="1427"/>
      <c r="E69" s="1427"/>
      <c r="F69" s="1427"/>
      <c r="G69" s="1427"/>
      <c r="H69" s="1427"/>
      <c r="I69" s="1427"/>
      <c r="J69" s="1427"/>
      <c r="K69" s="1427"/>
      <c r="L69" s="1427"/>
      <c r="M69" s="1427"/>
      <c r="N69" s="1427"/>
      <c r="O69" s="1427"/>
      <c r="P69" s="1427"/>
      <c r="Q69" s="1427"/>
      <c r="R69" s="1427"/>
      <c r="S69" s="1427"/>
      <c r="T69" s="1427"/>
      <c r="U69" s="1427"/>
      <c r="V69" s="1427"/>
      <c r="W69" s="1427"/>
      <c r="X69" s="1427"/>
      <c r="Y69" s="1427"/>
      <c r="Z69" s="1427"/>
      <c r="AA69" s="1427"/>
      <c r="AB69" s="1427"/>
      <c r="AC69" s="1427"/>
      <c r="AD69" s="1427"/>
      <c r="AE69" s="1427"/>
      <c r="AF69" s="1427"/>
      <c r="AG69" s="1427"/>
      <c r="AH69" s="1427"/>
      <c r="AI69" s="1427"/>
      <c r="AJ69" s="1427"/>
      <c r="AK69" s="1427"/>
      <c r="AL69" s="1427"/>
      <c r="AM69" s="1427"/>
      <c r="AN69" s="1427"/>
      <c r="AO69" s="1427"/>
      <c r="AP69" s="1427"/>
      <c r="AQ69" s="1427"/>
      <c r="AR69" s="1427"/>
      <c r="AS69" s="1427"/>
      <c r="AT69" s="1427"/>
      <c r="AZ69" s="20"/>
    </row>
    <row r="70" spans="1:52" ht="13.15" customHeight="1">
      <c r="A70" s="1427"/>
      <c r="B70" s="1427"/>
      <c r="C70" s="1427"/>
      <c r="D70" s="1427"/>
      <c r="E70" s="1427"/>
      <c r="F70" s="1427"/>
      <c r="G70" s="1427"/>
      <c r="H70" s="1427"/>
      <c r="I70" s="1427"/>
      <c r="J70" s="1427"/>
      <c r="K70" s="1427"/>
      <c r="L70" s="1427"/>
      <c r="M70" s="1427"/>
      <c r="N70" s="1427"/>
      <c r="O70" s="1427"/>
      <c r="P70" s="1427"/>
      <c r="Q70" s="1427"/>
      <c r="R70" s="1427"/>
      <c r="S70" s="1427"/>
      <c r="T70" s="1427"/>
      <c r="U70" s="1427"/>
      <c r="V70" s="1427"/>
      <c r="W70" s="1427"/>
      <c r="X70" s="1427"/>
      <c r="Y70" s="1427"/>
      <c r="Z70" s="1427"/>
      <c r="AA70" s="1427"/>
      <c r="AB70" s="1427"/>
      <c r="AC70" s="1427"/>
      <c r="AD70" s="1427"/>
      <c r="AE70" s="1427"/>
      <c r="AF70" s="1427"/>
      <c r="AG70" s="1427"/>
      <c r="AH70" s="1427"/>
      <c r="AI70" s="1427"/>
      <c r="AJ70" s="1427"/>
      <c r="AK70" s="1427"/>
      <c r="AL70" s="1427"/>
      <c r="AM70" s="1427"/>
      <c r="AN70" s="1427"/>
      <c r="AO70" s="1427"/>
      <c r="AP70" s="1427"/>
      <c r="AQ70" s="1427"/>
      <c r="AR70" s="1427"/>
      <c r="AS70" s="1427"/>
      <c r="AT70" s="1427"/>
      <c r="AU70" s="20"/>
      <c r="AV70" s="20"/>
      <c r="AW70" s="20"/>
      <c r="AX70" s="20"/>
      <c r="AY70" s="20"/>
      <c r="AZ70" s="20"/>
    </row>
    <row r="71" spans="1:52" ht="13.1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15" customHeight="1">
      <c r="A72" s="1425" t="s">
        <v>2517</v>
      </c>
      <c r="B72" s="1425"/>
      <c r="C72" s="1425"/>
      <c r="D72" s="1425"/>
      <c r="E72" s="1425"/>
      <c r="F72" s="1425"/>
      <c r="G72" s="1425"/>
      <c r="H72" s="1425"/>
      <c r="I72" s="1425"/>
      <c r="J72" s="1425"/>
      <c r="K72" s="1425"/>
      <c r="L72" s="1425"/>
      <c r="M72" s="1425"/>
      <c r="N72" s="1425"/>
      <c r="O72" s="1425"/>
      <c r="P72" s="1425"/>
      <c r="Q72" s="1425"/>
      <c r="R72" s="1425"/>
      <c r="S72" s="1425"/>
      <c r="T72" s="1425"/>
      <c r="U72" s="1425"/>
      <c r="V72" s="1425"/>
      <c r="W72" s="1425"/>
      <c r="X72" s="1425"/>
      <c r="Y72" s="1425"/>
      <c r="Z72" s="1425"/>
      <c r="AA72" s="1425"/>
      <c r="AB72" s="1425"/>
      <c r="AC72" s="1425"/>
      <c r="AD72" s="1425"/>
      <c r="AE72" s="1425"/>
      <c r="AF72" s="1425"/>
      <c r="AG72" s="1425"/>
      <c r="AH72" s="1425"/>
      <c r="AI72" s="1425"/>
      <c r="AJ72" s="1425"/>
      <c r="AK72" s="1425"/>
      <c r="AL72" s="1425"/>
      <c r="AM72" s="1425"/>
      <c r="AN72" s="1425"/>
      <c r="AO72" s="1425"/>
      <c r="AP72" s="1425"/>
      <c r="AQ72" s="1425"/>
      <c r="AR72" s="1425"/>
      <c r="AS72" s="1425"/>
      <c r="AT72" s="1425"/>
      <c r="AU72" s="20"/>
      <c r="AV72" s="20"/>
      <c r="AW72" s="20"/>
      <c r="AX72" s="20"/>
      <c r="AY72" s="20"/>
      <c r="AZ72" s="20"/>
    </row>
    <row r="73" spans="1:52" ht="13.15" customHeight="1">
      <c r="A73" s="1425"/>
      <c r="B73" s="1425"/>
      <c r="C73" s="1425"/>
      <c r="D73" s="1425"/>
      <c r="E73" s="1425"/>
      <c r="F73" s="1425"/>
      <c r="G73" s="1425"/>
      <c r="H73" s="1425"/>
      <c r="I73" s="1425"/>
      <c r="J73" s="1425"/>
      <c r="K73" s="1425"/>
      <c r="L73" s="1425"/>
      <c r="M73" s="1425"/>
      <c r="N73" s="1425"/>
      <c r="O73" s="1425"/>
      <c r="P73" s="1425"/>
      <c r="Q73" s="1425"/>
      <c r="R73" s="1425"/>
      <c r="S73" s="1425"/>
      <c r="T73" s="1425"/>
      <c r="U73" s="1425"/>
      <c r="V73" s="1425"/>
      <c r="W73" s="1425"/>
      <c r="X73" s="1425"/>
      <c r="Y73" s="1425"/>
      <c r="Z73" s="1425"/>
      <c r="AA73" s="1425"/>
      <c r="AB73" s="1425"/>
      <c r="AC73" s="1425"/>
      <c r="AD73" s="1425"/>
      <c r="AE73" s="1425"/>
      <c r="AF73" s="1425"/>
      <c r="AG73" s="1425"/>
      <c r="AH73" s="1425"/>
      <c r="AI73" s="1425"/>
      <c r="AJ73" s="1425"/>
      <c r="AK73" s="1425"/>
      <c r="AL73" s="1425"/>
      <c r="AM73" s="1425"/>
      <c r="AN73" s="1425"/>
      <c r="AO73" s="1425"/>
      <c r="AP73" s="1425"/>
      <c r="AQ73" s="1425"/>
      <c r="AR73" s="1425"/>
      <c r="AS73" s="1425"/>
      <c r="AT73" s="1425"/>
      <c r="AU73" s="20"/>
      <c r="AV73" s="20"/>
      <c r="AW73" s="20"/>
      <c r="AX73" s="20"/>
      <c r="AY73" s="20"/>
      <c r="AZ73" s="20"/>
    </row>
    <row r="74" spans="1:52"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15" customHeight="1">
      <c r="A75" s="1799" t="s">
        <v>2518</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3.1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3.1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15" customHeight="1">
      <c r="A79" s="1427" t="s">
        <v>2519</v>
      </c>
      <c r="B79" s="1427"/>
      <c r="C79" s="1427"/>
      <c r="D79" s="1427"/>
      <c r="E79" s="1427"/>
      <c r="F79" s="1427"/>
      <c r="G79" s="1427"/>
      <c r="H79" s="1427"/>
      <c r="I79" s="1427"/>
      <c r="J79" s="1427"/>
      <c r="K79" s="1427"/>
      <c r="L79" s="1427"/>
      <c r="M79" s="1427"/>
      <c r="N79" s="1427"/>
      <c r="O79" s="1427"/>
      <c r="P79" s="1427"/>
      <c r="Q79" s="1427"/>
      <c r="R79" s="1427"/>
      <c r="S79" s="1427"/>
      <c r="T79" s="1427"/>
      <c r="U79" s="1427"/>
      <c r="V79" s="1427"/>
      <c r="W79" s="1427"/>
      <c r="X79" s="1427"/>
      <c r="Y79" s="1427"/>
      <c r="Z79" s="1427"/>
      <c r="AA79" s="1427"/>
      <c r="AB79" s="1427"/>
      <c r="AC79" s="1427"/>
      <c r="AD79" s="1427"/>
      <c r="AE79" s="1427"/>
      <c r="AF79" s="1427"/>
      <c r="AG79" s="1427"/>
      <c r="AH79" s="1427"/>
      <c r="AI79" s="1427"/>
      <c r="AJ79" s="1427"/>
      <c r="AK79" s="1427"/>
      <c r="AL79" s="1427"/>
      <c r="AM79" s="1427"/>
      <c r="AN79" s="1427"/>
      <c r="AO79" s="1427"/>
      <c r="AP79" s="1427"/>
      <c r="AQ79" s="1427"/>
      <c r="AR79" s="1427"/>
      <c r="AS79" s="1427"/>
      <c r="AT79" s="1427"/>
      <c r="AU79" s="20"/>
      <c r="AV79" s="20"/>
      <c r="AW79" s="20"/>
      <c r="AX79" s="20"/>
      <c r="AY79" s="20"/>
      <c r="AZ79" s="20"/>
    </row>
    <row r="80" spans="1:52" ht="13.15" customHeight="1">
      <c r="A80" s="1427"/>
      <c r="B80" s="1427"/>
      <c r="C80" s="1427"/>
      <c r="D80" s="1427"/>
      <c r="E80" s="1427"/>
      <c r="F80" s="1427"/>
      <c r="G80" s="1427"/>
      <c r="H80" s="1427"/>
      <c r="I80" s="1427"/>
      <c r="J80" s="1427"/>
      <c r="K80" s="1427"/>
      <c r="L80" s="1427"/>
      <c r="M80" s="1427"/>
      <c r="N80" s="1427"/>
      <c r="O80" s="1427"/>
      <c r="P80" s="1427"/>
      <c r="Q80" s="1427"/>
      <c r="R80" s="1427"/>
      <c r="S80" s="1427"/>
      <c r="T80" s="1427"/>
      <c r="U80" s="1427"/>
      <c r="V80" s="1427"/>
      <c r="W80" s="1427"/>
      <c r="X80" s="1427"/>
      <c r="Y80" s="1427"/>
      <c r="Z80" s="1427"/>
      <c r="AA80" s="1427"/>
      <c r="AB80" s="1427"/>
      <c r="AC80" s="1427"/>
      <c r="AD80" s="1427"/>
      <c r="AE80" s="1427"/>
      <c r="AF80" s="1427"/>
      <c r="AG80" s="1427"/>
      <c r="AH80" s="1427"/>
      <c r="AI80" s="1427"/>
      <c r="AJ80" s="1427"/>
      <c r="AK80" s="1427"/>
      <c r="AL80" s="1427"/>
      <c r="AM80" s="1427"/>
      <c r="AN80" s="1427"/>
      <c r="AO80" s="1427"/>
      <c r="AP80" s="1427"/>
      <c r="AQ80" s="1427"/>
      <c r="AR80" s="1427"/>
      <c r="AS80" s="1427"/>
      <c r="AT80" s="1427"/>
      <c r="AU80" s="20"/>
      <c r="AV80" s="20"/>
      <c r="AW80" s="20"/>
      <c r="AX80" s="20"/>
      <c r="AY80" s="20"/>
      <c r="AZ80" s="20"/>
    </row>
    <row r="81" spans="1:52" ht="13.15" customHeight="1">
      <c r="A81" s="1427"/>
      <c r="B81" s="1427"/>
      <c r="C81" s="1427"/>
      <c r="D81" s="1427"/>
      <c r="E81" s="1427"/>
      <c r="F81" s="1427"/>
      <c r="G81" s="1427"/>
      <c r="H81" s="1427"/>
      <c r="I81" s="1427"/>
      <c r="J81" s="1427"/>
      <c r="K81" s="1427"/>
      <c r="L81" s="1427"/>
      <c r="M81" s="1427"/>
      <c r="N81" s="1427"/>
      <c r="O81" s="1427"/>
      <c r="P81" s="1427"/>
      <c r="Q81" s="1427"/>
      <c r="R81" s="1427"/>
      <c r="S81" s="1427"/>
      <c r="T81" s="1427"/>
      <c r="U81" s="1427"/>
      <c r="V81" s="1427"/>
      <c r="W81" s="1427"/>
      <c r="X81" s="1427"/>
      <c r="Y81" s="1427"/>
      <c r="Z81" s="1427"/>
      <c r="AA81" s="1427"/>
      <c r="AB81" s="1427"/>
      <c r="AC81" s="1427"/>
      <c r="AD81" s="1427"/>
      <c r="AE81" s="1427"/>
      <c r="AF81" s="1427"/>
      <c r="AG81" s="1427"/>
      <c r="AH81" s="1427"/>
      <c r="AI81" s="1427"/>
      <c r="AJ81" s="1427"/>
      <c r="AK81" s="1427"/>
      <c r="AL81" s="1427"/>
      <c r="AM81" s="1427"/>
      <c r="AN81" s="1427"/>
      <c r="AO81" s="1427"/>
      <c r="AP81" s="1427"/>
      <c r="AQ81" s="1427"/>
      <c r="AR81" s="1427"/>
      <c r="AS81" s="1427"/>
      <c r="AT81" s="1427"/>
      <c r="AU81" s="20"/>
      <c r="AV81" s="20"/>
      <c r="AW81" s="20"/>
      <c r="AX81" s="20"/>
      <c r="AY81" s="20"/>
      <c r="AZ81" s="20"/>
    </row>
    <row r="82" spans="1:52" ht="13.1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15" customHeight="1">
      <c r="A83" s="1268" t="s">
        <v>2520</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1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15" customHeight="1">
      <c r="A86" s="1268" t="s">
        <v>2521</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1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15" customHeight="1">
      <c r="A89" s="1798" t="s">
        <v>2522</v>
      </c>
      <c r="B89" s="1798"/>
      <c r="C89" s="1798"/>
      <c r="D89" s="1798"/>
      <c r="E89" s="1798"/>
      <c r="F89" s="1798"/>
      <c r="G89" s="1798"/>
      <c r="H89" s="1798"/>
      <c r="I89" s="1798"/>
      <c r="J89" s="1798"/>
      <c r="K89" s="1798"/>
      <c r="L89" s="1798"/>
      <c r="M89" s="1798"/>
      <c r="N89" s="1798"/>
      <c r="O89" s="1798"/>
      <c r="P89" s="1798"/>
      <c r="Q89" s="1798"/>
      <c r="R89" s="1798"/>
      <c r="S89" s="1798"/>
      <c r="T89" s="1798"/>
      <c r="U89" s="1798"/>
      <c r="V89" s="1798"/>
      <c r="W89" s="1798"/>
      <c r="X89" s="1798"/>
      <c r="Y89" s="1798"/>
      <c r="Z89" s="1798"/>
      <c r="AA89" s="1798"/>
      <c r="AB89" s="1798"/>
      <c r="AC89" s="1798"/>
      <c r="AD89" s="1798"/>
      <c r="AE89" s="1798"/>
      <c r="AF89" s="1798"/>
      <c r="AG89" s="1798"/>
      <c r="AH89" s="1798"/>
      <c r="AI89" s="1798"/>
      <c r="AJ89" s="1798"/>
      <c r="AK89" s="1798"/>
      <c r="AL89" s="1798"/>
      <c r="AM89" s="1798"/>
      <c r="AN89" s="1798"/>
      <c r="AO89" s="1798"/>
      <c r="AP89" s="1798"/>
      <c r="AQ89" s="1798"/>
      <c r="AR89" s="1798"/>
      <c r="AS89" s="1798"/>
      <c r="AT89" s="1798"/>
      <c r="AU89" s="17"/>
      <c r="AV89" s="17"/>
      <c r="AW89" s="17"/>
      <c r="AX89" s="17"/>
      <c r="AY89" s="17"/>
      <c r="AZ89" s="20"/>
    </row>
    <row r="90" spans="1:52" ht="13.15" customHeight="1">
      <c r="A90" s="1798"/>
      <c r="B90" s="1798"/>
      <c r="C90" s="1798"/>
      <c r="D90" s="1798"/>
      <c r="E90" s="1798"/>
      <c r="F90" s="1798"/>
      <c r="G90" s="1798"/>
      <c r="H90" s="1798"/>
      <c r="I90" s="1798"/>
      <c r="J90" s="1798"/>
      <c r="K90" s="1798"/>
      <c r="L90" s="1798"/>
      <c r="M90" s="1798"/>
      <c r="N90" s="1798"/>
      <c r="O90" s="1798"/>
      <c r="P90" s="1798"/>
      <c r="Q90" s="1798"/>
      <c r="R90" s="1798"/>
      <c r="S90" s="1798"/>
      <c r="T90" s="1798"/>
      <c r="U90" s="1798"/>
      <c r="V90" s="1798"/>
      <c r="W90" s="1798"/>
      <c r="X90" s="1798"/>
      <c r="Y90" s="1798"/>
      <c r="Z90" s="1798"/>
      <c r="AA90" s="1798"/>
      <c r="AB90" s="1798"/>
      <c r="AC90" s="1798"/>
      <c r="AD90" s="1798"/>
      <c r="AE90" s="1798"/>
      <c r="AF90" s="1798"/>
      <c r="AG90" s="1798"/>
      <c r="AH90" s="1798"/>
      <c r="AI90" s="1798"/>
      <c r="AJ90" s="1798"/>
      <c r="AK90" s="1798"/>
      <c r="AL90" s="1798"/>
      <c r="AM90" s="1798"/>
      <c r="AN90" s="1798"/>
      <c r="AO90" s="1798"/>
      <c r="AP90" s="1798"/>
      <c r="AQ90" s="1798"/>
      <c r="AR90" s="1798"/>
      <c r="AS90" s="1798"/>
      <c r="AT90" s="1798"/>
      <c r="AU90" s="17"/>
      <c r="AV90" s="17"/>
      <c r="AW90" s="17"/>
      <c r="AX90" s="17"/>
      <c r="AY90" s="17"/>
      <c r="AZ90" s="20"/>
    </row>
    <row r="91" spans="1:52"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15" customHeight="1">
      <c r="A92" s="1799" t="s">
        <v>2523</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3.1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3.1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3.1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3.1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3.1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3.1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15" customHeight="1">
      <c r="A100" s="1299" t="s">
        <v>2524</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1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1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1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15" customHeight="1">
      <c r="A105" s="1299" t="s">
        <v>2525</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1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1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1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1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1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1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15" customHeight="1">
      <c r="A113" s="311"/>
      <c r="C113" s="3" t="s">
        <v>181</v>
      </c>
      <c r="G113" s="1802"/>
      <c r="H113" s="1802"/>
      <c r="I113" s="3" t="s">
        <v>182</v>
      </c>
      <c r="L113" s="1802"/>
      <c r="M113" s="1802"/>
      <c r="N113" s="1802"/>
      <c r="O113" s="1802"/>
      <c r="P113" s="1801" t="s">
        <v>2527</v>
      </c>
      <c r="Q113" s="1801"/>
      <c r="R113" s="1801"/>
      <c r="S113" s="180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15" customHeight="1">
      <c r="A115" s="91"/>
      <c r="C115" s="1807"/>
      <c r="D115" s="1807"/>
      <c r="E115" s="1807"/>
      <c r="F115" s="1807"/>
      <c r="G115" s="1807"/>
      <c r="H115" s="1807"/>
      <c r="I115" s="1807"/>
      <c r="J115" s="1807"/>
      <c r="K115" s="180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15" customHeight="1">
      <c r="A117" s="91"/>
      <c r="B117" s="22"/>
      <c r="C117" s="22"/>
      <c r="X117" s="3" t="s">
        <v>636</v>
      </c>
      <c r="Y117" s="1802"/>
      <c r="Z117" s="1802"/>
      <c r="AA117" s="1802"/>
      <c r="AB117" s="1802"/>
      <c r="AC117" s="1802"/>
      <c r="AD117" s="1802"/>
      <c r="AE117" s="1802"/>
      <c r="AF117" s="1802"/>
      <c r="AG117" s="1802"/>
      <c r="AH117" s="1802"/>
      <c r="AI117" s="1802"/>
      <c r="AJ117" s="1802"/>
      <c r="AK117" s="1802"/>
    </row>
    <row r="118" spans="1:51" ht="13.15" customHeight="1">
      <c r="X118" s="3"/>
      <c r="Y118" s="3"/>
      <c r="Z118" s="3" t="s">
        <v>637</v>
      </c>
      <c r="AA118" s="3"/>
      <c r="AB118" s="3"/>
      <c r="AC118" s="3"/>
      <c r="AD118" s="3"/>
      <c r="AE118" s="3"/>
      <c r="AF118" s="3"/>
      <c r="AG118" s="3"/>
      <c r="AH118" s="3"/>
      <c r="AI118" s="3"/>
      <c r="AJ118" s="3"/>
      <c r="AK118" s="3"/>
    </row>
    <row r="119" spans="1:51"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15" customHeight="1">
      <c r="A120" s="91"/>
      <c r="B120" s="3"/>
      <c r="P120" s="3"/>
      <c r="Q120" s="3"/>
      <c r="R120" s="3"/>
      <c r="S120" s="3"/>
      <c r="T120" s="3"/>
      <c r="U120" s="3"/>
      <c r="V120" s="3"/>
      <c r="W120" s="3"/>
      <c r="X120" s="3"/>
      <c r="Y120" s="1802" t="s">
        <v>2778</v>
      </c>
      <c r="Z120" s="1802"/>
      <c r="AA120" s="1802"/>
      <c r="AB120" s="1802"/>
      <c r="AC120" s="1802"/>
      <c r="AD120" s="1802"/>
      <c r="AE120" s="1802"/>
      <c r="AF120" s="1802"/>
      <c r="AG120" s="1802"/>
      <c r="AH120" s="1802"/>
      <c r="AI120" s="1802"/>
      <c r="AJ120" s="1802"/>
      <c r="AK120" s="1802"/>
      <c r="AL120" s="3"/>
      <c r="AM120" s="3"/>
      <c r="AN120" s="3"/>
      <c r="AO120" s="3"/>
      <c r="AP120" s="3"/>
      <c r="AQ120" s="3"/>
      <c r="AR120" s="3"/>
      <c r="AS120" s="3"/>
      <c r="AT120" s="3"/>
      <c r="AU120" s="3"/>
      <c r="AV120" s="3"/>
      <c r="AW120" s="3"/>
      <c r="AX120" s="3"/>
      <c r="AY120" s="3"/>
    </row>
    <row r="121" spans="1:51" ht="13.1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15" customHeight="1">
      <c r="A122" s="3"/>
      <c r="B122" s="3"/>
      <c r="T122" s="3"/>
      <c r="U122" s="3"/>
      <c r="V122" s="3"/>
      <c r="W122" s="3"/>
      <c r="AL122" s="3"/>
      <c r="AM122" s="3"/>
      <c r="AN122" s="3"/>
      <c r="AO122" s="3"/>
      <c r="AP122" s="3"/>
      <c r="AQ122" s="3"/>
      <c r="AR122" s="3"/>
      <c r="AS122" s="3"/>
      <c r="AT122" s="3"/>
      <c r="AU122" s="3"/>
      <c r="AV122" s="3"/>
      <c r="AW122" s="3"/>
      <c r="AX122" s="3"/>
      <c r="AY122" s="3"/>
    </row>
    <row r="123" spans="1:51" ht="13.15" customHeight="1">
      <c r="A123" s="3"/>
      <c r="B123" s="3"/>
      <c r="T123" s="3"/>
      <c r="U123" s="3"/>
      <c r="V123" s="3"/>
      <c r="W123" s="3"/>
      <c r="X123" s="3"/>
      <c r="Y123" s="1802" t="s">
        <v>2740</v>
      </c>
      <c r="Z123" s="1802"/>
      <c r="AA123" s="1802"/>
      <c r="AB123" s="1802"/>
      <c r="AC123" s="1802"/>
      <c r="AD123" s="1802"/>
      <c r="AE123" s="1802"/>
      <c r="AF123" s="1802"/>
      <c r="AG123" s="1802"/>
      <c r="AH123" s="1802"/>
      <c r="AI123" s="1802"/>
      <c r="AJ123" s="1802"/>
      <c r="AK123" s="1802"/>
      <c r="AL123" s="3"/>
      <c r="AM123" s="3"/>
      <c r="AN123" s="3"/>
      <c r="AO123" s="3"/>
      <c r="AP123" s="3"/>
      <c r="AQ123" s="3"/>
      <c r="AR123" s="3"/>
      <c r="AS123" s="3"/>
      <c r="AT123" s="3"/>
      <c r="AU123" s="3"/>
      <c r="AV123" s="3"/>
      <c r="AW123" s="3"/>
      <c r="AX123" s="3"/>
      <c r="AY123" s="3"/>
    </row>
    <row r="124" spans="1:51" ht="13.1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1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15" customHeight="1"/>
    <row r="127" spans="1:51" ht="13.1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15" hidden="1" customHeight="1">
      <c r="A128" s="385"/>
      <c r="AL128" s="385"/>
      <c r="AM128" s="385"/>
      <c r="AN128" s="385"/>
      <c r="AO128" s="385"/>
      <c r="AP128" s="385"/>
      <c r="AQ128" s="385"/>
      <c r="AR128" s="385"/>
      <c r="AS128" s="385"/>
      <c r="AT128" s="385"/>
      <c r="AU128" s="385"/>
      <c r="AV128" s="385"/>
      <c r="AW128" s="385"/>
      <c r="AX128" s="385"/>
      <c r="AY128" s="385"/>
    </row>
    <row r="129" spans="1:51" ht="13.1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1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hidden="1" customHeight="1">
      <c r="A131" s="3"/>
      <c r="AL131" s="3"/>
      <c r="AM131" s="3"/>
      <c r="AN131" s="3"/>
      <c r="AO131" s="3"/>
      <c r="AP131" s="3"/>
      <c r="AQ131" s="3"/>
      <c r="AR131" s="3"/>
      <c r="AS131" s="3"/>
      <c r="AT131" s="3"/>
      <c r="AU131" s="3"/>
      <c r="AV131" s="3"/>
      <c r="AW131" s="3"/>
      <c r="AX131" s="3"/>
      <c r="AY131" s="3"/>
    </row>
    <row r="132" spans="1:51" ht="13.1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15" hidden="1" customHeight="1">
      <c r="A133" s="3"/>
      <c r="W133" s="3"/>
      <c r="AL133" s="3"/>
      <c r="AM133" s="3"/>
      <c r="AN133" s="3"/>
      <c r="AO133" s="3"/>
      <c r="AP133" s="3"/>
      <c r="AQ133" s="3"/>
      <c r="AR133" s="3"/>
      <c r="AS133" s="3"/>
      <c r="AT133" s="3"/>
      <c r="AU133" s="3"/>
      <c r="AV133" s="3"/>
      <c r="AW133" s="3"/>
      <c r="AX133" s="3"/>
      <c r="AY133" s="3"/>
    </row>
    <row r="134" spans="1:51" ht="13.1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hidden="1" customHeight="1">
      <c r="A135" s="3"/>
      <c r="M135" s="3"/>
      <c r="N135" s="3"/>
      <c r="O135" s="3"/>
      <c r="AK135" s="3"/>
      <c r="AL135" s="3"/>
      <c r="AM135" s="3"/>
      <c r="AN135" s="3"/>
      <c r="AO135" s="3"/>
      <c r="AP135" s="3"/>
      <c r="AQ135" s="3"/>
      <c r="AR135" s="3"/>
      <c r="AS135" s="3"/>
      <c r="AT135" s="3"/>
      <c r="AU135" s="3"/>
      <c r="AV135" s="3"/>
      <c r="AW135" s="3"/>
      <c r="AX135" s="3"/>
      <c r="AY135" s="3"/>
    </row>
    <row r="136" spans="1:51" ht="13.1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1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1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1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1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1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1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1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1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1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1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15" customHeight="1"/>
    <row r="153" spans="1:72" ht="13.15" customHeight="1">
      <c r="D153" t="s">
        <v>653</v>
      </c>
      <c r="O153" s="1428" t="s">
        <v>2646</v>
      </c>
      <c r="P153" s="1429"/>
      <c r="Q153" s="1429"/>
      <c r="R153" s="1429"/>
      <c r="S153" s="1429"/>
      <c r="T153" s="1429"/>
      <c r="U153" s="1429"/>
      <c r="V153" s="1429"/>
      <c r="W153" s="1429"/>
      <c r="X153" s="1429"/>
      <c r="Y153" s="1429"/>
      <c r="Z153" s="1429"/>
      <c r="AA153" s="1429"/>
      <c r="AB153" s="1429"/>
      <c r="AC153" s="1429"/>
      <c r="AD153" s="1429"/>
      <c r="AE153" s="1429"/>
      <c r="AF153" s="1429"/>
      <c r="AG153" s="1429"/>
      <c r="AH153" s="1429"/>
    </row>
    <row r="154" spans="1:72" ht="13.15" customHeight="1">
      <c r="D154" s="325" t="s">
        <v>442</v>
      </c>
      <c r="O154" s="1649" t="s">
        <v>2738</v>
      </c>
      <c r="P154" s="1451"/>
      <c r="Q154" s="1451"/>
      <c r="R154" s="1451"/>
      <c r="S154" s="1451"/>
      <c r="T154" s="1451"/>
      <c r="U154" s="1451"/>
      <c r="V154" s="1451"/>
      <c r="W154" s="1451"/>
      <c r="X154" s="1451"/>
      <c r="Y154" s="1451"/>
      <c r="Z154" s="1451"/>
      <c r="AA154" s="1451"/>
      <c r="AB154" s="1451"/>
      <c r="AC154" s="1451"/>
      <c r="AD154" s="1451"/>
      <c r="AE154" s="1451"/>
      <c r="AF154" s="1451"/>
      <c r="AG154" s="1451"/>
      <c r="AH154" s="1451"/>
    </row>
    <row r="155" spans="1:72" ht="13.15" customHeight="1">
      <c r="D155" s="8" t="s">
        <v>443</v>
      </c>
      <c r="F155" s="8"/>
      <c r="G155" s="8"/>
      <c r="H155" s="8"/>
      <c r="I155" s="8"/>
      <c r="J155" s="8"/>
      <c r="K155" s="8"/>
      <c r="L155" s="8"/>
      <c r="M155" s="8"/>
      <c r="N155" s="8"/>
      <c r="O155" s="1811" t="s">
        <v>2777</v>
      </c>
      <c r="P155" s="1812"/>
      <c r="Q155" s="1812"/>
      <c r="R155" s="1812"/>
      <c r="S155" s="1812"/>
      <c r="T155" s="1812"/>
      <c r="U155" s="1812"/>
      <c r="V155" s="1812"/>
      <c r="W155" s="1812"/>
      <c r="X155" s="1812"/>
      <c r="Y155" s="1812"/>
      <c r="Z155" s="1812"/>
      <c r="AA155" s="1812"/>
      <c r="AB155" s="1812"/>
      <c r="AC155" s="1812"/>
      <c r="AD155" s="1812"/>
      <c r="AE155" s="1812"/>
      <c r="AF155" s="1812"/>
      <c r="AG155" s="1812"/>
      <c r="AH155" s="1812"/>
    </row>
    <row r="156" spans="1:72" ht="13.15" customHeight="1">
      <c r="D156" t="s">
        <v>314</v>
      </c>
      <c r="O156" s="1368" t="s">
        <v>2642</v>
      </c>
      <c r="P156" s="1368"/>
      <c r="Q156" s="1368"/>
      <c r="R156" s="1368"/>
      <c r="S156" s="1368"/>
      <c r="T156" s="1368"/>
      <c r="U156" s="1368"/>
      <c r="V156" s="1368"/>
      <c r="W156" s="1368"/>
      <c r="X156" s="1368"/>
      <c r="Y156" s="1368"/>
      <c r="Z156" s="1368"/>
      <c r="AA156" s="1368"/>
      <c r="AB156" s="1368"/>
      <c r="AC156" s="1368"/>
      <c r="AD156" s="1368"/>
      <c r="AE156" s="1368"/>
      <c r="AF156" s="1368"/>
      <c r="AG156" s="1368"/>
      <c r="AH156" s="1368"/>
      <c r="BT156" t="s">
        <v>308</v>
      </c>
    </row>
    <row r="157" spans="1:72" ht="13.15" customHeight="1">
      <c r="D157" t="s">
        <v>315</v>
      </c>
      <c r="O157" s="1428" t="s">
        <v>738</v>
      </c>
      <c r="P157" s="1429"/>
      <c r="Q157" s="1429"/>
      <c r="R157" s="1429"/>
      <c r="S157" s="1429"/>
      <c r="T157" s="1429"/>
      <c r="U157" s="1429"/>
      <c r="V157" s="1429"/>
      <c r="W157" s="1429"/>
      <c r="X157" s="1429"/>
      <c r="Y157" s="8"/>
      <c r="Z157" s="8"/>
      <c r="AA157" s="8"/>
      <c r="AB157" s="8"/>
      <c r="AC157" s="8"/>
      <c r="AD157" s="8"/>
      <c r="AE157" s="8"/>
      <c r="AF157" s="8"/>
      <c r="BN157" s="23" t="s">
        <v>644</v>
      </c>
      <c r="BT157" t="s">
        <v>484</v>
      </c>
    </row>
    <row r="158" spans="1:72" ht="13.15" customHeight="1">
      <c r="D158" t="s">
        <v>316</v>
      </c>
      <c r="O158" s="1785">
        <v>92101</v>
      </c>
      <c r="P158" s="1785"/>
      <c r="Q158" s="1785"/>
      <c r="R158" s="1785"/>
      <c r="S158" s="9"/>
      <c r="T158" s="9"/>
      <c r="U158" s="9"/>
      <c r="V158" s="9"/>
      <c r="W158" s="9"/>
      <c r="X158" s="9"/>
      <c r="Y158" s="9"/>
      <c r="Z158" s="9"/>
      <c r="AA158" s="9"/>
      <c r="AB158" s="9"/>
      <c r="AC158" s="9"/>
      <c r="AD158" s="9"/>
      <c r="AE158" s="9"/>
      <c r="AF158" s="9"/>
      <c r="BN158" s="23" t="s">
        <v>645</v>
      </c>
      <c r="BT158" t="s">
        <v>485</v>
      </c>
    </row>
    <row r="159" spans="1:72" ht="13.15" customHeight="1">
      <c r="D159" t="s">
        <v>317</v>
      </c>
      <c r="O159" s="1803" t="s">
        <v>2643</v>
      </c>
      <c r="P159" s="1803"/>
      <c r="Q159" s="1803"/>
      <c r="R159" s="1803"/>
      <c r="S159" s="1803"/>
      <c r="T159" s="1803"/>
      <c r="V159" s="97" t="s">
        <v>272</v>
      </c>
      <c r="W159" s="1786"/>
      <c r="X159" s="1786"/>
      <c r="Y159" s="10"/>
      <c r="Z159" s="10"/>
      <c r="AA159" s="10"/>
      <c r="AB159" s="10"/>
      <c r="AC159" s="10"/>
      <c r="AD159" s="10"/>
      <c r="AE159" s="10"/>
      <c r="AF159" s="10"/>
      <c r="BN159" s="23" t="s">
        <v>340</v>
      </c>
      <c r="BT159" t="s">
        <v>486</v>
      </c>
    </row>
    <row r="160" spans="1:72" ht="13.15" customHeight="1">
      <c r="D160" t="s">
        <v>318</v>
      </c>
      <c r="O160" s="1803" t="s">
        <v>2644</v>
      </c>
      <c r="P160" s="1803"/>
      <c r="Q160" s="1803"/>
      <c r="R160" s="1803"/>
      <c r="S160" s="1803"/>
      <c r="T160" s="1803"/>
      <c r="U160" s="10"/>
      <c r="V160" s="10"/>
      <c r="W160" s="10"/>
      <c r="X160" s="10"/>
      <c r="Y160" s="10"/>
      <c r="Z160" s="10"/>
      <c r="AA160" s="10"/>
      <c r="AB160" s="10"/>
      <c r="AC160" s="10"/>
      <c r="AD160" s="10"/>
      <c r="AE160" s="10"/>
      <c r="AF160" s="10"/>
      <c r="BN160" s="23" t="s">
        <v>668</v>
      </c>
      <c r="BT160" t="s">
        <v>487</v>
      </c>
    </row>
    <row r="161" spans="1:72" ht="13.15" customHeight="1">
      <c r="D161" t="s">
        <v>319</v>
      </c>
      <c r="O161" s="1784" t="s">
        <v>2645</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677</v>
      </c>
      <c r="BN161" s="23" t="s">
        <v>669</v>
      </c>
      <c r="BT161" t="s">
        <v>488</v>
      </c>
    </row>
    <row r="162" spans="1:72"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1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15" customHeight="1">
      <c r="C164" s="27"/>
      <c r="D164" s="1808" t="s">
        <v>2622</v>
      </c>
      <c r="E164" s="1808"/>
      <c r="F164" s="1808"/>
      <c r="G164" s="1808"/>
      <c r="H164" s="1808"/>
      <c r="I164" s="1808"/>
      <c r="J164" s="1808"/>
      <c r="K164" s="1808"/>
      <c r="L164" s="1808"/>
      <c r="M164" s="1808"/>
      <c r="N164" s="1808"/>
      <c r="O164" s="1808"/>
      <c r="P164" s="1808"/>
      <c r="Q164" s="1808"/>
      <c r="R164" s="1808"/>
      <c r="S164" s="1808"/>
      <c r="T164" s="1808"/>
      <c r="U164" s="1808"/>
      <c r="V164" s="1808"/>
      <c r="W164" s="1808"/>
      <c r="X164" s="1808"/>
      <c r="Y164" s="1808"/>
      <c r="Z164" s="1808"/>
      <c r="AA164" s="1808"/>
      <c r="AB164" s="1808"/>
      <c r="AC164" s="1808"/>
      <c r="AD164" s="1808"/>
      <c r="AE164" s="1808"/>
      <c r="AF164" s="1808"/>
      <c r="AG164" s="1808"/>
      <c r="AH164" s="1808"/>
      <c r="BN164" s="23" t="s">
        <v>672</v>
      </c>
      <c r="BT164" t="s">
        <v>491</v>
      </c>
    </row>
    <row r="165" spans="1:72"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15" customHeight="1">
      <c r="A169" s="1439" t="s">
        <v>547</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681</v>
      </c>
      <c r="BT169" t="s">
        <v>496</v>
      </c>
    </row>
    <row r="170" spans="1:72" ht="13.1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682</v>
      </c>
      <c r="BT170" t="s">
        <v>497</v>
      </c>
    </row>
    <row r="171" spans="1:72" ht="13.15" customHeight="1">
      <c r="BN171" s="23" t="s">
        <v>212</v>
      </c>
      <c r="BT171" t="s">
        <v>498</v>
      </c>
    </row>
    <row r="172" spans="1:72" ht="13.15" customHeight="1">
      <c r="A172" s="2" t="s">
        <v>320</v>
      </c>
      <c r="C172" s="2" t="s">
        <v>321</v>
      </c>
      <c r="BN172" s="23" t="s">
        <v>214</v>
      </c>
      <c r="BT172" t="s">
        <v>499</v>
      </c>
    </row>
    <row r="173" spans="1:72" ht="13.15" customHeight="1">
      <c r="C173" s="24"/>
      <c r="D173" t="s">
        <v>322</v>
      </c>
      <c r="J173" s="1810" t="s">
        <v>372</v>
      </c>
      <c r="K173" s="1810"/>
      <c r="L173" s="1810"/>
      <c r="M173" s="1810"/>
      <c r="N173" s="1810"/>
      <c r="O173" s="1810"/>
      <c r="P173" s="1810"/>
      <c r="Q173" s="1810"/>
      <c r="R173" s="1810"/>
      <c r="S173" s="1810"/>
      <c r="U173" s="25"/>
      <c r="X173" s="25"/>
      <c r="BB173" s="3" t="s">
        <v>308</v>
      </c>
      <c r="BN173" s="23" t="s">
        <v>215</v>
      </c>
      <c r="BT173" t="s">
        <v>500</v>
      </c>
    </row>
    <row r="174" spans="1:72" ht="13.15" customHeight="1">
      <c r="C174" s="24"/>
      <c r="D174" s="3" t="s">
        <v>1308</v>
      </c>
      <c r="J174" s="1368" t="s">
        <v>2419</v>
      </c>
      <c r="K174" s="1368"/>
      <c r="L174" s="1368"/>
      <c r="M174" s="1368"/>
      <c r="N174" s="1368"/>
      <c r="O174" s="1368"/>
      <c r="P174" s="1368"/>
      <c r="Q174" s="1368"/>
      <c r="R174" s="1368"/>
      <c r="S174" s="1368"/>
      <c r="T174" s="1368"/>
      <c r="U174" s="1368"/>
      <c r="V174" s="1368"/>
      <c r="W174" s="1368"/>
      <c r="X174" s="1368"/>
      <c r="Y174" s="1368"/>
      <c r="Z174" s="1368"/>
      <c r="AA174" s="1368"/>
      <c r="AB174" s="1368"/>
      <c r="BB174" t="s">
        <v>2272</v>
      </c>
      <c r="BN174" s="23" t="s">
        <v>217</v>
      </c>
      <c r="BT174" t="s">
        <v>501</v>
      </c>
    </row>
    <row r="175" spans="1:72" ht="13.15" customHeight="1">
      <c r="C175" s="8"/>
      <c r="D175" s="3" t="s">
        <v>323</v>
      </c>
      <c r="O175" s="27"/>
      <c r="U175" s="1367"/>
      <c r="V175" s="1367"/>
      <c r="BB175" t="s">
        <v>2236</v>
      </c>
      <c r="BN175" s="23" t="s">
        <v>218</v>
      </c>
      <c r="BT175" t="s">
        <v>502</v>
      </c>
    </row>
    <row r="176" spans="1:72" ht="13.15" customHeight="1">
      <c r="C176" s="8"/>
      <c r="D176" s="26"/>
      <c r="E176" t="s">
        <v>305</v>
      </c>
      <c r="O176" s="27"/>
      <c r="P176" t="s">
        <v>2394</v>
      </c>
      <c r="T176" s="27" t="s">
        <v>306</v>
      </c>
      <c r="U176" s="1449"/>
      <c r="V176" s="1449"/>
      <c r="W176" s="1" t="s">
        <v>307</v>
      </c>
      <c r="X176" s="1800"/>
      <c r="Y176" s="1800"/>
      <c r="BB176" t="s">
        <v>2273</v>
      </c>
      <c r="BN176" s="23" t="s">
        <v>220</v>
      </c>
      <c r="BT176" t="s">
        <v>503</v>
      </c>
    </row>
    <row r="177" spans="1:72" ht="13.15" customHeight="1">
      <c r="C177" s="24"/>
      <c r="D177" t="s">
        <v>250</v>
      </c>
      <c r="R177" s="1367"/>
      <c r="S177" s="1367"/>
      <c r="BB177" t="s">
        <v>2576</v>
      </c>
      <c r="BN177" s="23" t="s">
        <v>221</v>
      </c>
      <c r="BT177" t="s">
        <v>504</v>
      </c>
    </row>
    <row r="178" spans="1:72" ht="13.15" customHeight="1">
      <c r="C178" s="24"/>
      <c r="D178" s="3" t="s">
        <v>1309</v>
      </c>
      <c r="AA178" t="s">
        <v>2394</v>
      </c>
      <c r="AE178" s="27" t="s">
        <v>306</v>
      </c>
      <c r="AF178" s="1804"/>
      <c r="AG178" s="1804"/>
      <c r="AH178" s="1" t="s">
        <v>307</v>
      </c>
      <c r="AI178" s="1682"/>
      <c r="AJ178" s="1682"/>
      <c r="AK178" s="1682"/>
      <c r="BB178" t="s">
        <v>2577</v>
      </c>
      <c r="BN178" s="23" t="s">
        <v>222</v>
      </c>
      <c r="BT178" t="s">
        <v>53</v>
      </c>
    </row>
    <row r="179" spans="1:72" ht="13.15" customHeight="1">
      <c r="C179" s="24"/>
      <c r="BN179" s="23" t="s">
        <v>223</v>
      </c>
      <c r="BT179" t="s">
        <v>54</v>
      </c>
    </row>
    <row r="180" spans="1:72" ht="13.15" customHeight="1">
      <c r="C180" s="24"/>
      <c r="D180" t="s">
        <v>2395</v>
      </c>
      <c r="X180" s="1367"/>
      <c r="Y180" s="1367"/>
      <c r="BN180" s="23" t="s">
        <v>225</v>
      </c>
      <c r="BT180" t="s">
        <v>55</v>
      </c>
    </row>
    <row r="181" spans="1:72" ht="13.15" customHeight="1">
      <c r="C181" s="8"/>
      <c r="E181" s="4" t="s">
        <v>995</v>
      </c>
      <c r="BN181" s="23" t="s">
        <v>226</v>
      </c>
      <c r="BT181" t="s">
        <v>56</v>
      </c>
    </row>
    <row r="182" spans="1:72" ht="13.15" customHeight="1">
      <c r="C182" s="564"/>
      <c r="BN182" s="23" t="s">
        <v>227</v>
      </c>
      <c r="BT182" t="s">
        <v>60</v>
      </c>
    </row>
    <row r="183" spans="1:72" ht="13.15" customHeight="1">
      <c r="A183" s="2" t="s">
        <v>584</v>
      </c>
      <c r="C183" s="2" t="s">
        <v>585</v>
      </c>
      <c r="BN183" s="23" t="s">
        <v>229</v>
      </c>
      <c r="BT183" t="s">
        <v>61</v>
      </c>
    </row>
    <row r="184" spans="1:72" ht="13.15" customHeight="1">
      <c r="C184" s="21"/>
      <c r="D184" t="s">
        <v>586</v>
      </c>
      <c r="I184" s="1464" t="str">
        <f>H18</f>
        <v>Hillcrest Hall</v>
      </c>
      <c r="J184" s="1464"/>
      <c r="K184" s="1464"/>
      <c r="L184" s="1464"/>
      <c r="M184" s="1464"/>
      <c r="N184" s="1464"/>
      <c r="O184" s="1464"/>
      <c r="P184" s="1464"/>
      <c r="Q184" s="1464"/>
      <c r="R184" s="1464"/>
      <c r="S184" s="1464"/>
      <c r="T184" s="1464"/>
      <c r="U184" s="1464"/>
      <c r="V184" s="1464"/>
      <c r="W184" s="1464"/>
      <c r="X184" s="1464"/>
      <c r="Y184" s="1464"/>
      <c r="Z184" s="1464"/>
      <c r="AA184" s="1464"/>
      <c r="AB184" s="1464"/>
      <c r="AC184" s="1464"/>
      <c r="AD184" s="1464"/>
      <c r="AE184" s="1464"/>
      <c r="BC184" t="s">
        <v>595</v>
      </c>
      <c r="BN184" s="23" t="s">
        <v>231</v>
      </c>
      <c r="BT184" t="s">
        <v>62</v>
      </c>
    </row>
    <row r="185" spans="1:72" ht="13.15" customHeight="1">
      <c r="C185" s="21"/>
      <c r="D185" t="s">
        <v>587</v>
      </c>
      <c r="I185" s="1438" t="s">
        <v>2647</v>
      </c>
      <c r="J185" s="1438"/>
      <c r="K185" s="1438"/>
      <c r="L185" s="1438"/>
      <c r="M185" s="1438"/>
      <c r="N185" s="1438"/>
      <c r="O185" s="1438"/>
      <c r="P185" s="1438"/>
      <c r="Q185" s="1438"/>
      <c r="R185" s="1438"/>
      <c r="S185" s="1438"/>
      <c r="T185" s="1438"/>
      <c r="U185" s="1438"/>
      <c r="V185" s="1438"/>
      <c r="W185" s="1438"/>
      <c r="X185" s="1438"/>
      <c r="Y185" s="1438"/>
      <c r="Z185" s="1438"/>
      <c r="AA185" s="1438"/>
      <c r="AB185" s="1438"/>
      <c r="AC185" s="1438"/>
      <c r="AD185" s="1438"/>
      <c r="AE185" s="1438"/>
      <c r="BC185" t="s">
        <v>596</v>
      </c>
      <c r="BN185" s="23" t="s">
        <v>232</v>
      </c>
      <c r="BT185" t="s">
        <v>63</v>
      </c>
    </row>
    <row r="186" spans="1:72" ht="13.15" customHeight="1">
      <c r="C186" s="21"/>
      <c r="E186" t="s">
        <v>168</v>
      </c>
      <c r="BN186" s="23" t="s">
        <v>233</v>
      </c>
      <c r="BT186" t="s">
        <v>64</v>
      </c>
    </row>
    <row r="187" spans="1:72" ht="13.15" customHeight="1">
      <c r="C187" s="21"/>
      <c r="E187" s="1793"/>
      <c r="F187" s="1793"/>
      <c r="G187" s="1793"/>
      <c r="H187" s="1793"/>
      <c r="I187" s="1793"/>
      <c r="J187" s="1793"/>
      <c r="K187" s="1793"/>
      <c r="L187" s="1793"/>
      <c r="M187" s="1793"/>
      <c r="N187" s="1793"/>
      <c r="O187" s="1793"/>
      <c r="P187" s="1793"/>
      <c r="Q187" s="1793"/>
      <c r="R187" s="1793"/>
      <c r="S187" s="1793"/>
      <c r="T187" s="1793"/>
      <c r="U187" s="1793"/>
      <c r="V187" s="1793"/>
      <c r="W187" s="1793"/>
      <c r="X187" s="1793"/>
      <c r="Y187" s="1793"/>
      <c r="Z187" s="1793"/>
      <c r="AA187" s="1793"/>
      <c r="AB187" s="1793"/>
      <c r="AC187" s="1793"/>
      <c r="AD187" s="1793"/>
      <c r="AE187" s="1793"/>
      <c r="BN187" s="23" t="s">
        <v>234</v>
      </c>
      <c r="BT187" t="s">
        <v>65</v>
      </c>
    </row>
    <row r="188" spans="1:72" ht="13.15"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236</v>
      </c>
      <c r="BT188" t="s">
        <v>66</v>
      </c>
    </row>
    <row r="189" spans="1:72" ht="13.15" customHeight="1">
      <c r="C189" s="21"/>
      <c r="D189" t="s">
        <v>588</v>
      </c>
      <c r="I189" s="1368" t="s">
        <v>738</v>
      </c>
      <c r="J189" s="1368"/>
      <c r="K189" s="1368"/>
      <c r="L189" s="1368"/>
      <c r="M189" s="1368"/>
      <c r="N189" s="1368"/>
      <c r="O189" s="1368"/>
      <c r="P189" s="1368"/>
      <c r="Q189" t="s">
        <v>590</v>
      </c>
      <c r="T189" s="1368" t="s">
        <v>738</v>
      </c>
      <c r="U189" s="1368"/>
      <c r="V189" s="1368"/>
      <c r="W189" s="1368"/>
      <c r="X189" s="1368"/>
      <c r="Y189" s="1368"/>
      <c r="Z189" s="1368"/>
      <c r="AA189" s="1368"/>
      <c r="AB189" s="1368"/>
      <c r="AC189" s="1368"/>
      <c r="AD189" s="1368"/>
      <c r="AE189" s="1368"/>
      <c r="BC189" t="s">
        <v>308</v>
      </c>
      <c r="BH189" s="3" t="s">
        <v>599</v>
      </c>
      <c r="BN189" s="23" t="s">
        <v>237</v>
      </c>
      <c r="BT189" t="s">
        <v>67</v>
      </c>
    </row>
    <row r="190" spans="1:72" ht="13.15" customHeight="1">
      <c r="C190" s="21"/>
      <c r="D190" t="s">
        <v>591</v>
      </c>
      <c r="I190" s="1438">
        <v>92103</v>
      </c>
      <c r="J190" s="1438"/>
      <c r="K190" s="1438"/>
      <c r="L190" s="1438"/>
      <c r="M190" s="1438"/>
      <c r="N190" s="1438"/>
      <c r="O190" t="s">
        <v>593</v>
      </c>
      <c r="T190" s="1791">
        <v>7</v>
      </c>
      <c r="U190" s="1791"/>
      <c r="V190" s="1791"/>
      <c r="W190" s="1791"/>
      <c r="X190" s="1791"/>
      <c r="Y190" s="1791"/>
      <c r="Z190" s="1791"/>
      <c r="AA190" s="1791"/>
      <c r="AB190" s="1791"/>
      <c r="AC190" s="1791"/>
      <c r="AD190" s="1791"/>
      <c r="AE190" s="1791"/>
      <c r="BC190" t="s">
        <v>1065</v>
      </c>
      <c r="BH190" t="s">
        <v>1065</v>
      </c>
      <c r="BN190" s="23" t="s">
        <v>643</v>
      </c>
      <c r="BT190" t="s">
        <v>68</v>
      </c>
    </row>
    <row r="191" spans="1:72" ht="13.15" customHeight="1">
      <c r="C191" s="21"/>
      <c r="D191" t="s">
        <v>470</v>
      </c>
      <c r="N191" s="1793" t="s">
        <v>2648</v>
      </c>
      <c r="O191" s="1793"/>
      <c r="P191" s="1793"/>
      <c r="Q191" s="1793"/>
      <c r="R191" s="1793"/>
      <c r="S191" s="1793"/>
      <c r="T191" s="1793"/>
      <c r="U191" s="1793"/>
      <c r="V191" s="1793"/>
      <c r="W191" s="1793"/>
      <c r="X191" s="1793"/>
      <c r="Y191" s="1793"/>
      <c r="Z191" s="1793"/>
      <c r="AA191" s="1793"/>
      <c r="AB191" s="1793"/>
      <c r="AC191" s="1793"/>
      <c r="AD191" s="1793"/>
      <c r="AE191" s="1793"/>
      <c r="BC191" t="s">
        <v>1064</v>
      </c>
      <c r="BH191" t="s">
        <v>1064</v>
      </c>
      <c r="BN191" s="23" t="s">
        <v>697</v>
      </c>
      <c r="BT191" t="s">
        <v>736</v>
      </c>
    </row>
    <row r="192" spans="1:72" ht="13.15"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1067</v>
      </c>
      <c r="BH192" s="3" t="s">
        <v>1473</v>
      </c>
      <c r="BN192" s="23" t="s">
        <v>698</v>
      </c>
      <c r="BT192" t="s">
        <v>737</v>
      </c>
    </row>
    <row r="193" spans="1:74" ht="13.15" customHeight="1">
      <c r="C193" s="21"/>
      <c r="D193" t="s">
        <v>2396</v>
      </c>
      <c r="M193" s="40"/>
      <c r="N193" s="928"/>
      <c r="O193" s="928"/>
      <c r="P193" s="928"/>
      <c r="Q193" s="928"/>
      <c r="R193" s="928"/>
      <c r="S193" s="928"/>
      <c r="T193" s="1789" t="s">
        <v>2272</v>
      </c>
      <c r="U193" s="1789"/>
      <c r="V193" s="1789"/>
      <c r="W193" s="1789"/>
      <c r="X193" s="1789"/>
      <c r="Y193" s="1789"/>
      <c r="Z193" s="1789"/>
      <c r="AA193" s="1789"/>
      <c r="AB193" s="1789"/>
      <c r="AC193" s="1789"/>
      <c r="AD193" s="1789"/>
      <c r="AE193" s="1789"/>
      <c r="AF193" s="1789"/>
      <c r="AG193" s="1789"/>
      <c r="AH193" s="1789"/>
      <c r="AI193" s="1789"/>
      <c r="BC193" t="s">
        <v>1066</v>
      </c>
      <c r="BH193" s="3" t="s">
        <v>1740</v>
      </c>
      <c r="BN193" s="23" t="s">
        <v>699</v>
      </c>
      <c r="BT193" t="s">
        <v>738</v>
      </c>
    </row>
    <row r="194" spans="1:74" ht="13.15" customHeight="1">
      <c r="C194" s="21"/>
      <c r="D194" s="3" t="s">
        <v>2578</v>
      </c>
      <c r="M194" s="40"/>
      <c r="N194" s="928"/>
      <c r="O194" s="928"/>
      <c r="P194" s="928"/>
      <c r="Q194" s="928"/>
      <c r="R194" s="928"/>
      <c r="S194" s="928"/>
      <c r="AH194" s="1367" t="s">
        <v>677</v>
      </c>
      <c r="AI194" s="1367"/>
      <c r="BC194" t="s">
        <v>1473</v>
      </c>
      <c r="BN194" s="23" t="s">
        <v>700</v>
      </c>
      <c r="BT194" t="s">
        <v>739</v>
      </c>
    </row>
    <row r="195" spans="1:74" ht="13.15" customHeight="1">
      <c r="C195" s="21"/>
      <c r="D195" t="s">
        <v>332</v>
      </c>
      <c r="T195" s="1367" t="s">
        <v>553</v>
      </c>
      <c r="U195" s="1367"/>
      <c r="W195" t="s">
        <v>693</v>
      </c>
      <c r="AH195" s="1367">
        <v>50</v>
      </c>
      <c r="AI195" s="1367"/>
      <c r="BC195" t="s">
        <v>2046</v>
      </c>
      <c r="BN195" s="23" t="s">
        <v>243</v>
      </c>
      <c r="BT195" t="s">
        <v>740</v>
      </c>
    </row>
    <row r="196" spans="1:74" ht="13.15" customHeight="1">
      <c r="C196" s="21"/>
      <c r="D196" t="s">
        <v>387</v>
      </c>
      <c r="T196" s="1620" t="s">
        <v>677</v>
      </c>
      <c r="U196" s="1620"/>
      <c r="W196" t="s">
        <v>694</v>
      </c>
      <c r="AH196" s="1367">
        <v>78</v>
      </c>
      <c r="AI196" s="1367"/>
      <c r="BN196" s="23" t="s">
        <v>244</v>
      </c>
      <c r="BT196" t="s">
        <v>69</v>
      </c>
    </row>
    <row r="197" spans="1:74" ht="13.15" customHeight="1">
      <c r="C197" s="21"/>
      <c r="D197" s="3" t="s">
        <v>169</v>
      </c>
      <c r="T197" s="1620" t="s">
        <v>677</v>
      </c>
      <c r="U197" s="1620"/>
      <c r="W197" t="s">
        <v>695</v>
      </c>
      <c r="AH197" s="1367">
        <v>39</v>
      </c>
      <c r="AI197" s="1367"/>
      <c r="BC197" t="s">
        <v>308</v>
      </c>
      <c r="BN197" s="23" t="s">
        <v>245</v>
      </c>
      <c r="BT197" t="s">
        <v>70</v>
      </c>
    </row>
    <row r="198" spans="1:74" s="14" customFormat="1" ht="13.15" customHeight="1">
      <c r="A198"/>
      <c r="B198"/>
      <c r="C198" s="21"/>
      <c r="D198" s="3" t="s">
        <v>1763</v>
      </c>
      <c r="E198"/>
      <c r="F198"/>
      <c r="G198"/>
      <c r="H198"/>
      <c r="I198"/>
      <c r="J198"/>
      <c r="K198"/>
      <c r="L198"/>
      <c r="M198"/>
      <c r="N198"/>
      <c r="O198"/>
      <c r="P198"/>
      <c r="Q198"/>
      <c r="R198"/>
      <c r="S198"/>
      <c r="T198" s="1620"/>
      <c r="U198" s="162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15" customHeight="1">
      <c r="A199"/>
      <c r="B199"/>
      <c r="C199" s="21"/>
      <c r="D199" s="118" t="s">
        <v>2528</v>
      </c>
      <c r="E199"/>
      <c r="F199"/>
      <c r="G199"/>
      <c r="H199"/>
      <c r="I199"/>
      <c r="J199"/>
      <c r="K199"/>
      <c r="L199"/>
      <c r="M199"/>
      <c r="N199"/>
      <c r="O199"/>
      <c r="P199"/>
      <c r="Q199"/>
      <c r="R199"/>
      <c r="S199"/>
      <c r="T199"/>
      <c r="U199"/>
      <c r="V199"/>
      <c r="W199"/>
      <c r="Z199" s="1367" t="s">
        <v>677</v>
      </c>
      <c r="AA199" s="1367"/>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1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3.1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15" customHeight="1">
      <c r="C202" s="21"/>
      <c r="D202" s="546"/>
      <c r="BC202" t="s">
        <v>1091</v>
      </c>
      <c r="BD202" s="469"/>
      <c r="BN202" s="23" t="s">
        <v>710</v>
      </c>
      <c r="BO202" s="14"/>
      <c r="BP202" s="32"/>
      <c r="BQ202" s="32"/>
      <c r="BR202" s="32"/>
      <c r="BS202" s="32"/>
      <c r="BT202" s="32" t="s">
        <v>196</v>
      </c>
    </row>
    <row r="203" spans="1:74" ht="13.15" customHeight="1">
      <c r="A203" s="2" t="s">
        <v>594</v>
      </c>
      <c r="C203" s="2" t="s">
        <v>136</v>
      </c>
      <c r="BC203" t="s">
        <v>1092</v>
      </c>
      <c r="BN203" s="23" t="s">
        <v>711</v>
      </c>
      <c r="BO203" s="14"/>
      <c r="BP203" s="32"/>
      <c r="BQ203" s="32"/>
      <c r="BR203" s="32"/>
      <c r="BS203" s="32"/>
      <c r="BT203" s="32" t="s">
        <v>197</v>
      </c>
    </row>
    <row r="204" spans="1:74" ht="13.15" customHeight="1">
      <c r="D204" s="1464" t="s">
        <v>386</v>
      </c>
      <c r="E204" s="1464"/>
      <c r="F204" s="1464"/>
      <c r="G204" s="1464"/>
      <c r="H204" s="1464"/>
      <c r="I204" s="1464"/>
      <c r="J204" s="1464"/>
      <c r="K204" s="1464"/>
      <c r="L204" s="1464"/>
      <c r="M204" s="1464"/>
      <c r="P204" s="1809">
        <f>M26</f>
        <v>2883331</v>
      </c>
      <c r="Q204" s="1790"/>
      <c r="R204" s="1790"/>
      <c r="S204" s="1790"/>
      <c r="T204" s="1790"/>
      <c r="U204" s="1790"/>
      <c r="BC204" t="s">
        <v>618</v>
      </c>
      <c r="BN204" s="23" t="s">
        <v>712</v>
      </c>
      <c r="BT204" s="32" t="s">
        <v>198</v>
      </c>
      <c r="BU204" s="14"/>
    </row>
    <row r="205" spans="1:74" ht="13.15" customHeight="1">
      <c r="C205" s="21"/>
      <c r="D205" s="1794" t="s">
        <v>1355</v>
      </c>
      <c r="E205" s="1464"/>
      <c r="F205" s="1464"/>
      <c r="G205" s="1464"/>
      <c r="H205" s="1464"/>
      <c r="I205" s="1464"/>
      <c r="J205" s="1464"/>
      <c r="K205" s="1464"/>
      <c r="L205" s="1464"/>
      <c r="M205" s="1464"/>
      <c r="P205" s="1790">
        <f>M27</f>
        <v>15549560</v>
      </c>
      <c r="Q205" s="1790"/>
      <c r="R205" s="1790"/>
      <c r="S205" s="1790"/>
      <c r="T205" s="1790"/>
      <c r="U205" s="1790"/>
      <c r="V205" s="28"/>
      <c r="W205" s="3" t="s">
        <v>1908</v>
      </c>
      <c r="Z205" s="1797" t="s">
        <v>2626</v>
      </c>
      <c r="AA205" s="1797"/>
      <c r="AB205" s="1797"/>
      <c r="AC205" s="1797"/>
      <c r="AD205" s="1797"/>
      <c r="AE205" s="1797"/>
      <c r="AF205" s="1797"/>
      <c r="AG205" s="1797"/>
      <c r="AH205" s="1797"/>
      <c r="AI205" s="1797"/>
      <c r="AJ205" s="1797"/>
      <c r="AK205" s="1797"/>
      <c r="AL205" s="1797"/>
      <c r="AM205" s="1797"/>
      <c r="AN205" s="1797"/>
      <c r="AP205" s="1303"/>
      <c r="AQ205" s="1303"/>
      <c r="BC205" t="s">
        <v>1050</v>
      </c>
      <c r="BN205" s="23" t="s">
        <v>109</v>
      </c>
      <c r="BT205" s="32" t="s">
        <v>174</v>
      </c>
      <c r="BU205" s="14"/>
    </row>
    <row r="206" spans="1:74" ht="13.1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3.15" customHeight="1">
      <c r="A207" s="2" t="s">
        <v>597</v>
      </c>
      <c r="C207" s="2" t="s">
        <v>559</v>
      </c>
      <c r="BC207" s="3" t="s">
        <v>2568</v>
      </c>
      <c r="BN207" s="23" t="s">
        <v>45</v>
      </c>
      <c r="BT207" s="32" t="s">
        <v>200</v>
      </c>
    </row>
    <row r="208" spans="1:74" ht="13.15" customHeight="1">
      <c r="C208" s="21"/>
      <c r="D208" s="1429" t="s">
        <v>2649</v>
      </c>
      <c r="E208" s="1429"/>
      <c r="F208" s="1429"/>
      <c r="G208" s="1429"/>
      <c r="H208" s="1429"/>
      <c r="I208" s="1429"/>
      <c r="J208" s="1429"/>
      <c r="K208" s="1429"/>
      <c r="L208" s="1429"/>
      <c r="M208" s="1429"/>
      <c r="BC208" t="s">
        <v>1094</v>
      </c>
      <c r="BN208" s="23" t="s">
        <v>46</v>
      </c>
      <c r="BT208" s="32" t="s">
        <v>201</v>
      </c>
    </row>
    <row r="209" spans="1:72" ht="13.15" customHeight="1">
      <c r="BC209" t="s">
        <v>667</v>
      </c>
      <c r="BN209" s="23" t="s">
        <v>47</v>
      </c>
      <c r="BT209" s="32" t="s">
        <v>202</v>
      </c>
    </row>
    <row r="210" spans="1:72" ht="13.15" customHeight="1">
      <c r="A210" s="2" t="s">
        <v>598</v>
      </c>
      <c r="C210" s="2" t="s">
        <v>389</v>
      </c>
      <c r="BN210" s="23" t="s">
        <v>48</v>
      </c>
      <c r="BT210" s="32" t="s">
        <v>203</v>
      </c>
    </row>
    <row r="211" spans="1:72" ht="13.15" customHeight="1">
      <c r="C211" s="21"/>
      <c r="D211" s="1429" t="s">
        <v>1065</v>
      </c>
      <c r="E211" s="1429"/>
      <c r="F211" s="1429"/>
      <c r="G211" s="1429"/>
      <c r="H211" s="1429"/>
      <c r="I211" s="1429"/>
      <c r="J211" s="1429"/>
      <c r="K211" s="1429"/>
      <c r="L211" s="1429"/>
      <c r="M211" s="1429"/>
      <c r="BN211" s="23" t="s">
        <v>129</v>
      </c>
      <c r="BT211" s="32" t="s">
        <v>130</v>
      </c>
    </row>
    <row r="212" spans="1:72" ht="13.15" customHeight="1">
      <c r="C212" s="21"/>
      <c r="D212" t="s">
        <v>1352</v>
      </c>
      <c r="Y212" s="1367"/>
      <c r="Z212" s="1367"/>
      <c r="AB212" s="1795">
        <f>IFERROR(Y212/AG440,"")</f>
        <v>0</v>
      </c>
      <c r="AC212" s="1796"/>
      <c r="BC212" t="s">
        <v>308</v>
      </c>
      <c r="BI212" t="s">
        <v>1290</v>
      </c>
      <c r="BN212" s="23" t="s">
        <v>49</v>
      </c>
      <c r="BT212" s="32" t="s">
        <v>204</v>
      </c>
    </row>
    <row r="213" spans="1:72" ht="13.15" customHeight="1">
      <c r="D213" s="1189" t="s">
        <v>1739</v>
      </c>
      <c r="BC213" t="s">
        <v>534</v>
      </c>
      <c r="BI213" t="s">
        <v>2626</v>
      </c>
      <c r="BN213" s="23" t="s">
        <v>50</v>
      </c>
      <c r="BT213" s="32" t="s">
        <v>205</v>
      </c>
    </row>
    <row r="214" spans="1:72" ht="13.15" customHeight="1">
      <c r="D214" s="1806" t="s">
        <v>599</v>
      </c>
      <c r="E214" s="1806"/>
      <c r="F214" s="1806"/>
      <c r="G214" s="1806"/>
      <c r="H214" s="1806"/>
      <c r="I214" s="1806"/>
      <c r="J214" s="1806"/>
      <c r="K214" s="1806"/>
      <c r="L214" s="1806"/>
      <c r="M214" s="1806"/>
      <c r="N214" s="1806"/>
      <c r="O214" s="1806"/>
      <c r="P214" s="1806"/>
      <c r="Q214" s="1806"/>
      <c r="R214" s="1806"/>
      <c r="S214" s="1806"/>
      <c r="T214" s="1806"/>
      <c r="U214" s="1806"/>
      <c r="V214" s="1806"/>
      <c r="W214" s="1806"/>
      <c r="X214" s="1806"/>
      <c r="Y214" s="1806"/>
      <c r="Z214" s="1806"/>
      <c r="AU214" s="21"/>
      <c r="AV214" s="21"/>
      <c r="AW214" s="21"/>
      <c r="AX214" s="21"/>
      <c r="AY214" s="21"/>
      <c r="BC214" t="s">
        <v>538</v>
      </c>
      <c r="BI214" t="s">
        <v>2632</v>
      </c>
      <c r="BN214" s="23" t="s">
        <v>327</v>
      </c>
      <c r="BT214" s="32" t="s">
        <v>206</v>
      </c>
    </row>
    <row r="215" spans="1:72" ht="13.15" customHeight="1">
      <c r="D215" s="3" t="s">
        <v>1764</v>
      </c>
      <c r="Z215" s="40"/>
      <c r="AB215" s="1805"/>
      <c r="AC215" s="1805"/>
      <c r="AD215" s="1805"/>
      <c r="AE215" s="1805"/>
      <c r="AF215" s="1805"/>
      <c r="AG215" s="1805"/>
      <c r="AH215" s="1805"/>
      <c r="AI215" s="1805"/>
      <c r="AJ215" s="1805"/>
      <c r="AK215" s="1805"/>
      <c r="AL215" s="1805"/>
      <c r="AM215" s="21"/>
      <c r="AN215" s="21"/>
      <c r="AO215" s="21"/>
      <c r="AP215" s="21"/>
      <c r="AQ215" s="21"/>
      <c r="AR215" s="21"/>
      <c r="AS215" s="21"/>
      <c r="AT215" s="21"/>
      <c r="AU215" s="21"/>
      <c r="AV215" s="21"/>
      <c r="AW215" s="21"/>
      <c r="AX215" s="21"/>
      <c r="AY215" s="21"/>
      <c r="BC215" t="s">
        <v>535</v>
      </c>
      <c r="BI215" s="3" t="s">
        <v>2638</v>
      </c>
    </row>
    <row r="216" spans="1:72" ht="13.15" customHeight="1">
      <c r="D216" s="3" t="s">
        <v>1762</v>
      </c>
      <c r="Z216" s="40"/>
      <c r="AB216" s="1805"/>
      <c r="AC216" s="1805"/>
      <c r="AD216" s="1805"/>
      <c r="AE216" s="1805"/>
      <c r="AF216" s="1805"/>
      <c r="AG216" s="1805"/>
      <c r="AH216" s="1805"/>
      <c r="AI216" s="1805"/>
      <c r="AJ216" s="1805"/>
      <c r="AK216" s="1805"/>
      <c r="AL216" s="1805"/>
      <c r="AM216" s="21"/>
      <c r="AN216" s="21"/>
      <c r="AO216" s="21"/>
      <c r="AP216" s="21"/>
      <c r="AQ216" s="21"/>
      <c r="AR216" s="21"/>
      <c r="AS216" s="21"/>
      <c r="AT216" s="21"/>
      <c r="AU216" s="21"/>
      <c r="AV216" s="21"/>
      <c r="AW216" s="21"/>
      <c r="AX216" s="21"/>
      <c r="AY216" s="21"/>
      <c r="BC216" t="s">
        <v>574</v>
      </c>
      <c r="BI216" s="3" t="s">
        <v>2627</v>
      </c>
    </row>
    <row r="217" spans="1:72" ht="13.1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3.15" customHeight="1">
      <c r="A218" s="2" t="s">
        <v>600</v>
      </c>
      <c r="C218" s="2" t="s">
        <v>1328</v>
      </c>
      <c r="D218" s="28"/>
      <c r="BC218" t="s">
        <v>537</v>
      </c>
    </row>
    <row r="219" spans="1:72" ht="13.15" customHeight="1">
      <c r="A219" s="2"/>
      <c r="C219" s="2"/>
      <c r="D219" s="4" t="s">
        <v>1008</v>
      </c>
      <c r="AZ219" s="3"/>
      <c r="BA219" s="3"/>
      <c r="BC219" t="s">
        <v>378</v>
      </c>
    </row>
    <row r="220" spans="1:72" ht="13.15" customHeight="1">
      <c r="A220" s="2"/>
      <c r="C220" s="2"/>
      <c r="D220" s="1429" t="s">
        <v>619</v>
      </c>
      <c r="E220" s="1429"/>
      <c r="F220" s="1429"/>
      <c r="G220" s="1429"/>
      <c r="H220" s="1429"/>
      <c r="I220" s="1429"/>
      <c r="J220" s="1429"/>
      <c r="K220" s="1429"/>
      <c r="L220" s="1429"/>
      <c r="M220" s="1429"/>
      <c r="N220" s="1429"/>
      <c r="O220" s="1429"/>
      <c r="P220" s="1429"/>
      <c r="Q220" s="1429"/>
      <c r="R220" s="1429"/>
      <c r="S220" s="1429"/>
      <c r="T220" s="1429"/>
      <c r="U220" s="1429"/>
      <c r="V220" s="1429"/>
      <c r="W220" s="1429"/>
      <c r="X220" s="1429"/>
      <c r="Y220" s="1429"/>
      <c r="Z220" s="1429"/>
      <c r="BA220" s="3"/>
      <c r="BC220" t="s">
        <v>301</v>
      </c>
    </row>
    <row r="221" spans="1:72" ht="13.15" customHeight="1">
      <c r="A221" s="2"/>
      <c r="B221" s="14"/>
      <c r="C221" s="2"/>
      <c r="AU221" s="95"/>
      <c r="AV221" s="95"/>
      <c r="AW221" s="95"/>
      <c r="AX221" s="95"/>
      <c r="AY221" s="95"/>
      <c r="BA221" s="3"/>
    </row>
    <row r="222" spans="1:72" ht="13.15" customHeight="1">
      <c r="A222" s="1439" t="s">
        <v>548</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3.1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3.15" customHeight="1">
      <c r="AZ224" s="4"/>
      <c r="BA224" s="3"/>
      <c r="BB224" s="3"/>
      <c r="BQ224" s="34"/>
    </row>
    <row r="225" spans="1:69" ht="13.1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1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7" t="s">
        <v>599</v>
      </c>
      <c r="AJ226" s="1367"/>
      <c r="AL226" s="3"/>
      <c r="AM226" s="3"/>
      <c r="AN226" s="3"/>
      <c r="AO226" s="3"/>
      <c r="AP226" s="3"/>
      <c r="AQ226" s="3"/>
      <c r="AR226" s="3"/>
      <c r="AS226" s="3"/>
      <c r="AT226" s="3"/>
      <c r="AU226" s="3"/>
      <c r="AV226" s="3"/>
      <c r="AW226" s="3"/>
      <c r="AX226" s="3"/>
      <c r="AY226" s="3"/>
      <c r="AZ226" s="4"/>
      <c r="BB226" s="218" t="s">
        <v>546</v>
      </c>
      <c r="BG226" s="259">
        <f>IF(AND(AND($M$249="for profit",$M$257="for profit",$M$265="nonprofit")),2,0)</f>
        <v>2</v>
      </c>
      <c r="BO226" s="34"/>
    </row>
    <row r="227" spans="1:69" ht="13.1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7" t="s">
        <v>553</v>
      </c>
      <c r="AJ227" s="1367"/>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7" t="s">
        <v>599</v>
      </c>
      <c r="AJ228" s="1367"/>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1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7" t="s">
        <v>599</v>
      </c>
      <c r="AJ229" s="1367"/>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1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15" customHeight="1">
      <c r="D232" s="4" t="s">
        <v>478</v>
      </c>
      <c r="E232" s="4"/>
      <c r="F232" s="4"/>
      <c r="G232" s="4"/>
      <c r="H232" s="4"/>
      <c r="I232" s="4"/>
      <c r="J232" s="4"/>
      <c r="K232" s="4"/>
      <c r="M232" s="1792" t="str">
        <f>H16</f>
        <v>E. Smith &amp; Company, Inc.</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19" t="s">
        <v>546</v>
      </c>
      <c r="BG232" s="259">
        <f>IF(AND(AND($M$249="nonprofit",$M$257="nonprofit",$M$265="for profit")),2,0)</f>
        <v>0</v>
      </c>
      <c r="BQ232" s="34"/>
    </row>
    <row r="233" spans="1:69" ht="13.15" customHeight="1">
      <c r="D233" s="4" t="s">
        <v>85</v>
      </c>
      <c r="E233" s="4"/>
      <c r="F233" s="4"/>
      <c r="G233" s="4"/>
      <c r="H233" s="4"/>
      <c r="I233" s="4"/>
      <c r="J233" s="4"/>
      <c r="K233" s="4"/>
      <c r="M233" s="1428" t="s">
        <v>2779</v>
      </c>
      <c r="N233" s="1429"/>
      <c r="O233" s="1429"/>
      <c r="P233" s="1429"/>
      <c r="Q233" s="1429"/>
      <c r="R233" s="1429"/>
      <c r="S233" s="1429"/>
      <c r="T233" s="1429"/>
      <c r="U233" s="1429"/>
      <c r="V233" s="1429"/>
      <c r="W233" s="1429"/>
      <c r="X233" s="1429"/>
      <c r="Y233" s="1429"/>
      <c r="Z233" s="1429"/>
      <c r="AA233" s="1429"/>
      <c r="AB233" s="1429"/>
      <c r="AC233" s="1429"/>
      <c r="AD233" s="1429"/>
      <c r="AE233" s="1429"/>
      <c r="BB233" s="219" t="s">
        <v>546</v>
      </c>
      <c r="BG233" s="259">
        <f>IF(AND(AND($M$249="nonprofit",$M$257="for profit",$M$265="nonprofit")),2,0)</f>
        <v>0</v>
      </c>
    </row>
    <row r="234" spans="1:69" ht="13.15" customHeight="1">
      <c r="D234" s="4" t="s">
        <v>588</v>
      </c>
      <c r="E234" s="4"/>
      <c r="M234" s="1428" t="s">
        <v>738</v>
      </c>
      <c r="N234" s="1429"/>
      <c r="O234" s="1429"/>
      <c r="P234" s="1429"/>
      <c r="Q234" s="1429"/>
      <c r="R234" s="1429"/>
      <c r="S234" s="1429"/>
      <c r="T234" s="1429"/>
      <c r="V234" s="33" t="s">
        <v>86</v>
      </c>
      <c r="W234" s="1649" t="s">
        <v>2651</v>
      </c>
      <c r="X234" s="1451"/>
      <c r="Y234" s="4" t="s">
        <v>591</v>
      </c>
      <c r="AC234" s="1429">
        <v>92103</v>
      </c>
      <c r="AD234" s="1429"/>
      <c r="AE234" s="1429"/>
      <c r="AU234" s="4"/>
      <c r="AV234" s="4"/>
      <c r="AW234" s="4"/>
      <c r="AX234" s="4"/>
      <c r="AY234" s="4"/>
      <c r="AZ234" s="4"/>
      <c r="BB234" s="219" t="s">
        <v>546</v>
      </c>
      <c r="BG234" s="258">
        <f>IF(AND(AND($M$249="for profit",$M$257="nonprofit",$M$265="nonprofit")),2,0)</f>
        <v>0</v>
      </c>
      <c r="BO234" s="34"/>
    </row>
    <row r="235" spans="1:69" ht="13.15" customHeight="1">
      <c r="D235" s="4" t="s">
        <v>87</v>
      </c>
      <c r="E235" s="4"/>
      <c r="F235" s="4"/>
      <c r="G235" s="4"/>
      <c r="H235" s="4"/>
      <c r="I235" s="4"/>
      <c r="J235" s="4"/>
      <c r="K235" s="19"/>
      <c r="M235" s="1428" t="s">
        <v>2778</v>
      </c>
      <c r="N235" s="1429"/>
      <c r="O235" s="1429"/>
      <c r="P235" s="1429"/>
      <c r="Q235" s="1429"/>
      <c r="R235" s="1429"/>
      <c r="S235" s="1429"/>
      <c r="T235" s="1429"/>
      <c r="U235" s="1429"/>
      <c r="V235" s="1429"/>
      <c r="W235" s="1429"/>
      <c r="X235" s="1429"/>
      <c r="Y235" s="1429"/>
      <c r="Z235" s="1429"/>
      <c r="AA235" s="1429"/>
      <c r="AB235" s="1429"/>
      <c r="AC235" s="1429"/>
      <c r="AD235" s="1429"/>
      <c r="AE235" s="1429"/>
      <c r="AI235" s="4"/>
      <c r="AJ235" s="4"/>
      <c r="AK235" s="4"/>
      <c r="AL235" s="4"/>
      <c r="AM235" s="4"/>
      <c r="AN235" s="4"/>
      <c r="AO235" s="4"/>
      <c r="AP235" s="4"/>
      <c r="AQ235" s="4"/>
      <c r="AR235" s="4"/>
      <c r="AS235" s="4"/>
      <c r="AT235" s="4"/>
      <c r="BB235" s="219"/>
      <c r="BG235" s="218"/>
    </row>
    <row r="236" spans="1:69" ht="13.15" customHeight="1">
      <c r="D236" s="4" t="s">
        <v>88</v>
      </c>
      <c r="E236" s="4"/>
      <c r="F236" s="4"/>
      <c r="M236" s="1388"/>
      <c r="N236" s="1388"/>
      <c r="O236" s="1388"/>
      <c r="P236" s="1388"/>
      <c r="Q236" s="1388"/>
      <c r="R236" s="1388"/>
      <c r="S236" s="4" t="s">
        <v>207</v>
      </c>
      <c r="T236" s="4"/>
      <c r="U236" s="1451"/>
      <c r="V236" s="1451"/>
      <c r="W236" s="1451"/>
      <c r="X236" s="4" t="s">
        <v>89</v>
      </c>
      <c r="Z236" s="1388"/>
      <c r="AA236" s="1388"/>
      <c r="AB236" s="1388"/>
      <c r="AC236" s="1388"/>
      <c r="AD236" s="1388"/>
      <c r="AE236" s="1388"/>
      <c r="AU236" s="4"/>
      <c r="AV236" s="4"/>
      <c r="AW236" s="4"/>
      <c r="AX236" s="4"/>
      <c r="AY236" s="4"/>
      <c r="AZ236" s="4"/>
      <c r="BB236" s="218" t="s">
        <v>545</v>
      </c>
      <c r="BG236" s="259">
        <f>IF(AND(AND($M$249="nonprofit",$M$257="nonprofit",$M$265="(select one)")),1,0)</f>
        <v>0</v>
      </c>
    </row>
    <row r="237" spans="1:69" ht="13.15" customHeight="1">
      <c r="D237" s="4" t="s">
        <v>90</v>
      </c>
      <c r="E237" s="4"/>
      <c r="F237" s="4"/>
      <c r="M237" s="1784"/>
      <c r="N237" s="1784"/>
      <c r="O237" s="1784"/>
      <c r="P237" s="1784"/>
      <c r="Q237" s="1784"/>
      <c r="R237" s="1784"/>
      <c r="S237" s="1784"/>
      <c r="T237" s="1784"/>
      <c r="U237" s="1784"/>
      <c r="V237" s="1784"/>
      <c r="W237" s="1784"/>
      <c r="X237" s="1784"/>
      <c r="Y237" s="1784"/>
      <c r="Z237" s="1784"/>
      <c r="AA237" s="1784"/>
      <c r="AB237" s="1784"/>
      <c r="AC237" s="1784"/>
      <c r="AD237" s="1784"/>
      <c r="AE237" s="1784"/>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15" customHeight="1">
      <c r="A238" s="2" t="s">
        <v>594</v>
      </c>
      <c r="C238" s="2" t="s">
        <v>533</v>
      </c>
      <c r="M238" s="1438" t="s">
        <v>301</v>
      </c>
      <c r="N238" s="1438"/>
      <c r="O238" s="1438"/>
      <c r="P238" s="1438"/>
      <c r="Q238" s="1438"/>
      <c r="R238" s="1438"/>
      <c r="S238" s="1438"/>
      <c r="T238" s="1438"/>
      <c r="U238" s="218" t="s">
        <v>921</v>
      </c>
      <c r="V238" s="218"/>
      <c r="W238" s="218"/>
      <c r="X238" s="218"/>
      <c r="Y238" s="218"/>
      <c r="Z238" s="218"/>
      <c r="AA238" s="1787"/>
      <c r="AB238" s="1788"/>
      <c r="AC238" s="1788"/>
      <c r="AD238" s="1788"/>
      <c r="AE238" s="1788"/>
      <c r="AF238" s="1788"/>
      <c r="AG238" s="1788"/>
      <c r="AH238" s="1788"/>
      <c r="AI238" s="1788"/>
      <c r="AJ238" s="1788"/>
      <c r="AK238" s="178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15" customHeight="1">
      <c r="D239" t="s">
        <v>539</v>
      </c>
      <c r="M239" s="1368" t="s">
        <v>2780</v>
      </c>
      <c r="N239" s="1368"/>
      <c r="O239" s="1368"/>
      <c r="P239" s="1368"/>
      <c r="Q239" s="1368"/>
      <c r="R239" s="1368"/>
      <c r="S239" s="1368"/>
      <c r="T239" s="1368"/>
      <c r="U239" s="1368"/>
      <c r="V239" s="1368"/>
      <c r="W239" s="1368"/>
      <c r="X239" s="1368"/>
      <c r="Y239" s="1368"/>
      <c r="Z239" s="1368"/>
      <c r="AA239" s="1368"/>
      <c r="AB239" s="1368"/>
      <c r="AC239" s="1368"/>
      <c r="AD239" s="1368"/>
      <c r="AE239" s="1368"/>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15" customHeight="1">
      <c r="D240" s="4"/>
      <c r="BB240" s="218" t="s">
        <v>889</v>
      </c>
      <c r="BG240" s="259">
        <f>IF(AND(AND($M$249="for profit",$M$257="for profit",$M$265="for profit")),3,0)</f>
        <v>0</v>
      </c>
    </row>
    <row r="241" spans="1:71" ht="13.1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15" customHeight="1">
      <c r="A243" s="19"/>
      <c r="B243" s="4"/>
      <c r="C243" s="56" t="s">
        <v>481</v>
      </c>
      <c r="D243" s="4" t="s">
        <v>540</v>
      </c>
      <c r="E243" s="4"/>
      <c r="F243" s="4"/>
      <c r="G243" s="4"/>
      <c r="H243" s="4"/>
      <c r="I243" s="4"/>
      <c r="J243" s="4"/>
      <c r="K243" s="4"/>
      <c r="L243" s="4"/>
      <c r="M243" s="1431" t="s">
        <v>2656</v>
      </c>
      <c r="N243" s="1432"/>
      <c r="O243" s="1432"/>
      <c r="P243" s="1432"/>
      <c r="Q243" s="1432"/>
      <c r="R243" s="1432"/>
      <c r="S243" s="1432"/>
      <c r="T243" s="1432"/>
      <c r="U243" s="1432"/>
      <c r="V243" s="1432"/>
      <c r="W243" s="1432"/>
      <c r="X243" s="1432"/>
      <c r="Y243" s="1432"/>
      <c r="Z243" s="1432"/>
      <c r="AA243" s="1432"/>
      <c r="AB243" s="1432"/>
      <c r="AC243" s="1432"/>
      <c r="AD243" s="1432"/>
      <c r="AE243" s="1432"/>
      <c r="AF243" s="1432" t="s">
        <v>2663</v>
      </c>
      <c r="AG243" s="1432"/>
      <c r="AH243" s="1432"/>
      <c r="AI243" s="1432"/>
      <c r="AJ243" s="1432"/>
      <c r="AK243" s="1432"/>
      <c r="AU243" s="4"/>
      <c r="AV243" s="4"/>
      <c r="AW243" s="4"/>
      <c r="AX243" s="4"/>
      <c r="AY243" s="4"/>
      <c r="BG243">
        <f>SUM(BG226:BG241)</f>
        <v>2</v>
      </c>
    </row>
    <row r="244" spans="1:71" ht="13.15" customHeight="1">
      <c r="A244" s="19"/>
      <c r="B244" s="4"/>
      <c r="C244" s="4"/>
      <c r="D244" s="4" t="s">
        <v>85</v>
      </c>
      <c r="E244" s="4"/>
      <c r="F244" s="4"/>
      <c r="G244" s="4"/>
      <c r="H244" s="4"/>
      <c r="I244" s="4"/>
      <c r="J244" s="4"/>
      <c r="K244" s="4"/>
      <c r="L244" s="4"/>
      <c r="M244" s="1429" t="s">
        <v>2657</v>
      </c>
      <c r="N244" s="1429"/>
      <c r="O244" s="1429"/>
      <c r="P244" s="1429"/>
      <c r="Q244" s="1429"/>
      <c r="R244" s="1429"/>
      <c r="S244" s="1429"/>
      <c r="T244" s="1429"/>
      <c r="U244" s="1429"/>
      <c r="V244" s="1429"/>
      <c r="W244" s="1429"/>
      <c r="X244" s="1429"/>
      <c r="Y244" s="1429"/>
      <c r="Z244" s="1429"/>
      <c r="AA244" s="1429"/>
      <c r="AB244" s="1429"/>
      <c r="AC244" s="1429"/>
      <c r="AD244" s="1429"/>
      <c r="AE244" s="1429"/>
      <c r="AF244" s="3" t="s">
        <v>1285</v>
      </c>
      <c r="AL244" s="4"/>
      <c r="AM244" s="4"/>
      <c r="AN244" s="4"/>
      <c r="AO244" s="4"/>
      <c r="AP244" s="4"/>
      <c r="AQ244" s="4"/>
      <c r="AR244" s="4"/>
      <c r="AS244" s="4"/>
      <c r="AT244" s="4"/>
      <c r="BB244" t="s">
        <v>308</v>
      </c>
      <c r="BG244">
        <v>1</v>
      </c>
      <c r="BH244" t="s">
        <v>542</v>
      </c>
    </row>
    <row r="245" spans="1:71" ht="13.15" customHeight="1">
      <c r="A245" s="19"/>
      <c r="B245" s="4"/>
      <c r="C245" s="4"/>
      <c r="D245" s="4" t="s">
        <v>588</v>
      </c>
      <c r="E245" s="4"/>
      <c r="M245" s="1428" t="s">
        <v>2658</v>
      </c>
      <c r="N245" s="1429"/>
      <c r="O245" s="1429"/>
      <c r="P245" s="1429"/>
      <c r="Q245" s="1429"/>
      <c r="R245" s="1429"/>
      <c r="S245" s="1429"/>
      <c r="T245" s="1429"/>
      <c r="V245" s="33" t="s">
        <v>86</v>
      </c>
      <c r="W245" s="1649" t="s">
        <v>2659</v>
      </c>
      <c r="X245" s="1451"/>
      <c r="Y245" s="4" t="s">
        <v>591</v>
      </c>
      <c r="AC245" s="1429">
        <v>10168</v>
      </c>
      <c r="AD245" s="1429"/>
      <c r="AE245" s="1429"/>
      <c r="AF245" s="3" t="s">
        <v>1286</v>
      </c>
      <c r="AU245" s="4"/>
      <c r="AV245" s="4"/>
      <c r="AW245" s="4"/>
      <c r="AX245" s="4"/>
      <c r="AY245" s="4"/>
      <c r="BB245" s="4" t="s">
        <v>281</v>
      </c>
      <c r="BG245">
        <v>2</v>
      </c>
      <c r="BH245" t="s">
        <v>574</v>
      </c>
      <c r="BO245" s="257" t="str">
        <f>VLOOKUP(BG243,BG244:BH247,2,FALSE)</f>
        <v>Joint Venture</v>
      </c>
    </row>
    <row r="246" spans="1:71" ht="13.15" customHeight="1">
      <c r="A246" s="19"/>
      <c r="B246" s="4"/>
      <c r="C246" s="4"/>
      <c r="D246" s="4" t="s">
        <v>87</v>
      </c>
      <c r="E246" s="4"/>
      <c r="F246" s="4"/>
      <c r="G246" s="4"/>
      <c r="H246" s="4"/>
      <c r="I246" s="4"/>
      <c r="J246" s="4"/>
      <c r="K246" s="4"/>
      <c r="L246" s="19"/>
      <c r="M246" s="1429" t="s">
        <v>2660</v>
      </c>
      <c r="N246" s="1429"/>
      <c r="O246" s="1429"/>
      <c r="P246" s="1429"/>
      <c r="Q246" s="1429"/>
      <c r="R246" s="1429"/>
      <c r="S246" s="1429"/>
      <c r="T246" s="1429"/>
      <c r="U246" s="1429"/>
      <c r="V246" s="1429"/>
      <c r="W246" s="1429"/>
      <c r="X246" s="1429"/>
      <c r="Y246" s="1429"/>
      <c r="Z246" s="1429"/>
      <c r="AA246" s="1429"/>
      <c r="AB246" s="1429"/>
      <c r="AC246" s="1429"/>
      <c r="AD246" s="1429"/>
      <c r="AE246" s="1429"/>
      <c r="AH246" s="1783">
        <v>2.5000000000000001E-3</v>
      </c>
      <c r="AI246" s="1783"/>
      <c r="AJ246" s="1783"/>
      <c r="AK246" s="1783"/>
      <c r="AL246" s="4"/>
      <c r="AM246" s="4"/>
      <c r="AN246" s="4"/>
      <c r="AO246" s="4"/>
      <c r="AP246" s="4"/>
      <c r="AQ246" s="4"/>
      <c r="AR246" s="4"/>
      <c r="AS246" s="4"/>
      <c r="AT246" s="4"/>
      <c r="BB246" s="4" t="s">
        <v>173</v>
      </c>
      <c r="BG246">
        <v>3</v>
      </c>
      <c r="BH246" t="s">
        <v>544</v>
      </c>
      <c r="BN246" s="34"/>
    </row>
    <row r="247" spans="1:71" ht="13.15" customHeight="1">
      <c r="A247" s="19"/>
      <c r="B247" s="4"/>
      <c r="C247" s="4"/>
      <c r="D247" s="4" t="s">
        <v>88</v>
      </c>
      <c r="E247" s="4"/>
      <c r="F247" s="4"/>
      <c r="M247" s="1388" t="s">
        <v>2661</v>
      </c>
      <c r="N247" s="1388"/>
      <c r="O247" s="1388"/>
      <c r="P247" s="1388"/>
      <c r="Q247" s="1388"/>
      <c r="R247" s="1388"/>
      <c r="S247" s="4" t="s">
        <v>207</v>
      </c>
      <c r="T247" s="4"/>
      <c r="U247" s="1451"/>
      <c r="V247" s="1451"/>
      <c r="W247" s="1451"/>
      <c r="X247" s="4" t="s">
        <v>89</v>
      </c>
      <c r="Z247" s="1388"/>
      <c r="AA247" s="1388"/>
      <c r="AB247" s="1388"/>
      <c r="AC247" s="1388"/>
      <c r="AD247" s="1388"/>
      <c r="AE247" s="1388"/>
      <c r="AU247" s="4"/>
      <c r="AV247" s="4"/>
      <c r="AW247" s="4"/>
      <c r="AX247" s="4"/>
      <c r="AY247" s="4"/>
      <c r="BG247">
        <v>0</v>
      </c>
      <c r="BH247" s="3"/>
      <c r="BN247" s="34"/>
    </row>
    <row r="248" spans="1:71" ht="13.15" customHeight="1">
      <c r="A248" s="19"/>
      <c r="B248" s="4"/>
      <c r="C248" s="4"/>
      <c r="D248" s="4" t="s">
        <v>90</v>
      </c>
      <c r="E248" s="4"/>
      <c r="F248" s="4"/>
      <c r="M248" s="1784" t="s">
        <v>2662</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71" ht="13.15" customHeight="1">
      <c r="A249" s="13"/>
      <c r="B249" s="4"/>
      <c r="C249" s="56"/>
      <c r="D249" s="4" t="s">
        <v>543</v>
      </c>
      <c r="E249" s="4"/>
      <c r="F249" s="4"/>
      <c r="G249" s="4"/>
      <c r="H249" s="4"/>
      <c r="I249" s="4"/>
      <c r="J249" s="4"/>
      <c r="K249" s="4"/>
      <c r="L249" s="4"/>
      <c r="M249" s="1438" t="s">
        <v>544</v>
      </c>
      <c r="N249" s="1438"/>
      <c r="O249" s="1438"/>
      <c r="P249" s="1438"/>
      <c r="Q249" s="1438"/>
      <c r="R249" s="1438"/>
      <c r="S249" s="1438"/>
      <c r="T249" s="1438"/>
      <c r="U249" s="218" t="s">
        <v>921</v>
      </c>
      <c r="V249" s="218"/>
      <c r="W249" s="218"/>
      <c r="X249" s="218"/>
      <c r="Y249" s="218"/>
      <c r="Z249" s="218"/>
      <c r="AA249" s="1787" t="s">
        <v>2665</v>
      </c>
      <c r="AB249" s="1788"/>
      <c r="AC249" s="1788"/>
      <c r="AD249" s="1788"/>
      <c r="AE249" s="1788"/>
      <c r="AF249" s="1788"/>
      <c r="AG249" s="1788"/>
      <c r="AH249" s="1788"/>
      <c r="AI249" s="1788"/>
      <c r="AJ249" s="1788"/>
      <c r="AK249" s="1788"/>
      <c r="BN249" s="34"/>
    </row>
    <row r="250" spans="1:71" ht="13.15" customHeight="1">
      <c r="A250" s="19"/>
      <c r="B250" s="4"/>
      <c r="C250" s="4"/>
      <c r="D250" s="4"/>
      <c r="E250" s="4"/>
      <c r="F250" s="4"/>
      <c r="G250" s="4"/>
      <c r="H250" s="4"/>
      <c r="I250" s="4"/>
      <c r="J250" s="4"/>
      <c r="K250" s="4"/>
      <c r="L250" s="4"/>
      <c r="AG250" s="4"/>
      <c r="AH250" s="4"/>
      <c r="AI250" s="4"/>
      <c r="AJ250" s="4"/>
      <c r="BN250" s="34"/>
    </row>
    <row r="251" spans="1:71" ht="13.15" customHeight="1">
      <c r="A251" s="2"/>
      <c r="B251" s="4"/>
      <c r="C251" s="56" t="s">
        <v>98</v>
      </c>
      <c r="D251" s="4" t="s">
        <v>974</v>
      </c>
      <c r="E251" s="4"/>
      <c r="F251" s="4"/>
      <c r="G251" s="4"/>
      <c r="H251" s="4"/>
      <c r="I251" s="4"/>
      <c r="J251" s="4"/>
      <c r="K251" s="4"/>
      <c r="L251" s="4"/>
      <c r="M251" s="1431" t="s">
        <v>2766</v>
      </c>
      <c r="N251" s="1432"/>
      <c r="O251" s="1432"/>
      <c r="P251" s="1432"/>
      <c r="Q251" s="1432"/>
      <c r="R251" s="1432"/>
      <c r="S251" s="1432"/>
      <c r="T251" s="1432"/>
      <c r="U251" s="1432"/>
      <c r="V251" s="1432"/>
      <c r="W251" s="1432"/>
      <c r="X251" s="1432"/>
      <c r="Y251" s="1432"/>
      <c r="Z251" s="1432"/>
      <c r="AA251" s="1432"/>
      <c r="AB251" s="1432"/>
      <c r="AC251" s="1432"/>
      <c r="AD251" s="1432"/>
      <c r="AE251" s="1432"/>
      <c r="AF251" s="1432" t="s">
        <v>2663</v>
      </c>
      <c r="AG251" s="1432"/>
      <c r="AH251" s="1432"/>
      <c r="AI251" s="1432"/>
      <c r="AJ251" s="1432"/>
      <c r="AK251" s="1432"/>
      <c r="AU251" s="4"/>
      <c r="AV251" s="4"/>
      <c r="AW251" s="4"/>
      <c r="AX251" s="4"/>
      <c r="AY251" s="4"/>
      <c r="BN251" s="34"/>
    </row>
    <row r="252" spans="1:71" ht="13.15" customHeight="1">
      <c r="A252" s="19"/>
      <c r="B252" s="4"/>
      <c r="C252" s="4"/>
      <c r="D252" s="4" t="s">
        <v>85</v>
      </c>
      <c r="E252" s="4"/>
      <c r="F252" s="4"/>
      <c r="G252" s="4"/>
      <c r="H252" s="4"/>
      <c r="I252" s="4"/>
      <c r="J252" s="4"/>
      <c r="K252" s="4"/>
      <c r="L252" s="4"/>
      <c r="M252" s="1429" t="s">
        <v>2779</v>
      </c>
      <c r="N252" s="1429"/>
      <c r="O252" s="1429"/>
      <c r="P252" s="1429"/>
      <c r="Q252" s="1429"/>
      <c r="R252" s="1429"/>
      <c r="S252" s="1429"/>
      <c r="T252" s="1429"/>
      <c r="U252" s="1429"/>
      <c r="V252" s="1429"/>
      <c r="W252" s="1429"/>
      <c r="X252" s="1429"/>
      <c r="Y252" s="1429"/>
      <c r="Z252" s="1429"/>
      <c r="AA252" s="1429"/>
      <c r="AB252" s="1429"/>
      <c r="AC252" s="1429"/>
      <c r="AD252" s="1429"/>
      <c r="AE252" s="1429"/>
      <c r="AF252" s="3" t="s">
        <v>1285</v>
      </c>
      <c r="AL252" s="4"/>
      <c r="AM252" s="4"/>
      <c r="AN252" s="4"/>
      <c r="AO252" s="4"/>
      <c r="AP252" s="4"/>
      <c r="AQ252" s="4"/>
      <c r="AR252" s="4"/>
      <c r="AS252" s="4"/>
      <c r="AT252" s="4"/>
      <c r="BN252" s="34"/>
    </row>
    <row r="253" spans="1:71" ht="13.15" customHeight="1">
      <c r="A253" s="19"/>
      <c r="B253" s="4"/>
      <c r="C253" s="4"/>
      <c r="D253" s="4" t="s">
        <v>588</v>
      </c>
      <c r="E253" s="4"/>
      <c r="M253" s="1428" t="s">
        <v>738</v>
      </c>
      <c r="N253" s="1429"/>
      <c r="O253" s="1429"/>
      <c r="P253" s="1429"/>
      <c r="Q253" s="1429"/>
      <c r="R253" s="1429"/>
      <c r="S253" s="1429"/>
      <c r="T253" s="1429"/>
      <c r="V253" s="33" t="s">
        <v>86</v>
      </c>
      <c r="W253" s="1649" t="s">
        <v>2651</v>
      </c>
      <c r="X253" s="1451"/>
      <c r="Y253" s="4" t="s">
        <v>591</v>
      </c>
      <c r="AC253" s="1429">
        <v>92103</v>
      </c>
      <c r="AD253" s="1429"/>
      <c r="AE253" s="1429"/>
      <c r="AF253" s="3" t="s">
        <v>1286</v>
      </c>
      <c r="AU253" s="4"/>
      <c r="AV253" s="4"/>
      <c r="AW253" s="4"/>
      <c r="AX253" s="4"/>
      <c r="AY253" s="4"/>
      <c r="BN253" s="34"/>
    </row>
    <row r="254" spans="1:71" ht="13.15" customHeight="1">
      <c r="A254" s="19"/>
      <c r="B254" s="4"/>
      <c r="C254" s="4"/>
      <c r="D254" s="4" t="s">
        <v>87</v>
      </c>
      <c r="E254" s="4"/>
      <c r="F254" s="4"/>
      <c r="G254" s="4"/>
      <c r="H254" s="4"/>
      <c r="I254" s="4"/>
      <c r="J254" s="4"/>
      <c r="K254" s="4"/>
      <c r="L254" s="19"/>
      <c r="M254" s="1428" t="s">
        <v>2778</v>
      </c>
      <c r="N254" s="1429"/>
      <c r="O254" s="1429"/>
      <c r="P254" s="1429"/>
      <c r="Q254" s="1429"/>
      <c r="R254" s="1429"/>
      <c r="S254" s="1429"/>
      <c r="T254" s="1429"/>
      <c r="U254" s="1429"/>
      <c r="V254" s="1429"/>
      <c r="W254" s="1429"/>
      <c r="X254" s="1429"/>
      <c r="Y254" s="1429"/>
      <c r="Z254" s="1429"/>
      <c r="AA254" s="1429"/>
      <c r="AB254" s="1429"/>
      <c r="AC254" s="1429"/>
      <c r="AD254" s="1429"/>
      <c r="AE254" s="1429"/>
      <c r="AH254" s="1783">
        <v>5.1000000000000004E-3</v>
      </c>
      <c r="AI254" s="1783"/>
      <c r="AJ254" s="1783"/>
      <c r="AK254" s="1783"/>
      <c r="AL254" s="4"/>
      <c r="AM254" s="4"/>
      <c r="AN254" s="4"/>
      <c r="AO254" s="4"/>
      <c r="AP254" s="4"/>
      <c r="AQ254" s="4"/>
      <c r="AR254" s="4"/>
      <c r="AS254" s="4"/>
      <c r="AT254" s="4"/>
    </row>
    <row r="255" spans="1:71" ht="13.15" customHeight="1">
      <c r="A255" s="19"/>
      <c r="B255" s="4"/>
      <c r="C255" s="4"/>
      <c r="D255" s="4" t="s">
        <v>88</v>
      </c>
      <c r="E255" s="4"/>
      <c r="F255" s="4"/>
      <c r="M255" s="1388"/>
      <c r="N255" s="1388"/>
      <c r="O255" s="1388"/>
      <c r="P255" s="1388"/>
      <c r="Q255" s="1388"/>
      <c r="R255" s="1388"/>
      <c r="S255" s="4" t="s">
        <v>207</v>
      </c>
      <c r="T255" s="4"/>
      <c r="U255" s="1451"/>
      <c r="V255" s="1451"/>
      <c r="W255" s="1451"/>
      <c r="X255" s="4" t="s">
        <v>89</v>
      </c>
      <c r="Z255" s="1388"/>
      <c r="AA255" s="1388"/>
      <c r="AB255" s="1388"/>
      <c r="AC255" s="1388"/>
      <c r="AD255" s="1388"/>
      <c r="AE255" s="1388"/>
      <c r="AU255" s="4"/>
      <c r="AV255" s="4"/>
      <c r="AW255" s="4"/>
      <c r="AX255" s="4"/>
      <c r="AY255" s="4"/>
      <c r="BN255" s="34"/>
    </row>
    <row r="256" spans="1:71" ht="13.15" customHeight="1">
      <c r="A256" s="19"/>
      <c r="B256" s="4"/>
      <c r="C256" s="4"/>
      <c r="D256" s="4" t="s">
        <v>90</v>
      </c>
      <c r="E256" s="4"/>
      <c r="F256" s="4"/>
      <c r="M256" s="1784"/>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66" ht="13.15" customHeight="1">
      <c r="A257" s="13"/>
      <c r="B257" s="4"/>
      <c r="C257" s="56"/>
      <c r="D257" s="4" t="s">
        <v>543</v>
      </c>
      <c r="E257" s="4"/>
      <c r="F257" s="4"/>
      <c r="G257" s="4"/>
      <c r="H257" s="4"/>
      <c r="I257" s="4"/>
      <c r="J257" s="4"/>
      <c r="K257" s="4"/>
      <c r="L257" s="4"/>
      <c r="M257" s="1438" t="s">
        <v>544</v>
      </c>
      <c r="N257" s="1438"/>
      <c r="O257" s="1438"/>
      <c r="P257" s="1438"/>
      <c r="Q257" s="1438"/>
      <c r="R257" s="1438"/>
      <c r="S257" s="1438"/>
      <c r="T257" s="1438"/>
      <c r="U257" s="218" t="s">
        <v>921</v>
      </c>
      <c r="V257" s="218"/>
      <c r="W257" s="218"/>
      <c r="X257" s="218"/>
      <c r="Y257" s="218"/>
      <c r="Z257" s="218"/>
      <c r="AA257" s="1788"/>
      <c r="AB257" s="1788"/>
      <c r="AC257" s="1788"/>
      <c r="AD257" s="1788"/>
      <c r="AE257" s="1788"/>
      <c r="AF257" s="1788"/>
      <c r="AG257" s="1788"/>
      <c r="AH257" s="1788"/>
      <c r="AI257" s="1788"/>
      <c r="AJ257" s="1788"/>
      <c r="AK257" s="1788"/>
      <c r="AL257" s="3"/>
      <c r="AM257" s="3"/>
      <c r="AN257" s="3"/>
      <c r="AO257" s="3"/>
      <c r="AP257" s="3"/>
      <c r="AQ257" s="3"/>
      <c r="AR257" s="3"/>
      <c r="AS257" s="3"/>
      <c r="AT257" s="3"/>
      <c r="AU257" s="3"/>
      <c r="AV257" s="3"/>
      <c r="AW257" s="3"/>
      <c r="AX257" s="3"/>
      <c r="AY257" s="3"/>
      <c r="BN257" s="34"/>
    </row>
    <row r="258" spans="1:66"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15" customHeight="1">
      <c r="A259" s="13"/>
      <c r="B259" s="4"/>
      <c r="C259" s="56" t="s">
        <v>888</v>
      </c>
      <c r="D259" s="4" t="s">
        <v>540</v>
      </c>
      <c r="E259" s="4"/>
      <c r="F259" s="4"/>
      <c r="G259" s="4"/>
      <c r="H259" s="4"/>
      <c r="I259" s="4"/>
      <c r="J259" s="4"/>
      <c r="K259" s="4"/>
      <c r="L259" s="4"/>
      <c r="M259" s="1431" t="s">
        <v>2655</v>
      </c>
      <c r="N259" s="1432"/>
      <c r="O259" s="1432"/>
      <c r="P259" s="1432"/>
      <c r="Q259" s="1432"/>
      <c r="R259" s="1432"/>
      <c r="S259" s="1432"/>
      <c r="T259" s="1432"/>
      <c r="U259" s="1432"/>
      <c r="V259" s="1432"/>
      <c r="W259" s="1432"/>
      <c r="X259" s="1432"/>
      <c r="Y259" s="1432"/>
      <c r="Z259" s="1432"/>
      <c r="AA259" s="1432"/>
      <c r="AB259" s="1432"/>
      <c r="AC259" s="1432"/>
      <c r="AD259" s="1432"/>
      <c r="AE259" s="1432"/>
      <c r="AF259" s="1432" t="s">
        <v>2664</v>
      </c>
      <c r="AG259" s="1432"/>
      <c r="AH259" s="1432"/>
      <c r="AI259" s="1432"/>
      <c r="AJ259" s="1432"/>
      <c r="AK259" s="1432"/>
      <c r="AL259" s="3"/>
      <c r="AM259" s="3"/>
      <c r="AN259" s="3"/>
      <c r="AO259" s="3"/>
      <c r="AP259" s="3"/>
      <c r="AQ259" s="3"/>
      <c r="AR259" s="3"/>
      <c r="AS259" s="3"/>
      <c r="AT259" s="3"/>
      <c r="AU259" s="3"/>
      <c r="AV259" s="3"/>
      <c r="AW259" s="3"/>
      <c r="AX259" s="3"/>
      <c r="AY259" s="3"/>
      <c r="BN259" s="34"/>
    </row>
    <row r="260" spans="1:66" ht="13.15" customHeight="1">
      <c r="A260" s="13"/>
      <c r="B260" s="4"/>
      <c r="C260" s="4"/>
      <c r="D260" s="4" t="s">
        <v>85</v>
      </c>
      <c r="E260" s="4"/>
      <c r="F260" s="4"/>
      <c r="G260" s="4"/>
      <c r="H260" s="4"/>
      <c r="I260" s="4"/>
      <c r="J260" s="4"/>
      <c r="K260" s="4"/>
      <c r="L260" s="4"/>
      <c r="M260" s="1429" t="s">
        <v>2650</v>
      </c>
      <c r="N260" s="1429"/>
      <c r="O260" s="1429"/>
      <c r="P260" s="1429"/>
      <c r="Q260" s="1429"/>
      <c r="R260" s="1429"/>
      <c r="S260" s="1429"/>
      <c r="T260" s="1429"/>
      <c r="U260" s="1429"/>
      <c r="V260" s="1429"/>
      <c r="W260" s="1429"/>
      <c r="X260" s="1429"/>
      <c r="Y260" s="1429"/>
      <c r="Z260" s="1429"/>
      <c r="AA260" s="1429"/>
      <c r="AB260" s="1429"/>
      <c r="AC260" s="1429"/>
      <c r="AD260" s="1429"/>
      <c r="AE260" s="1429"/>
      <c r="AF260" s="3" t="s">
        <v>1285</v>
      </c>
      <c r="AL260" s="3"/>
      <c r="AM260" s="3"/>
      <c r="AN260" s="3"/>
      <c r="AO260" s="3"/>
      <c r="AP260" s="3"/>
      <c r="AQ260" s="3"/>
      <c r="AR260" s="3"/>
      <c r="AS260" s="3"/>
      <c r="AT260" s="3"/>
      <c r="AU260" s="3"/>
      <c r="AV260" s="3"/>
      <c r="AW260" s="3"/>
      <c r="AX260" s="3"/>
      <c r="AY260" s="3"/>
      <c r="BN260" s="34"/>
    </row>
    <row r="261" spans="1:66" ht="13.15" customHeight="1">
      <c r="A261" s="13"/>
      <c r="B261" s="4"/>
      <c r="C261" s="4"/>
      <c r="D261" s="4" t="s">
        <v>588</v>
      </c>
      <c r="E261" s="4"/>
      <c r="M261" s="1428" t="s">
        <v>502</v>
      </c>
      <c r="N261" s="1429"/>
      <c r="O261" s="1429"/>
      <c r="P261" s="1429"/>
      <c r="Q261" s="1429"/>
      <c r="R261" s="1429"/>
      <c r="S261" s="1429"/>
      <c r="T261" s="1429"/>
      <c r="V261" s="33" t="s">
        <v>86</v>
      </c>
      <c r="W261" s="1649" t="s">
        <v>2651</v>
      </c>
      <c r="X261" s="1451"/>
      <c r="Y261" s="4" t="s">
        <v>591</v>
      </c>
      <c r="AC261" s="1429">
        <v>90032</v>
      </c>
      <c r="AD261" s="1429"/>
      <c r="AE261" s="1429"/>
      <c r="AF261" s="3" t="s">
        <v>1286</v>
      </c>
      <c r="AL261" s="3"/>
      <c r="AM261" s="3"/>
      <c r="AN261" s="3"/>
      <c r="AO261" s="3"/>
      <c r="AP261" s="3"/>
      <c r="AQ261" s="3"/>
      <c r="AR261" s="3"/>
      <c r="AS261" s="3"/>
      <c r="AT261" s="3"/>
      <c r="AU261" s="3"/>
      <c r="AV261" s="3"/>
      <c r="AW261" s="3"/>
      <c r="AX261" s="3"/>
      <c r="AY261" s="3"/>
      <c r="BN261" s="34"/>
    </row>
    <row r="262" spans="1:66" ht="13.15" customHeight="1">
      <c r="A262" s="13"/>
      <c r="B262" s="4"/>
      <c r="C262" s="4"/>
      <c r="D262" s="4" t="s">
        <v>87</v>
      </c>
      <c r="E262" s="4"/>
      <c r="F262" s="4"/>
      <c r="G262" s="4"/>
      <c r="H262" s="4"/>
      <c r="I262" s="4"/>
      <c r="J262" s="4"/>
      <c r="K262" s="4"/>
      <c r="L262" s="19"/>
      <c r="M262" s="1429" t="s">
        <v>2652</v>
      </c>
      <c r="N262" s="1429"/>
      <c r="O262" s="1429"/>
      <c r="P262" s="1429"/>
      <c r="Q262" s="1429"/>
      <c r="R262" s="1429"/>
      <c r="S262" s="1429"/>
      <c r="T262" s="1429"/>
      <c r="U262" s="1429"/>
      <c r="V262" s="1429"/>
      <c r="W262" s="1429"/>
      <c r="X262" s="1429"/>
      <c r="Y262" s="1429"/>
      <c r="Z262" s="1429"/>
      <c r="AA262" s="1429"/>
      <c r="AB262" s="1429"/>
      <c r="AC262" s="1429"/>
      <c r="AD262" s="1429"/>
      <c r="AE262" s="1429"/>
      <c r="AH262" s="1783">
        <v>2.3999999999999998E-3</v>
      </c>
      <c r="AI262" s="1783"/>
      <c r="AJ262" s="1783"/>
      <c r="AK262" s="1783"/>
      <c r="AL262" s="3"/>
      <c r="AM262" s="3"/>
      <c r="AN262" s="3"/>
      <c r="AO262" s="3"/>
      <c r="AP262" s="3"/>
      <c r="AQ262" s="3"/>
      <c r="AR262" s="3"/>
      <c r="AS262" s="3"/>
      <c r="AT262" s="3"/>
      <c r="AU262" s="3"/>
      <c r="AV262" s="3"/>
      <c r="AW262" s="3"/>
      <c r="AX262" s="3"/>
      <c r="AY262" s="3"/>
      <c r="BN262" s="34"/>
    </row>
    <row r="263" spans="1:66" ht="13.15" customHeight="1">
      <c r="A263" s="13"/>
      <c r="B263" s="4"/>
      <c r="C263" s="4"/>
      <c r="D263" s="4" t="s">
        <v>88</v>
      </c>
      <c r="E263" s="4"/>
      <c r="F263" s="4"/>
      <c r="M263" s="1388" t="s">
        <v>2653</v>
      </c>
      <c r="N263" s="1388"/>
      <c r="O263" s="1388"/>
      <c r="P263" s="1388"/>
      <c r="Q263" s="1388"/>
      <c r="R263" s="1388"/>
      <c r="S263" s="4" t="s">
        <v>207</v>
      </c>
      <c r="T263" s="4"/>
      <c r="U263" s="1451"/>
      <c r="V263" s="1451"/>
      <c r="W263" s="1451"/>
      <c r="X263" s="4" t="s">
        <v>89</v>
      </c>
      <c r="Z263" s="1388"/>
      <c r="AA263" s="1388"/>
      <c r="AB263" s="1388"/>
      <c r="AC263" s="1388"/>
      <c r="AD263" s="1388"/>
      <c r="AE263" s="1388"/>
      <c r="AL263" s="3"/>
      <c r="AM263" s="3"/>
      <c r="AN263" s="3"/>
      <c r="AO263" s="3"/>
      <c r="AP263" s="3"/>
      <c r="AQ263" s="3"/>
      <c r="AR263" s="3"/>
      <c r="AS263" s="3"/>
      <c r="AT263" s="3"/>
      <c r="AU263" s="3"/>
      <c r="AV263" s="3"/>
      <c r="AW263" s="3"/>
      <c r="AX263" s="3"/>
      <c r="AY263" s="3"/>
      <c r="BN263" s="34"/>
    </row>
    <row r="264" spans="1:66" ht="13.15" customHeight="1">
      <c r="A264" s="13"/>
      <c r="B264" s="4"/>
      <c r="C264" s="4"/>
      <c r="D264" s="4" t="s">
        <v>90</v>
      </c>
      <c r="E264" s="4"/>
      <c r="F264" s="4"/>
      <c r="M264" s="1784" t="s">
        <v>2654</v>
      </c>
      <c r="N264" s="1784"/>
      <c r="O264" s="1784"/>
      <c r="P264" s="1784"/>
      <c r="Q264" s="1784"/>
      <c r="R264" s="1784"/>
      <c r="S264" s="1784"/>
      <c r="T264" s="1784"/>
      <c r="U264" s="1784"/>
      <c r="V264" s="1784"/>
      <c r="W264" s="1784"/>
      <c r="X264" s="1784"/>
      <c r="Y264" s="1784"/>
      <c r="Z264" s="1784"/>
      <c r="AA264" s="1813"/>
      <c r="AB264" s="1813"/>
      <c r="AC264" s="1813"/>
      <c r="AD264" s="1813"/>
      <c r="AE264" s="1813"/>
      <c r="AG264" s="4"/>
      <c r="AH264" s="4"/>
      <c r="AI264" s="4"/>
      <c r="AJ264" s="4"/>
      <c r="AK264" s="4"/>
      <c r="AL264" s="3"/>
      <c r="AM264" s="3"/>
      <c r="AN264" s="3"/>
      <c r="AO264" s="3"/>
      <c r="AP264" s="3"/>
      <c r="AQ264" s="3"/>
      <c r="AR264" s="3"/>
      <c r="AS264" s="3"/>
      <c r="AT264" s="3"/>
      <c r="AU264" s="3"/>
      <c r="AV264" s="3"/>
      <c r="AW264" s="3"/>
      <c r="AX264" s="3"/>
      <c r="AY264" s="3"/>
      <c r="BN264" s="34"/>
    </row>
    <row r="265" spans="1:66" ht="13.15" customHeight="1">
      <c r="A265" s="13"/>
      <c r="B265" s="4"/>
      <c r="C265" s="56"/>
      <c r="D265" s="4" t="s">
        <v>543</v>
      </c>
      <c r="E265" s="4"/>
      <c r="F265" s="4"/>
      <c r="G265" s="4"/>
      <c r="H265" s="4"/>
      <c r="I265" s="4"/>
      <c r="J265" s="4"/>
      <c r="K265" s="4"/>
      <c r="L265" s="4"/>
      <c r="M265" s="1438" t="s">
        <v>542</v>
      </c>
      <c r="N265" s="1438"/>
      <c r="O265" s="1438"/>
      <c r="P265" s="1438"/>
      <c r="Q265" s="1438"/>
      <c r="R265" s="1438"/>
      <c r="S265" s="1438"/>
      <c r="T265" s="1438"/>
      <c r="U265" s="218" t="s">
        <v>921</v>
      </c>
      <c r="V265" s="218"/>
      <c r="W265" s="218"/>
      <c r="X265" s="218"/>
      <c r="Y265" s="218"/>
      <c r="Z265" s="218"/>
      <c r="AA265" s="1781"/>
      <c r="AB265" s="1782"/>
      <c r="AC265" s="1782"/>
      <c r="AD265" s="1782"/>
      <c r="AE265" s="1782"/>
      <c r="AF265" s="1782"/>
      <c r="AG265" s="1782"/>
      <c r="AH265" s="1782"/>
      <c r="AI265" s="1782"/>
      <c r="AJ265" s="1782"/>
      <c r="AK265" s="1782"/>
      <c r="AL265" s="3"/>
      <c r="AM265" s="3"/>
      <c r="AN265" s="3"/>
      <c r="AO265" s="3"/>
      <c r="AP265" s="3"/>
      <c r="AQ265" s="3"/>
      <c r="AR265" s="3"/>
      <c r="AS265" s="3"/>
      <c r="AT265" s="3"/>
      <c r="BN265" s="34"/>
    </row>
    <row r="266" spans="1:66"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15" customHeight="1">
      <c r="A267" s="57" t="s">
        <v>598</v>
      </c>
      <c r="B267" s="4"/>
      <c r="C267" s="2" t="s">
        <v>296</v>
      </c>
      <c r="D267" s="4"/>
      <c r="E267" s="4"/>
      <c r="F267" s="4"/>
      <c r="G267" s="4"/>
      <c r="H267" s="4"/>
      <c r="I267" s="4"/>
      <c r="J267" s="4"/>
      <c r="K267" s="4"/>
      <c r="L267" s="4"/>
      <c r="M267" s="35"/>
      <c r="N267" s="35"/>
      <c r="O267" s="35"/>
      <c r="P267" s="35"/>
      <c r="Q267" s="35"/>
      <c r="T267" s="1814" t="str">
        <f>IFERROR(BO245,"")</f>
        <v>Joint Venture</v>
      </c>
      <c r="U267" s="1814"/>
      <c r="V267" s="1814"/>
      <c r="W267" s="1814"/>
      <c r="X267" s="1814"/>
      <c r="Z267" s="331" t="s">
        <v>973</v>
      </c>
      <c r="AA267" s="332"/>
      <c r="AB267" s="332"/>
      <c r="AC267" s="332"/>
      <c r="AD267" s="105"/>
      <c r="AE267" s="105"/>
      <c r="AF267" s="105"/>
      <c r="AG267" s="105"/>
      <c r="AH267" s="105"/>
      <c r="AI267" s="105"/>
      <c r="AJ267" s="105"/>
      <c r="AK267" s="333"/>
      <c r="AL267" s="58"/>
      <c r="BN267" s="34"/>
    </row>
    <row r="268" spans="1:66" ht="13.1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1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15" customHeight="1">
      <c r="A270" s="4"/>
      <c r="B270" s="36">
        <v>0</v>
      </c>
      <c r="D270" s="1429" t="s">
        <v>281</v>
      </c>
      <c r="E270" s="1429"/>
      <c r="F270" s="1429"/>
      <c r="G270" s="1429"/>
      <c r="H270" s="1429"/>
      <c r="J270" t="s">
        <v>280</v>
      </c>
      <c r="X270" s="1676"/>
      <c r="Y270" s="1676"/>
      <c r="Z270" s="1676"/>
      <c r="AA270" s="1676"/>
      <c r="AB270" s="1676"/>
      <c r="AC270" s="1676"/>
      <c r="AU270" s="3"/>
      <c r="AV270" s="3"/>
      <c r="AW270" s="3"/>
      <c r="AX270" s="3"/>
      <c r="AY270" s="3"/>
      <c r="BN270" s="34"/>
    </row>
    <row r="271" spans="1:66" ht="13.1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1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15" customHeight="1">
      <c r="D274" s="4" t="s">
        <v>297</v>
      </c>
      <c r="E274" s="4"/>
      <c r="F274" s="4"/>
      <c r="G274" s="4"/>
      <c r="H274" s="4"/>
      <c r="I274" s="4"/>
      <c r="J274" s="4"/>
      <c r="K274" s="4"/>
      <c r="L274" s="1432" t="s">
        <v>2665</v>
      </c>
      <c r="M274" s="1432"/>
      <c r="N274" s="1432"/>
      <c r="O274" s="1432"/>
      <c r="P274" s="1432"/>
      <c r="Q274" s="1432"/>
      <c r="R274" s="1432"/>
      <c r="S274" s="1432"/>
      <c r="T274" s="1432"/>
      <c r="U274" s="1432"/>
      <c r="V274" s="1432"/>
      <c r="W274" s="1432"/>
      <c r="X274" s="1432"/>
      <c r="Y274" s="1432"/>
      <c r="Z274" s="1432"/>
      <c r="AA274" s="1432"/>
      <c r="AB274" s="1432"/>
      <c r="AC274" s="1432"/>
      <c r="AD274" s="1432"/>
      <c r="AE274" s="1432"/>
      <c r="AF274" s="1432"/>
      <c r="AG274" s="1432"/>
      <c r="AH274" s="1432"/>
      <c r="AI274" s="1432"/>
      <c r="AJ274" s="1432"/>
      <c r="AK274" s="3"/>
      <c r="AL274" s="3"/>
      <c r="AM274" s="3"/>
      <c r="AN274" s="3"/>
      <c r="AO274" s="3"/>
      <c r="AP274" s="3"/>
      <c r="AQ274" s="3"/>
      <c r="AR274" s="3"/>
      <c r="AS274" s="3"/>
      <c r="AT274" s="3"/>
      <c r="AU274" s="3"/>
      <c r="AV274" s="3"/>
      <c r="AW274" s="3"/>
      <c r="AX274" s="3"/>
      <c r="AY274" s="3"/>
      <c r="BN274" s="34"/>
    </row>
    <row r="275" spans="1:66" ht="13.15" customHeight="1">
      <c r="D275" s="4" t="s">
        <v>85</v>
      </c>
      <c r="E275" s="4"/>
      <c r="F275" s="4"/>
      <c r="G275" s="4"/>
      <c r="H275" s="4"/>
      <c r="I275" s="4"/>
      <c r="J275" s="4"/>
      <c r="K275" s="4"/>
      <c r="L275" s="1429" t="str">
        <f>M244</f>
        <v>122 E 42nd Street, suite 1903</v>
      </c>
      <c r="M275" s="1429"/>
      <c r="N275" s="1429"/>
      <c r="O275" s="1429"/>
      <c r="P275" s="1429"/>
      <c r="Q275" s="1429"/>
      <c r="R275" s="1429"/>
      <c r="S275" s="1429"/>
      <c r="T275" s="1429"/>
      <c r="U275" s="1429"/>
      <c r="V275" s="1429"/>
      <c r="W275" s="1429"/>
      <c r="X275" s="1429"/>
      <c r="Y275" s="1429"/>
      <c r="Z275" s="1429"/>
      <c r="AA275" s="1429"/>
      <c r="AB275" s="1429"/>
      <c r="AC275" s="1429"/>
      <c r="AD275" s="1429"/>
      <c r="AK275" s="3"/>
      <c r="AL275" s="3"/>
      <c r="AM275" s="3"/>
      <c r="AN275" s="3"/>
      <c r="AO275" s="3"/>
      <c r="AP275" s="3"/>
      <c r="AQ275" s="3"/>
      <c r="AR275" s="3"/>
      <c r="AS275" s="3"/>
      <c r="AT275" s="3"/>
      <c r="AU275" s="3"/>
      <c r="AV275" s="3"/>
      <c r="AW275" s="3"/>
      <c r="AX275" s="3"/>
      <c r="AY275" s="3"/>
      <c r="BN275" s="34"/>
    </row>
    <row r="276" spans="1:66" ht="13.15" customHeight="1">
      <c r="D276" s="4" t="s">
        <v>588</v>
      </c>
      <c r="E276" s="4"/>
      <c r="L276" s="1428" t="s">
        <v>2658</v>
      </c>
      <c r="M276" s="1429"/>
      <c r="N276" s="1429"/>
      <c r="O276" s="1429"/>
      <c r="P276" s="1429"/>
      <c r="Q276" s="1429"/>
      <c r="R276" s="1429"/>
      <c r="S276" s="1429"/>
      <c r="U276" s="33" t="s">
        <v>86</v>
      </c>
      <c r="V276" s="1649" t="s">
        <v>2659</v>
      </c>
      <c r="W276" s="1451"/>
      <c r="X276" s="4" t="s">
        <v>591</v>
      </c>
      <c r="AB276" s="1429">
        <v>10168</v>
      </c>
      <c r="AC276" s="1429"/>
      <c r="AD276" s="1429"/>
      <c r="AK276" s="3"/>
      <c r="AL276" s="3"/>
      <c r="AM276" s="3"/>
      <c r="AN276" s="3"/>
      <c r="AO276" s="3"/>
      <c r="AP276" s="3"/>
      <c r="AQ276" s="3"/>
      <c r="AR276" s="3"/>
      <c r="AS276" s="3"/>
      <c r="AT276" s="3"/>
      <c r="AU276" s="3"/>
      <c r="AV276" s="3"/>
      <c r="AW276" s="3"/>
      <c r="AX276" s="3"/>
      <c r="AY276" s="3"/>
      <c r="BN276" s="34"/>
    </row>
    <row r="277" spans="1:66" ht="13.15" customHeight="1">
      <c r="D277" s="4" t="s">
        <v>87</v>
      </c>
      <c r="E277" s="4"/>
      <c r="F277" s="4"/>
      <c r="G277" s="4"/>
      <c r="H277" s="4"/>
      <c r="I277" s="4"/>
      <c r="J277" s="4"/>
      <c r="K277" s="19"/>
      <c r="L277" s="1428" t="s">
        <v>2666</v>
      </c>
      <c r="M277" s="1429"/>
      <c r="N277" s="1429"/>
      <c r="O277" s="1429"/>
      <c r="P277" s="1429"/>
      <c r="Q277" s="1429"/>
      <c r="R277" s="1429"/>
      <c r="S277" s="1429"/>
      <c r="T277" s="1429"/>
      <c r="U277" s="1429"/>
      <c r="V277" s="1429"/>
      <c r="W277" s="1429"/>
      <c r="X277" s="1429"/>
      <c r="Y277" s="1429"/>
      <c r="Z277" s="1429"/>
      <c r="AA277" s="1429"/>
      <c r="AB277" s="1429"/>
      <c r="AC277" s="1429"/>
      <c r="AD277" s="1429"/>
      <c r="AI277" s="4"/>
      <c r="AJ277" s="4"/>
      <c r="AK277" s="3"/>
      <c r="AL277" s="3"/>
      <c r="AM277" s="3"/>
      <c r="AN277" s="3"/>
      <c r="AO277" s="3"/>
      <c r="AP277" s="3"/>
      <c r="AQ277" s="3"/>
      <c r="AR277" s="3"/>
      <c r="AS277" s="3"/>
      <c r="AT277" s="3"/>
      <c r="BN277" s="34"/>
    </row>
    <row r="278" spans="1:66" ht="13.15" customHeight="1">
      <c r="D278" s="4" t="s">
        <v>88</v>
      </c>
      <c r="E278" s="4"/>
      <c r="F278" s="4"/>
      <c r="L278" s="1388" t="s">
        <v>2667</v>
      </c>
      <c r="M278" s="1388"/>
      <c r="N278" s="1388"/>
      <c r="O278" s="1388"/>
      <c r="P278" s="1388"/>
      <c r="Q278" s="1388"/>
      <c r="R278" s="4" t="s">
        <v>207</v>
      </c>
      <c r="S278" s="4"/>
      <c r="T278" s="1451"/>
      <c r="U278" s="1451"/>
      <c r="V278" s="1451"/>
      <c r="W278" s="4" t="s">
        <v>89</v>
      </c>
      <c r="Y278" s="1388"/>
      <c r="Z278" s="1388"/>
      <c r="AA278" s="1388"/>
      <c r="AB278" s="1388"/>
      <c r="AC278" s="1388"/>
      <c r="AD278" s="1388"/>
      <c r="BN278" s="34"/>
    </row>
    <row r="279" spans="1:66" ht="13.15" customHeight="1">
      <c r="D279" s="4" t="s">
        <v>90</v>
      </c>
      <c r="E279" s="4"/>
      <c r="F279" s="4"/>
      <c r="L279" s="1784" t="s">
        <v>2668</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c r="BN279" s="34"/>
    </row>
    <row r="280" spans="1:66" ht="13.15" customHeight="1">
      <c r="D280" s="3" t="s">
        <v>631</v>
      </c>
      <c r="E280" s="3"/>
      <c r="F280" s="3"/>
      <c r="G280" s="3"/>
      <c r="H280" s="3"/>
      <c r="I280" s="3"/>
      <c r="L280" s="1649" t="s">
        <v>2669</v>
      </c>
      <c r="M280" s="1649"/>
      <c r="N280" s="1649"/>
      <c r="O280" s="1649"/>
      <c r="P280" s="1649"/>
      <c r="Q280" s="1649"/>
      <c r="R280" s="1649"/>
      <c r="S280" s="1649"/>
      <c r="T280" s="1649"/>
      <c r="U280" s="1649"/>
      <c r="V280" s="1649"/>
      <c r="W280" s="1649"/>
      <c r="X280" s="1649"/>
      <c r="Y280" s="1649"/>
      <c r="Z280" s="1649"/>
      <c r="AA280" s="1649"/>
      <c r="AB280" s="1649"/>
      <c r="AC280" s="1649"/>
      <c r="AD280" s="1649"/>
      <c r="AK280" s="3"/>
      <c r="AL280" s="3"/>
      <c r="AM280" s="3"/>
      <c r="AN280" s="3"/>
      <c r="AO280" s="3"/>
      <c r="AP280" s="3"/>
      <c r="AQ280" s="3"/>
      <c r="AR280" s="3"/>
      <c r="AS280" s="3"/>
      <c r="AT280" s="3"/>
      <c r="BN280" s="34"/>
    </row>
    <row r="281" spans="1:66" ht="13.15" customHeight="1">
      <c r="L281" s="22" t="s">
        <v>632</v>
      </c>
      <c r="AU281" s="95"/>
      <c r="AV281" s="95"/>
      <c r="AW281" s="95"/>
      <c r="AX281" s="95"/>
      <c r="AY281" s="95"/>
      <c r="BN281" s="34"/>
    </row>
    <row r="282" spans="1:66" ht="13.15" customHeight="1">
      <c r="A282" s="1439" t="s">
        <v>549</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3.1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1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15" customHeight="1">
      <c r="B287" s="3" t="s">
        <v>634</v>
      </c>
      <c r="C287" s="3"/>
      <c r="D287" s="3"/>
      <c r="E287" s="3"/>
      <c r="F287" s="3"/>
      <c r="H287" s="1368" t="s">
        <v>2665</v>
      </c>
      <c r="I287" s="1368"/>
      <c r="J287" s="1368"/>
      <c r="K287" s="1368"/>
      <c r="L287" s="1368"/>
      <c r="M287" s="1368"/>
      <c r="N287" s="1368"/>
      <c r="O287" s="1368"/>
      <c r="P287" s="1368"/>
      <c r="Q287" s="1368"/>
      <c r="R287" s="1368"/>
      <c r="T287" s="3" t="s">
        <v>575</v>
      </c>
      <c r="V287" s="3"/>
      <c r="W287" s="3"/>
      <c r="X287" s="3"/>
      <c r="Y287" s="3"/>
      <c r="AA287" s="1368" t="s">
        <v>2708</v>
      </c>
      <c r="AB287" s="1368"/>
      <c r="AC287" s="1368"/>
      <c r="AD287" s="1368"/>
      <c r="AE287" s="1368"/>
      <c r="AF287" s="1368"/>
      <c r="AG287" s="1368"/>
      <c r="AH287" s="1368"/>
      <c r="AI287" s="1368"/>
      <c r="AJ287" s="1368"/>
      <c r="AK287" s="1368"/>
      <c r="BN287" s="34"/>
    </row>
    <row r="288" spans="1:66" ht="13.15" customHeight="1">
      <c r="B288" s="3" t="s">
        <v>479</v>
      </c>
      <c r="C288" s="3"/>
      <c r="D288" s="3"/>
      <c r="E288" s="3"/>
      <c r="F288" s="3"/>
      <c r="H288" s="1438" t="s">
        <v>2657</v>
      </c>
      <c r="I288" s="1438"/>
      <c r="J288" s="1438"/>
      <c r="K288" s="1438"/>
      <c r="L288" s="1438"/>
      <c r="M288" s="1438"/>
      <c r="N288" s="1438"/>
      <c r="O288" s="1438"/>
      <c r="P288" s="1438"/>
      <c r="Q288" s="1438"/>
      <c r="R288" s="1438"/>
      <c r="T288" s="3" t="s">
        <v>479</v>
      </c>
      <c r="V288" s="3"/>
      <c r="W288" s="3"/>
      <c r="X288" s="3"/>
      <c r="Y288" s="3"/>
      <c r="AA288" s="1438" t="s">
        <v>2733</v>
      </c>
      <c r="AB288" s="1438"/>
      <c r="AC288" s="1438"/>
      <c r="AD288" s="1438"/>
      <c r="AE288" s="1438"/>
      <c r="AF288" s="1438"/>
      <c r="AG288" s="1438"/>
      <c r="AH288" s="1438"/>
      <c r="AI288" s="1438"/>
      <c r="AJ288" s="1438"/>
      <c r="AK288" s="1438"/>
      <c r="BN288" s="34"/>
    </row>
    <row r="289" spans="2:66" ht="13.15" customHeight="1">
      <c r="B289" s="3" t="s">
        <v>480</v>
      </c>
      <c r="C289" s="3"/>
      <c r="D289" s="3"/>
      <c r="E289" s="3"/>
      <c r="F289" s="3"/>
      <c r="H289" s="1438" t="s">
        <v>2670</v>
      </c>
      <c r="I289" s="1438"/>
      <c r="J289" s="1438"/>
      <c r="K289" s="1438"/>
      <c r="L289" s="1438"/>
      <c r="M289" s="1438"/>
      <c r="N289" s="1438"/>
      <c r="O289" s="1438"/>
      <c r="P289" s="1438"/>
      <c r="Q289" s="1438"/>
      <c r="R289" s="1438"/>
      <c r="T289" s="3" t="s">
        <v>75</v>
      </c>
      <c r="V289" s="3"/>
      <c r="W289" s="3"/>
      <c r="X289" s="3"/>
      <c r="Y289" s="3"/>
      <c r="AA289" s="1438" t="s">
        <v>2734</v>
      </c>
      <c r="AB289" s="1438"/>
      <c r="AC289" s="1438"/>
      <c r="AD289" s="1438"/>
      <c r="AE289" s="1438"/>
      <c r="AF289" s="1438"/>
      <c r="AG289" s="1438"/>
      <c r="AH289" s="1438"/>
      <c r="AI289" s="1438"/>
      <c r="AJ289" s="1438"/>
      <c r="AK289" s="1438"/>
      <c r="BN289" s="34"/>
    </row>
    <row r="290" spans="2:66" ht="13.15" customHeight="1">
      <c r="B290" s="3" t="s">
        <v>87</v>
      </c>
      <c r="C290" s="3"/>
      <c r="D290" s="3"/>
      <c r="E290" s="3"/>
      <c r="F290" s="3"/>
      <c r="H290" s="1438" t="s">
        <v>2660</v>
      </c>
      <c r="I290" s="1438"/>
      <c r="J290" s="1438"/>
      <c r="K290" s="1438"/>
      <c r="L290" s="1438"/>
      <c r="M290" s="1438"/>
      <c r="N290" s="1438"/>
      <c r="O290" s="1438"/>
      <c r="P290" s="1438"/>
      <c r="Q290" s="1438"/>
      <c r="R290" s="1438"/>
      <c r="T290" s="3" t="s">
        <v>87</v>
      </c>
      <c r="V290" s="3"/>
      <c r="W290" s="3"/>
      <c r="X290" s="3"/>
      <c r="Y290" s="3"/>
      <c r="AA290" s="1438" t="s">
        <v>2735</v>
      </c>
      <c r="AB290" s="1438"/>
      <c r="AC290" s="1438"/>
      <c r="AD290" s="1438"/>
      <c r="AE290" s="1438"/>
      <c r="AF290" s="1438"/>
      <c r="AG290" s="1438"/>
      <c r="AH290" s="1438"/>
      <c r="AI290" s="1438"/>
      <c r="AJ290" s="1438"/>
      <c r="AK290" s="1438"/>
      <c r="BN290" s="34"/>
    </row>
    <row r="291" spans="2:66" ht="13.15" customHeight="1">
      <c r="B291" s="3" t="s">
        <v>88</v>
      </c>
      <c r="C291" s="3"/>
      <c r="D291" s="3"/>
      <c r="E291" s="3"/>
      <c r="F291" s="3"/>
      <c r="G291" s="3"/>
      <c r="H291" s="1440" t="s">
        <v>2661</v>
      </c>
      <c r="I291" s="1440"/>
      <c r="J291" s="1440"/>
      <c r="K291" s="1440"/>
      <c r="L291" s="1440"/>
      <c r="M291" s="1440"/>
      <c r="N291" s="4" t="s">
        <v>207</v>
      </c>
      <c r="O291" s="4"/>
      <c r="P291" s="1429"/>
      <c r="Q291" s="1429"/>
      <c r="R291" s="1429"/>
      <c r="S291" s="3"/>
      <c r="T291" s="3" t="s">
        <v>88</v>
      </c>
      <c r="V291" s="3"/>
      <c r="W291" s="3"/>
      <c r="X291" s="3"/>
      <c r="Y291" s="3"/>
      <c r="AA291" s="1780" t="s">
        <v>2736</v>
      </c>
      <c r="AB291" s="1440"/>
      <c r="AC291" s="1440"/>
      <c r="AD291" s="1440"/>
      <c r="AE291" s="1440"/>
      <c r="AF291" s="1440"/>
      <c r="AG291" s="4" t="s">
        <v>207</v>
      </c>
      <c r="AH291" s="4"/>
      <c r="AI291" s="1429"/>
      <c r="AJ291" s="1429"/>
      <c r="AK291" s="1429"/>
      <c r="BN291" s="34"/>
    </row>
    <row r="292" spans="2:66" ht="13.15" customHeight="1">
      <c r="B292" s="3" t="s">
        <v>89</v>
      </c>
      <c r="C292" s="3"/>
      <c r="D292" s="3"/>
      <c r="E292" s="3"/>
      <c r="F292" s="3"/>
      <c r="G292" s="3"/>
      <c r="H292" s="1388"/>
      <c r="I292" s="1388"/>
      <c r="J292" s="1388"/>
      <c r="K292" s="1388"/>
      <c r="L292" s="1388"/>
      <c r="M292" s="1388"/>
      <c r="N292" s="4"/>
      <c r="O292" s="4"/>
      <c r="P292" s="35"/>
      <c r="Q292" s="35"/>
      <c r="R292" s="35"/>
      <c r="S292" s="3"/>
      <c r="T292" s="3" t="s">
        <v>89</v>
      </c>
      <c r="V292" s="3"/>
      <c r="W292" s="3"/>
      <c r="X292" s="3"/>
      <c r="Y292" s="3"/>
      <c r="AA292" s="1388"/>
      <c r="AB292" s="1388"/>
      <c r="AC292" s="1388"/>
      <c r="AD292" s="1388"/>
      <c r="AE292" s="1388"/>
      <c r="AF292" s="1388"/>
      <c r="AG292" s="4"/>
      <c r="AH292" s="4"/>
      <c r="AI292" s="35"/>
      <c r="AJ292" s="35"/>
      <c r="AK292" s="35"/>
      <c r="BN292" s="34"/>
    </row>
    <row r="293" spans="2:66" ht="13.15" customHeight="1">
      <c r="B293" s="3" t="s">
        <v>76</v>
      </c>
      <c r="C293" s="3"/>
      <c r="D293" s="3"/>
      <c r="E293" s="3"/>
      <c r="F293" s="3"/>
      <c r="G293" s="3"/>
      <c r="H293" s="1438" t="s">
        <v>2662</v>
      </c>
      <c r="I293" s="1438"/>
      <c r="J293" s="1438"/>
      <c r="K293" s="1438"/>
      <c r="L293" s="1438"/>
      <c r="M293" s="1438"/>
      <c r="N293" s="1368"/>
      <c r="O293" s="1368"/>
      <c r="P293" s="1368"/>
      <c r="Q293" s="1368"/>
      <c r="R293" s="1368"/>
      <c r="S293" s="3"/>
      <c r="T293" s="3" t="s">
        <v>76</v>
      </c>
      <c r="V293" s="3"/>
      <c r="W293" s="3"/>
      <c r="X293" s="3"/>
      <c r="Y293" s="3"/>
      <c r="AA293" s="1438" t="s">
        <v>2737</v>
      </c>
      <c r="AB293" s="1438"/>
      <c r="AC293" s="1438"/>
      <c r="AD293" s="1438"/>
      <c r="AE293" s="1438"/>
      <c r="AF293" s="1438"/>
      <c r="AG293" s="1368"/>
      <c r="AH293" s="1368"/>
      <c r="AI293" s="1368"/>
      <c r="AJ293" s="1368"/>
      <c r="AK293" s="1368"/>
      <c r="BN293" s="34"/>
    </row>
    <row r="294" spans="2:66"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15" customHeight="1">
      <c r="B295" s="3" t="s">
        <v>324</v>
      </c>
      <c r="C295" s="3"/>
      <c r="D295" s="3"/>
      <c r="E295" s="3"/>
      <c r="F295" s="3"/>
      <c r="H295" s="1368" t="s">
        <v>2671</v>
      </c>
      <c r="I295" s="1368"/>
      <c r="J295" s="1368"/>
      <c r="K295" s="1368"/>
      <c r="L295" s="1368"/>
      <c r="M295" s="1368"/>
      <c r="N295" s="1368"/>
      <c r="O295" s="1368"/>
      <c r="P295" s="1368"/>
      <c r="Q295" s="1368"/>
      <c r="R295" s="1368"/>
      <c r="T295" s="3" t="s">
        <v>365</v>
      </c>
      <c r="V295" s="3"/>
      <c r="W295" s="3"/>
      <c r="X295" s="3"/>
      <c r="Y295" s="3"/>
      <c r="AA295" s="1368" t="s">
        <v>2677</v>
      </c>
      <c r="AB295" s="1368"/>
      <c r="AC295" s="1368"/>
      <c r="AD295" s="1368"/>
      <c r="AE295" s="1368"/>
      <c r="AF295" s="1368"/>
      <c r="AG295" s="1368"/>
      <c r="AH295" s="1368"/>
      <c r="AI295" s="1368"/>
      <c r="AJ295" s="1368"/>
      <c r="AK295" s="1368"/>
      <c r="BN295" s="34"/>
    </row>
    <row r="296" spans="2:66" ht="13.15" customHeight="1">
      <c r="B296" s="3" t="s">
        <v>479</v>
      </c>
      <c r="C296" s="3"/>
      <c r="D296" s="3"/>
      <c r="E296" s="3"/>
      <c r="F296" s="3"/>
      <c r="H296" s="1438" t="s">
        <v>2672</v>
      </c>
      <c r="I296" s="1438"/>
      <c r="J296" s="1438"/>
      <c r="K296" s="1438"/>
      <c r="L296" s="1438"/>
      <c r="M296" s="1438"/>
      <c r="N296" s="1438"/>
      <c r="O296" s="1438"/>
      <c r="P296" s="1438"/>
      <c r="Q296" s="1438"/>
      <c r="R296" s="1438"/>
      <c r="T296" s="3" t="s">
        <v>479</v>
      </c>
      <c r="V296" s="3"/>
      <c r="W296" s="3"/>
      <c r="X296" s="3"/>
      <c r="Y296" s="3"/>
      <c r="AA296" s="1438" t="s">
        <v>2678</v>
      </c>
      <c r="AB296" s="1438"/>
      <c r="AC296" s="1438"/>
      <c r="AD296" s="1438"/>
      <c r="AE296" s="1438"/>
      <c r="AF296" s="1438"/>
      <c r="AG296" s="1438"/>
      <c r="AH296" s="1438"/>
      <c r="AI296" s="1438"/>
      <c r="AJ296" s="1438"/>
      <c r="AK296" s="1438"/>
      <c r="BN296" s="34"/>
    </row>
    <row r="297" spans="2:66" ht="13.15" customHeight="1">
      <c r="B297" s="3" t="s">
        <v>480</v>
      </c>
      <c r="C297" s="3"/>
      <c r="D297" s="3"/>
      <c r="E297" s="3"/>
      <c r="F297" s="3"/>
      <c r="H297" s="1438" t="s">
        <v>2673</v>
      </c>
      <c r="I297" s="1438"/>
      <c r="J297" s="1438"/>
      <c r="K297" s="1438"/>
      <c r="L297" s="1438"/>
      <c r="M297" s="1438"/>
      <c r="N297" s="1438"/>
      <c r="O297" s="1438"/>
      <c r="P297" s="1438"/>
      <c r="Q297" s="1438"/>
      <c r="R297" s="1438"/>
      <c r="T297" s="3" t="s">
        <v>75</v>
      </c>
      <c r="V297" s="3"/>
      <c r="W297" s="3"/>
      <c r="X297" s="3"/>
      <c r="Y297" s="3"/>
      <c r="AA297" s="1438" t="s">
        <v>2679</v>
      </c>
      <c r="AB297" s="1438"/>
      <c r="AC297" s="1438"/>
      <c r="AD297" s="1438"/>
      <c r="AE297" s="1438"/>
      <c r="AF297" s="1438"/>
      <c r="AG297" s="1438"/>
      <c r="AH297" s="1438"/>
      <c r="AI297" s="1438"/>
      <c r="AJ297" s="1438"/>
      <c r="AK297" s="1438"/>
      <c r="BN297" s="34"/>
    </row>
    <row r="298" spans="2:66" ht="13.15" customHeight="1">
      <c r="B298" s="3" t="s">
        <v>87</v>
      </c>
      <c r="C298" s="3"/>
      <c r="D298" s="3"/>
      <c r="E298" s="3"/>
      <c r="F298" s="3"/>
      <c r="H298" s="1438" t="s">
        <v>2674</v>
      </c>
      <c r="I298" s="1438"/>
      <c r="J298" s="1438"/>
      <c r="K298" s="1438"/>
      <c r="L298" s="1438"/>
      <c r="M298" s="1438"/>
      <c r="N298" s="1438"/>
      <c r="O298" s="1438"/>
      <c r="P298" s="1438"/>
      <c r="Q298" s="1438"/>
      <c r="R298" s="1438"/>
      <c r="T298" s="3" t="s">
        <v>87</v>
      </c>
      <c r="V298" s="3"/>
      <c r="W298" s="3"/>
      <c r="X298" s="3"/>
      <c r="Y298" s="3"/>
      <c r="AA298" s="1438" t="s">
        <v>2680</v>
      </c>
      <c r="AB298" s="1438"/>
      <c r="AC298" s="1438"/>
      <c r="AD298" s="1438"/>
      <c r="AE298" s="1438"/>
      <c r="AF298" s="1438"/>
      <c r="AG298" s="1438"/>
      <c r="AH298" s="1438"/>
      <c r="AI298" s="1438"/>
      <c r="AJ298" s="1438"/>
      <c r="AK298" s="1438"/>
      <c r="BN298" s="34"/>
    </row>
    <row r="299" spans="2:66" ht="13.15" customHeight="1">
      <c r="B299" s="3" t="s">
        <v>88</v>
      </c>
      <c r="C299" s="3"/>
      <c r="D299" s="3"/>
      <c r="E299" s="3"/>
      <c r="F299" s="3"/>
      <c r="G299" s="3"/>
      <c r="H299" s="1440" t="s">
        <v>2675</v>
      </c>
      <c r="I299" s="1440"/>
      <c r="J299" s="1440"/>
      <c r="K299" s="1440"/>
      <c r="L299" s="1440"/>
      <c r="M299" s="1440"/>
      <c r="N299" s="4" t="s">
        <v>207</v>
      </c>
      <c r="O299" s="4"/>
      <c r="P299" s="1429"/>
      <c r="Q299" s="1429"/>
      <c r="R299" s="1429"/>
      <c r="S299" s="3"/>
      <c r="T299" s="3" t="s">
        <v>88</v>
      </c>
      <c r="V299" s="3"/>
      <c r="W299" s="3"/>
      <c r="X299" s="3"/>
      <c r="Y299" s="3"/>
      <c r="AA299" s="1440" t="s">
        <v>2681</v>
      </c>
      <c r="AB299" s="1440"/>
      <c r="AC299" s="1440"/>
      <c r="AD299" s="1440"/>
      <c r="AE299" s="1440"/>
      <c r="AF299" s="1440"/>
      <c r="AG299" s="4" t="s">
        <v>207</v>
      </c>
      <c r="AH299" s="4"/>
      <c r="AI299" s="1429"/>
      <c r="AJ299" s="1429"/>
      <c r="AK299" s="1429"/>
      <c r="BN299" s="34"/>
    </row>
    <row r="300" spans="2:66" ht="13.15" customHeight="1">
      <c r="B300" s="3" t="s">
        <v>89</v>
      </c>
      <c r="C300" s="3"/>
      <c r="D300" s="3"/>
      <c r="E300" s="3"/>
      <c r="F300" s="3"/>
      <c r="G300" s="3"/>
      <c r="H300" s="1388"/>
      <c r="I300" s="1388"/>
      <c r="J300" s="1388"/>
      <c r="K300" s="1388"/>
      <c r="L300" s="1388"/>
      <c r="M300" s="1388"/>
      <c r="N300" s="4"/>
      <c r="O300" s="4"/>
      <c r="P300" s="35"/>
      <c r="Q300" s="35"/>
      <c r="R300" s="35"/>
      <c r="S300" s="3"/>
      <c r="T300" s="3" t="s">
        <v>89</v>
      </c>
      <c r="V300" s="3"/>
      <c r="W300" s="3"/>
      <c r="X300" s="3"/>
      <c r="Y300" s="3"/>
      <c r="AA300" s="1388"/>
      <c r="AB300" s="1388"/>
      <c r="AC300" s="1388"/>
      <c r="AD300" s="1388"/>
      <c r="AE300" s="1388"/>
      <c r="AF300" s="1388"/>
      <c r="AG300" s="4"/>
      <c r="AH300" s="4"/>
      <c r="AI300" s="35"/>
      <c r="AJ300" s="35"/>
      <c r="AK300" s="35"/>
      <c r="BN300" s="34"/>
    </row>
    <row r="301" spans="2:66" ht="13.15" customHeight="1">
      <c r="B301" s="3" t="s">
        <v>76</v>
      </c>
      <c r="C301" s="3"/>
      <c r="D301" s="3"/>
      <c r="E301" s="3"/>
      <c r="F301" s="3"/>
      <c r="G301" s="3"/>
      <c r="H301" s="1438" t="s">
        <v>2676</v>
      </c>
      <c r="I301" s="1438"/>
      <c r="J301" s="1438"/>
      <c r="K301" s="1438"/>
      <c r="L301" s="1438"/>
      <c r="M301" s="1438"/>
      <c r="N301" s="1368"/>
      <c r="O301" s="1368"/>
      <c r="P301" s="1368"/>
      <c r="Q301" s="1368"/>
      <c r="R301" s="1368"/>
      <c r="S301" s="3"/>
      <c r="T301" s="3" t="s">
        <v>76</v>
      </c>
      <c r="V301" s="3"/>
      <c r="W301" s="3"/>
      <c r="X301" s="3"/>
      <c r="Y301" s="3"/>
      <c r="AA301" s="1438" t="s">
        <v>2682</v>
      </c>
      <c r="AB301" s="1438"/>
      <c r="AC301" s="1438"/>
      <c r="AD301" s="1438"/>
      <c r="AE301" s="1438"/>
      <c r="AF301" s="1438"/>
      <c r="AG301" s="1368"/>
      <c r="AH301" s="1368"/>
      <c r="AI301" s="1368"/>
      <c r="AJ301" s="1368"/>
      <c r="AK301" s="1368"/>
      <c r="BN301" s="34"/>
    </row>
    <row r="302" spans="2:66" ht="13.15" customHeight="1">
      <c r="BN302" s="34"/>
    </row>
    <row r="303" spans="2:66" ht="13.15" customHeight="1">
      <c r="B303" s="3" t="s">
        <v>77</v>
      </c>
      <c r="C303" s="3"/>
      <c r="D303" s="3"/>
      <c r="E303" s="3"/>
      <c r="F303" s="3"/>
      <c r="H303" s="1368" t="str">
        <f>H295</f>
        <v>Hobson Bernardino + Davis LLP</v>
      </c>
      <c r="I303" s="1368"/>
      <c r="J303" s="1368"/>
      <c r="K303" s="1368"/>
      <c r="L303" s="1368"/>
      <c r="M303" s="1368"/>
      <c r="N303" s="1368"/>
      <c r="O303" s="1368"/>
      <c r="P303" s="1368"/>
      <c r="Q303" s="1368"/>
      <c r="R303" s="1368"/>
      <c r="T303" s="4" t="s">
        <v>890</v>
      </c>
      <c r="V303" s="3"/>
      <c r="W303" s="3"/>
      <c r="X303" s="3"/>
      <c r="Y303" s="3"/>
      <c r="AA303" s="1368" t="s">
        <v>2683</v>
      </c>
      <c r="AB303" s="1368"/>
      <c r="AC303" s="1368"/>
      <c r="AD303" s="1368"/>
      <c r="AE303" s="1368"/>
      <c r="AF303" s="1368"/>
      <c r="AG303" s="1368"/>
      <c r="AH303" s="1368"/>
      <c r="AI303" s="1368"/>
      <c r="AJ303" s="1368"/>
      <c r="AK303" s="1368"/>
      <c r="BN303" s="34"/>
    </row>
    <row r="304" spans="2:66" ht="13.15" customHeight="1">
      <c r="B304" s="3" t="s">
        <v>479</v>
      </c>
      <c r="C304" s="3"/>
      <c r="D304" s="3"/>
      <c r="E304" s="3"/>
      <c r="F304" s="3"/>
      <c r="H304" s="1438" t="str">
        <f>H296</f>
        <v>6060 Center Drive, Floor 10</v>
      </c>
      <c r="I304" s="1438"/>
      <c r="J304" s="1438"/>
      <c r="K304" s="1438"/>
      <c r="L304" s="1438"/>
      <c r="M304" s="1438"/>
      <c r="N304" s="1438"/>
      <c r="O304" s="1438"/>
      <c r="P304" s="1438"/>
      <c r="Q304" s="1438"/>
      <c r="R304" s="1438"/>
      <c r="T304" s="3" t="s">
        <v>479</v>
      </c>
      <c r="V304" s="3"/>
      <c r="W304" s="3"/>
      <c r="X304" s="3"/>
      <c r="Y304" s="3"/>
      <c r="AA304" s="1438" t="s">
        <v>2684</v>
      </c>
      <c r="AB304" s="1438"/>
      <c r="AC304" s="1438"/>
      <c r="AD304" s="1438"/>
      <c r="AE304" s="1438"/>
      <c r="AF304" s="1438"/>
      <c r="AG304" s="1438"/>
      <c r="AH304" s="1438"/>
      <c r="AI304" s="1438"/>
      <c r="AJ304" s="1438"/>
      <c r="AK304" s="1438"/>
      <c r="BN304" s="34"/>
    </row>
    <row r="305" spans="2:66" ht="13.15" customHeight="1">
      <c r="B305" s="3" t="s">
        <v>480</v>
      </c>
      <c r="C305" s="3"/>
      <c r="D305" s="3"/>
      <c r="E305" s="3"/>
      <c r="F305" s="3"/>
      <c r="H305" s="1438" t="str">
        <f>H297</f>
        <v>Los Angeles, CA 90045</v>
      </c>
      <c r="I305" s="1438"/>
      <c r="J305" s="1438"/>
      <c r="K305" s="1438"/>
      <c r="L305" s="1438"/>
      <c r="M305" s="1438"/>
      <c r="N305" s="1438"/>
      <c r="O305" s="1438"/>
      <c r="P305" s="1438"/>
      <c r="Q305" s="1438"/>
      <c r="R305" s="1438"/>
      <c r="T305" s="3" t="s">
        <v>75</v>
      </c>
      <c r="V305" s="3"/>
      <c r="W305" s="3"/>
      <c r="X305" s="3"/>
      <c r="Y305" s="3"/>
      <c r="AA305" s="1438" t="s">
        <v>2685</v>
      </c>
      <c r="AB305" s="1438"/>
      <c r="AC305" s="1438"/>
      <c r="AD305" s="1438"/>
      <c r="AE305" s="1438"/>
      <c r="AF305" s="1438"/>
      <c r="AG305" s="1438"/>
      <c r="AH305" s="1438"/>
      <c r="AI305" s="1438"/>
      <c r="AJ305" s="1438"/>
      <c r="AK305" s="1438"/>
      <c r="BN305" s="34"/>
    </row>
    <row r="306" spans="2:66" ht="13.15" customHeight="1">
      <c r="B306" s="3" t="s">
        <v>87</v>
      </c>
      <c r="C306" s="3"/>
      <c r="D306" s="3"/>
      <c r="E306" s="3"/>
      <c r="F306" s="3"/>
      <c r="H306" s="1438" t="str">
        <f>H298</f>
        <v>Jason Hobson</v>
      </c>
      <c r="I306" s="1438"/>
      <c r="J306" s="1438"/>
      <c r="K306" s="1438"/>
      <c r="L306" s="1438"/>
      <c r="M306" s="1438"/>
      <c r="N306" s="1438"/>
      <c r="O306" s="1438"/>
      <c r="P306" s="1438"/>
      <c r="Q306" s="1438"/>
      <c r="R306" s="1438"/>
      <c r="T306" s="3" t="s">
        <v>87</v>
      </c>
      <c r="V306" s="3"/>
      <c r="W306" s="3"/>
      <c r="X306" s="3"/>
      <c r="Y306" s="3"/>
      <c r="AA306" s="1438" t="s">
        <v>2686</v>
      </c>
      <c r="AB306" s="1438"/>
      <c r="AC306" s="1438"/>
      <c r="AD306" s="1438"/>
      <c r="AE306" s="1438"/>
      <c r="AF306" s="1438"/>
      <c r="AG306" s="1438"/>
      <c r="AH306" s="1438"/>
      <c r="AI306" s="1438"/>
      <c r="AJ306" s="1438"/>
      <c r="AK306" s="1438"/>
      <c r="BN306" s="34"/>
    </row>
    <row r="307" spans="2:66" ht="13.15" customHeight="1">
      <c r="B307" s="3" t="s">
        <v>88</v>
      </c>
      <c r="C307" s="3"/>
      <c r="D307" s="3"/>
      <c r="E307" s="3"/>
      <c r="F307" s="3"/>
      <c r="G307" s="3"/>
      <c r="H307" s="1440" t="str">
        <f>H299</f>
        <v>213-235-9191</v>
      </c>
      <c r="I307" s="1440"/>
      <c r="J307" s="1440"/>
      <c r="K307" s="1440"/>
      <c r="L307" s="1440"/>
      <c r="M307" s="1440"/>
      <c r="N307" s="4" t="s">
        <v>207</v>
      </c>
      <c r="O307" s="4"/>
      <c r="P307" s="1429"/>
      <c r="Q307" s="1429"/>
      <c r="R307" s="1429"/>
      <c r="S307" s="3"/>
      <c r="T307" s="3" t="s">
        <v>88</v>
      </c>
      <c r="V307" s="3"/>
      <c r="W307" s="3"/>
      <c r="X307" s="3"/>
      <c r="Y307" s="3"/>
      <c r="AA307" s="1440" t="s">
        <v>2687</v>
      </c>
      <c r="AB307" s="1440"/>
      <c r="AC307" s="1440"/>
      <c r="AD307" s="1440"/>
      <c r="AE307" s="1440"/>
      <c r="AF307" s="1440"/>
      <c r="AG307" s="4" t="s">
        <v>207</v>
      </c>
      <c r="AH307" s="4"/>
      <c r="AI307" s="1429"/>
      <c r="AJ307" s="1429"/>
      <c r="AK307" s="1429"/>
      <c r="BN307" s="34"/>
    </row>
    <row r="308" spans="2:66" ht="13.15" customHeight="1">
      <c r="B308" s="3" t="s">
        <v>89</v>
      </c>
      <c r="C308" s="3"/>
      <c r="D308" s="3"/>
      <c r="E308" s="3"/>
      <c r="F308" s="3"/>
      <c r="G308" s="3"/>
      <c r="H308" s="1388"/>
      <c r="I308" s="1388"/>
      <c r="J308" s="1388"/>
      <c r="K308" s="1388"/>
      <c r="L308" s="1388"/>
      <c r="M308" s="1388"/>
      <c r="N308" s="4"/>
      <c r="O308" s="4"/>
      <c r="P308" s="35"/>
      <c r="Q308" s="35"/>
      <c r="R308" s="35"/>
      <c r="S308" s="3"/>
      <c r="T308" s="3" t="s">
        <v>89</v>
      </c>
      <c r="V308" s="3"/>
      <c r="W308" s="3"/>
      <c r="X308" s="3"/>
      <c r="Y308" s="3"/>
      <c r="AA308" s="1388"/>
      <c r="AB308" s="1388"/>
      <c r="AC308" s="1388"/>
      <c r="AD308" s="1388"/>
      <c r="AE308" s="1388"/>
      <c r="AF308" s="1388"/>
      <c r="AG308" s="4"/>
      <c r="AH308" s="4"/>
      <c r="AI308" s="35"/>
      <c r="AJ308" s="35"/>
      <c r="AK308" s="35"/>
      <c r="BN308" s="34"/>
    </row>
    <row r="309" spans="2:66" ht="13.15" customHeight="1">
      <c r="B309" s="3" t="s">
        <v>76</v>
      </c>
      <c r="C309" s="3"/>
      <c r="D309" s="3"/>
      <c r="E309" s="3"/>
      <c r="F309" s="3"/>
      <c r="G309" s="3"/>
      <c r="H309" s="1438" t="str">
        <f>H301</f>
        <v>jhobson@hbdlegal.com</v>
      </c>
      <c r="I309" s="1438"/>
      <c r="J309" s="1438"/>
      <c r="K309" s="1438"/>
      <c r="L309" s="1438"/>
      <c r="M309" s="1438"/>
      <c r="N309" s="1368"/>
      <c r="O309" s="1368"/>
      <c r="P309" s="1368"/>
      <c r="Q309" s="1368"/>
      <c r="R309" s="1368"/>
      <c r="S309" s="3"/>
      <c r="T309" s="3" t="s">
        <v>76</v>
      </c>
      <c r="V309" s="3"/>
      <c r="W309" s="3"/>
      <c r="X309" s="3"/>
      <c r="Y309" s="3"/>
      <c r="AA309" s="1438" t="s">
        <v>2688</v>
      </c>
      <c r="AB309" s="1438"/>
      <c r="AC309" s="1438"/>
      <c r="AD309" s="1438"/>
      <c r="AE309" s="1438"/>
      <c r="AF309" s="1438"/>
      <c r="AG309" s="1368"/>
      <c r="AH309" s="1368"/>
      <c r="AI309" s="1368"/>
      <c r="AJ309" s="1368"/>
      <c r="AK309" s="1368"/>
      <c r="BN309" s="34"/>
    </row>
    <row r="310" spans="2:66"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15" customHeight="1">
      <c r="B311" s="4" t="s">
        <v>922</v>
      </c>
      <c r="C311" s="3"/>
      <c r="D311" s="3"/>
      <c r="E311" s="3"/>
      <c r="F311" s="3"/>
      <c r="H311" s="1368" t="s">
        <v>2689</v>
      </c>
      <c r="I311" s="1368"/>
      <c r="J311" s="1368"/>
      <c r="K311" s="1368"/>
      <c r="L311" s="1368"/>
      <c r="M311" s="1368"/>
      <c r="N311" s="1368"/>
      <c r="O311" s="1368"/>
      <c r="P311" s="1368"/>
      <c r="Q311" s="1368"/>
      <c r="R311" s="1368"/>
      <c r="S311" s="3"/>
      <c r="T311" s="3" t="s">
        <v>366</v>
      </c>
      <c r="V311" s="3"/>
      <c r="W311" s="3"/>
      <c r="X311" s="3"/>
      <c r="Y311" s="3"/>
      <c r="AA311" s="1368" t="s">
        <v>2765</v>
      </c>
      <c r="AB311" s="1368"/>
      <c r="AC311" s="1368"/>
      <c r="AD311" s="1368"/>
      <c r="AE311" s="1368"/>
      <c r="AF311" s="1368"/>
      <c r="AG311" s="1368"/>
      <c r="AH311" s="1368"/>
      <c r="AI311" s="1368"/>
      <c r="AJ311" s="1368"/>
      <c r="AK311" s="1368"/>
      <c r="BN311" s="34"/>
    </row>
    <row r="312" spans="2:66" ht="13.15" customHeight="1">
      <c r="B312" s="3" t="s">
        <v>479</v>
      </c>
      <c r="C312" s="3"/>
      <c r="D312" s="3"/>
      <c r="E312" s="3"/>
      <c r="F312" s="3"/>
      <c r="H312" s="1438" t="s">
        <v>2690</v>
      </c>
      <c r="I312" s="1438"/>
      <c r="J312" s="1438"/>
      <c r="K312" s="1438"/>
      <c r="L312" s="1438"/>
      <c r="M312" s="1438"/>
      <c r="N312" s="1438"/>
      <c r="O312" s="1438"/>
      <c r="P312" s="1438"/>
      <c r="Q312" s="1438"/>
      <c r="R312" s="1438"/>
      <c r="S312" s="3"/>
      <c r="T312" s="3" t="s">
        <v>479</v>
      </c>
      <c r="V312" s="3"/>
      <c r="W312" s="3"/>
      <c r="X312" s="3"/>
      <c r="Y312" s="3"/>
      <c r="AA312" s="1438" t="s">
        <v>2767</v>
      </c>
      <c r="AB312" s="1438"/>
      <c r="AC312" s="1438"/>
      <c r="AD312" s="1438"/>
      <c r="AE312" s="1438"/>
      <c r="AF312" s="1438"/>
      <c r="AG312" s="1438"/>
      <c r="AH312" s="1438"/>
      <c r="AI312" s="1438"/>
      <c r="AJ312" s="1438"/>
      <c r="AK312" s="1438"/>
      <c r="BN312" s="34"/>
    </row>
    <row r="313" spans="2:66" ht="13.15" customHeight="1">
      <c r="B313" s="3" t="s">
        <v>480</v>
      </c>
      <c r="C313" s="3"/>
      <c r="D313" s="3"/>
      <c r="E313" s="3"/>
      <c r="F313" s="3"/>
      <c r="H313" s="1438" t="s">
        <v>2691</v>
      </c>
      <c r="I313" s="1438"/>
      <c r="J313" s="1438"/>
      <c r="K313" s="1438"/>
      <c r="L313" s="1438"/>
      <c r="M313" s="1438"/>
      <c r="N313" s="1438"/>
      <c r="O313" s="1438"/>
      <c r="P313" s="1438"/>
      <c r="Q313" s="1438"/>
      <c r="R313" s="1438"/>
      <c r="S313" s="3"/>
      <c r="T313" s="3" t="s">
        <v>75</v>
      </c>
      <c r="V313" s="3"/>
      <c r="W313" s="3"/>
      <c r="X313" s="3"/>
      <c r="Y313" s="3"/>
      <c r="AA313" s="1438" t="s">
        <v>2768</v>
      </c>
      <c r="AB313" s="1438"/>
      <c r="AC313" s="1438"/>
      <c r="AD313" s="1438"/>
      <c r="AE313" s="1438"/>
      <c r="AF313" s="1438"/>
      <c r="AG313" s="1438"/>
      <c r="AH313" s="1438"/>
      <c r="AI313" s="1438"/>
      <c r="AJ313" s="1438"/>
      <c r="AK313" s="1438"/>
      <c r="BN313" s="34"/>
    </row>
    <row r="314" spans="2:66" ht="13.15" customHeight="1">
      <c r="B314" s="3" t="s">
        <v>87</v>
      </c>
      <c r="C314" s="3"/>
      <c r="D314" s="3"/>
      <c r="E314" s="3"/>
      <c r="F314" s="3"/>
      <c r="H314" s="1438" t="s">
        <v>2692</v>
      </c>
      <c r="I314" s="1438"/>
      <c r="J314" s="1438"/>
      <c r="K314" s="1438"/>
      <c r="L314" s="1438"/>
      <c r="M314" s="1438"/>
      <c r="N314" s="1438"/>
      <c r="O314" s="1438"/>
      <c r="P314" s="1438"/>
      <c r="Q314" s="1438"/>
      <c r="R314" s="1438"/>
      <c r="S314" s="3"/>
      <c r="T314" s="3" t="s">
        <v>87</v>
      </c>
      <c r="V314" s="3"/>
      <c r="W314" s="3"/>
      <c r="X314" s="3"/>
      <c r="Y314" s="3"/>
      <c r="AA314" s="1438" t="s">
        <v>2769</v>
      </c>
      <c r="AB314" s="1438"/>
      <c r="AC314" s="1438"/>
      <c r="AD314" s="1438"/>
      <c r="AE314" s="1438"/>
      <c r="AF314" s="1438"/>
      <c r="AG314" s="1438"/>
      <c r="AH314" s="1438"/>
      <c r="AI314" s="1438"/>
      <c r="AJ314" s="1438"/>
      <c r="AK314" s="1438"/>
      <c r="BN314" s="34"/>
    </row>
    <row r="315" spans="2:66" ht="13.15" customHeight="1">
      <c r="B315" s="3" t="s">
        <v>88</v>
      </c>
      <c r="C315" s="3"/>
      <c r="D315" s="3"/>
      <c r="E315" s="3"/>
      <c r="F315" s="3"/>
      <c r="G315" s="3"/>
      <c r="H315" s="1440" t="s">
        <v>2693</v>
      </c>
      <c r="I315" s="1440"/>
      <c r="J315" s="1440"/>
      <c r="K315" s="1440"/>
      <c r="L315" s="1440"/>
      <c r="M315" s="1440"/>
      <c r="N315" s="4" t="s">
        <v>207</v>
      </c>
      <c r="O315" s="4"/>
      <c r="P315" s="1429"/>
      <c r="Q315" s="1429"/>
      <c r="R315" s="1429"/>
      <c r="S315" s="3"/>
      <c r="T315" s="3" t="s">
        <v>88</v>
      </c>
      <c r="V315" s="3"/>
      <c r="W315" s="3"/>
      <c r="X315" s="3"/>
      <c r="Y315" s="3"/>
      <c r="AA315" s="1265" t="s">
        <v>2770</v>
      </c>
      <c r="AB315" s="1264"/>
      <c r="AC315" s="1264"/>
      <c r="AD315" s="1264"/>
      <c r="AE315" s="1264"/>
      <c r="AF315" s="1264"/>
      <c r="AG315" s="4" t="s">
        <v>207</v>
      </c>
      <c r="AH315" s="4"/>
      <c r="AI315" s="1429"/>
      <c r="AJ315" s="1429"/>
      <c r="AK315" s="1429"/>
      <c r="BN315" s="34"/>
    </row>
    <row r="316" spans="2:66" ht="13.15" customHeight="1">
      <c r="B316" s="3" t="s">
        <v>89</v>
      </c>
      <c r="C316" s="3"/>
      <c r="D316" s="3"/>
      <c r="E316" s="3"/>
      <c r="F316" s="3"/>
      <c r="G316" s="3"/>
      <c r="H316" s="1388"/>
      <c r="I316" s="1388"/>
      <c r="J316" s="1388"/>
      <c r="K316" s="1388"/>
      <c r="L316" s="1388"/>
      <c r="M316" s="1388"/>
      <c r="N316" s="4"/>
      <c r="O316" s="4"/>
      <c r="P316" s="35"/>
      <c r="Q316" s="35"/>
      <c r="R316" s="35"/>
      <c r="S316" s="3"/>
      <c r="T316" s="3" t="s">
        <v>89</v>
      </c>
      <c r="V316" s="3"/>
      <c r="W316" s="3"/>
      <c r="X316" s="3"/>
      <c r="Y316" s="3"/>
      <c r="AA316" s="1388"/>
      <c r="AB316" s="1388"/>
      <c r="AC316" s="1388"/>
      <c r="AD316" s="1388"/>
      <c r="AE316" s="1388"/>
      <c r="AF316" s="1388"/>
      <c r="AG316" s="4"/>
      <c r="AH316" s="4"/>
      <c r="AI316" s="35"/>
      <c r="AJ316" s="35"/>
      <c r="AK316" s="35"/>
      <c r="BN316" s="34"/>
    </row>
    <row r="317" spans="2:66" ht="13.15" customHeight="1">
      <c r="B317" s="3" t="s">
        <v>76</v>
      </c>
      <c r="C317" s="3"/>
      <c r="D317" s="3"/>
      <c r="E317" s="3"/>
      <c r="F317" s="3"/>
      <c r="G317" s="3"/>
      <c r="H317" s="1438" t="s">
        <v>2694</v>
      </c>
      <c r="I317" s="1438"/>
      <c r="J317" s="1438"/>
      <c r="K317" s="1438"/>
      <c r="L317" s="1438"/>
      <c r="M317" s="1438"/>
      <c r="N317" s="1368"/>
      <c r="O317" s="1368"/>
      <c r="P317" s="1368"/>
      <c r="Q317" s="1368"/>
      <c r="R317" s="1368"/>
      <c r="S317" s="3"/>
      <c r="T317" s="3" t="s">
        <v>76</v>
      </c>
      <c r="V317" s="3"/>
      <c r="W317" s="3"/>
      <c r="X317" s="3"/>
      <c r="Y317" s="3"/>
      <c r="AA317" s="1438" t="s">
        <v>2771</v>
      </c>
      <c r="AB317" s="1438"/>
      <c r="AC317" s="1438"/>
      <c r="AD317" s="1438"/>
      <c r="AE317" s="1438"/>
      <c r="AF317" s="1438"/>
      <c r="AG317" s="1368"/>
      <c r="AH317" s="1368"/>
      <c r="AI317" s="1368"/>
      <c r="AJ317" s="1368"/>
      <c r="AK317" s="1368"/>
      <c r="BN317" s="34"/>
    </row>
    <row r="318" spans="2:66" ht="13.15" customHeight="1">
      <c r="BN318" s="34"/>
    </row>
    <row r="319" spans="2:66" ht="13.15" customHeight="1">
      <c r="B319" s="4" t="s">
        <v>923</v>
      </c>
      <c r="C319" s="3"/>
      <c r="D319" s="3"/>
      <c r="E319" s="3"/>
      <c r="F319" s="3"/>
      <c r="H319" s="1368"/>
      <c r="I319" s="1368"/>
      <c r="J319" s="1368"/>
      <c r="K319" s="1368"/>
      <c r="L319" s="1368"/>
      <c r="M319" s="1368"/>
      <c r="N319" s="1368"/>
      <c r="O319" s="1368"/>
      <c r="P319" s="1368"/>
      <c r="Q319" s="1368"/>
      <c r="R319" s="1368"/>
      <c r="T319" s="3" t="s">
        <v>367</v>
      </c>
      <c r="V319" s="3"/>
      <c r="W319" s="3"/>
      <c r="X319" s="3"/>
      <c r="Y319" s="3"/>
      <c r="AA319" s="1368" t="s">
        <v>2689</v>
      </c>
      <c r="AB319" s="1368"/>
      <c r="AC319" s="1368"/>
      <c r="AD319" s="1368"/>
      <c r="AE319" s="1368"/>
      <c r="AF319" s="1368"/>
      <c r="AG319" s="1368"/>
      <c r="AH319" s="1368"/>
      <c r="AI319" s="1368"/>
      <c r="AJ319" s="1368"/>
      <c r="AK319" s="1368"/>
      <c r="BN319" s="34"/>
    </row>
    <row r="320" spans="2:66" ht="13.15" customHeight="1">
      <c r="B320" s="3" t="s">
        <v>479</v>
      </c>
      <c r="C320" s="3"/>
      <c r="D320" s="3"/>
      <c r="E320" s="3"/>
      <c r="F320" s="3"/>
      <c r="H320" s="1438"/>
      <c r="I320" s="1438"/>
      <c r="J320" s="1438"/>
      <c r="K320" s="1438"/>
      <c r="L320" s="1438"/>
      <c r="M320" s="1438"/>
      <c r="N320" s="1438"/>
      <c r="O320" s="1438"/>
      <c r="P320" s="1438"/>
      <c r="Q320" s="1438"/>
      <c r="R320" s="1438"/>
      <c r="T320" s="3" t="s">
        <v>479</v>
      </c>
      <c r="V320" s="3"/>
      <c r="W320" s="3"/>
      <c r="X320" s="3"/>
      <c r="Y320" s="3"/>
      <c r="AA320" s="1438" t="s">
        <v>2690</v>
      </c>
      <c r="AB320" s="1438"/>
      <c r="AC320" s="1438"/>
      <c r="AD320" s="1438"/>
      <c r="AE320" s="1438"/>
      <c r="AF320" s="1438"/>
      <c r="AG320" s="1438"/>
      <c r="AH320" s="1438"/>
      <c r="AI320" s="1438"/>
      <c r="AJ320" s="1438"/>
      <c r="AK320" s="1438"/>
      <c r="BN320" s="34"/>
    </row>
    <row r="321" spans="2:66" ht="13.15" customHeight="1">
      <c r="B321" s="3" t="s">
        <v>480</v>
      </c>
      <c r="C321" s="3"/>
      <c r="D321" s="3"/>
      <c r="E321" s="3"/>
      <c r="F321" s="3"/>
      <c r="H321" s="1438"/>
      <c r="I321" s="1438"/>
      <c r="J321" s="1438"/>
      <c r="K321" s="1438"/>
      <c r="L321" s="1438"/>
      <c r="M321" s="1438"/>
      <c r="N321" s="1438"/>
      <c r="O321" s="1438"/>
      <c r="P321" s="1438"/>
      <c r="Q321" s="1438"/>
      <c r="R321" s="1438"/>
      <c r="T321" s="3" t="s">
        <v>75</v>
      </c>
      <c r="V321" s="3"/>
      <c r="W321" s="3"/>
      <c r="X321" s="3"/>
      <c r="Y321" s="3"/>
      <c r="AA321" s="1438" t="s">
        <v>2691</v>
      </c>
      <c r="AB321" s="1438"/>
      <c r="AC321" s="1438"/>
      <c r="AD321" s="1438"/>
      <c r="AE321" s="1438"/>
      <c r="AF321" s="1438"/>
      <c r="AG321" s="1438"/>
      <c r="AH321" s="1438"/>
      <c r="AI321" s="1438"/>
      <c r="AJ321" s="1438"/>
      <c r="AK321" s="1438"/>
      <c r="BN321" s="34"/>
    </row>
    <row r="322" spans="2:66" ht="13.15" customHeight="1">
      <c r="B322" s="3" t="s">
        <v>87</v>
      </c>
      <c r="C322" s="3"/>
      <c r="D322" s="3"/>
      <c r="E322" s="3"/>
      <c r="F322" s="3"/>
      <c r="H322" s="1438"/>
      <c r="I322" s="1438"/>
      <c r="J322" s="1438"/>
      <c r="K322" s="1438"/>
      <c r="L322" s="1438"/>
      <c r="M322" s="1438"/>
      <c r="N322" s="1438"/>
      <c r="O322" s="1438"/>
      <c r="P322" s="1438"/>
      <c r="Q322" s="1438"/>
      <c r="R322" s="1438"/>
      <c r="T322" s="3" t="s">
        <v>87</v>
      </c>
      <c r="V322" s="3"/>
      <c r="W322" s="3"/>
      <c r="X322" s="3"/>
      <c r="Y322" s="3"/>
      <c r="AA322" s="1438" t="s">
        <v>2695</v>
      </c>
      <c r="AB322" s="1438"/>
      <c r="AC322" s="1438"/>
      <c r="AD322" s="1438"/>
      <c r="AE322" s="1438"/>
      <c r="AF322" s="1438"/>
      <c r="AG322" s="1438"/>
      <c r="AH322" s="1438"/>
      <c r="AI322" s="1438"/>
      <c r="AJ322" s="1438"/>
      <c r="AK322" s="1438"/>
      <c r="BN322" s="34"/>
    </row>
    <row r="323" spans="2:66" ht="13.15" customHeight="1">
      <c r="B323" s="3" t="s">
        <v>88</v>
      </c>
      <c r="C323" s="3"/>
      <c r="D323" s="3"/>
      <c r="E323" s="3"/>
      <c r="F323" s="3"/>
      <c r="G323" s="3"/>
      <c r="H323" s="1440"/>
      <c r="I323" s="1440"/>
      <c r="J323" s="1440"/>
      <c r="K323" s="1440"/>
      <c r="L323" s="1440"/>
      <c r="M323" s="1440"/>
      <c r="N323" s="4" t="s">
        <v>207</v>
      </c>
      <c r="O323" s="4"/>
      <c r="P323" s="1429"/>
      <c r="Q323" s="1429"/>
      <c r="R323" s="1429"/>
      <c r="S323" s="3"/>
      <c r="T323" s="3" t="s">
        <v>88</v>
      </c>
      <c r="V323" s="3"/>
      <c r="W323" s="3"/>
      <c r="X323" s="3"/>
      <c r="Y323" s="3"/>
      <c r="AA323" s="1440" t="s">
        <v>2696</v>
      </c>
      <c r="AB323" s="1440"/>
      <c r="AC323" s="1440"/>
      <c r="AD323" s="1440"/>
      <c r="AE323" s="1440"/>
      <c r="AF323" s="1440"/>
      <c r="AG323" s="4" t="s">
        <v>207</v>
      </c>
      <c r="AH323" s="4"/>
      <c r="AI323" s="1429"/>
      <c r="AJ323" s="1429"/>
      <c r="AK323" s="1429"/>
    </row>
    <row r="324" spans="2:66" ht="13.15" customHeight="1">
      <c r="B324" s="3" t="s">
        <v>89</v>
      </c>
      <c r="C324" s="3"/>
      <c r="D324" s="3"/>
      <c r="E324" s="3"/>
      <c r="F324" s="3"/>
      <c r="G324" s="3"/>
      <c r="H324" s="1388"/>
      <c r="I324" s="1388"/>
      <c r="J324" s="1388"/>
      <c r="K324" s="1388"/>
      <c r="L324" s="1388"/>
      <c r="M324" s="1388"/>
      <c r="N324" s="4"/>
      <c r="O324" s="4"/>
      <c r="P324" s="35"/>
      <c r="Q324" s="35"/>
      <c r="R324" s="35"/>
      <c r="S324" s="3"/>
      <c r="T324" s="3" t="s">
        <v>89</v>
      </c>
      <c r="V324" s="3"/>
      <c r="W324" s="3"/>
      <c r="X324" s="3"/>
      <c r="Y324" s="3"/>
      <c r="AA324" s="1388"/>
      <c r="AB324" s="1388"/>
      <c r="AC324" s="1388"/>
      <c r="AD324" s="1388"/>
      <c r="AE324" s="1388"/>
      <c r="AF324" s="1388"/>
      <c r="AG324" s="4"/>
      <c r="AH324" s="4"/>
      <c r="AI324" s="35"/>
      <c r="AJ324" s="35"/>
      <c r="AK324" s="35"/>
    </row>
    <row r="325" spans="2:66" ht="13.15" customHeight="1">
      <c r="B325" s="3" t="s">
        <v>76</v>
      </c>
      <c r="C325" s="3"/>
      <c r="D325" s="3"/>
      <c r="E325" s="3"/>
      <c r="F325" s="3"/>
      <c r="G325" s="3"/>
      <c r="H325" s="1438"/>
      <c r="I325" s="1438"/>
      <c r="J325" s="1438"/>
      <c r="K325" s="1438"/>
      <c r="L325" s="1438"/>
      <c r="M325" s="1438"/>
      <c r="N325" s="1368"/>
      <c r="O325" s="1368"/>
      <c r="P325" s="1368"/>
      <c r="Q325" s="1368"/>
      <c r="R325" s="1368"/>
      <c r="S325" s="3"/>
      <c r="T325" s="3" t="s">
        <v>76</v>
      </c>
      <c r="V325" s="3"/>
      <c r="W325" s="3"/>
      <c r="X325" s="3"/>
      <c r="Y325" s="3"/>
      <c r="AA325" s="1438" t="s">
        <v>2697</v>
      </c>
      <c r="AB325" s="1438"/>
      <c r="AC325" s="1438"/>
      <c r="AD325" s="1438"/>
      <c r="AE325" s="1438"/>
      <c r="AF325" s="1438"/>
      <c r="AG325" s="1368"/>
      <c r="AH325" s="1368"/>
      <c r="AI325" s="1368"/>
      <c r="AJ325" s="1368"/>
      <c r="AK325" s="1368"/>
    </row>
    <row r="326" spans="2:66" ht="13.15" customHeight="1">
      <c r="B326" s="3"/>
      <c r="C326" s="3"/>
      <c r="D326" s="3"/>
      <c r="E326" s="3"/>
      <c r="F326" s="3"/>
      <c r="G326" s="3"/>
      <c r="P326" s="163"/>
      <c r="Q326" s="163"/>
      <c r="R326" s="163"/>
      <c r="S326" s="163"/>
      <c r="T326" s="163"/>
      <c r="U326" s="163"/>
      <c r="V326" s="4"/>
      <c r="W326" s="4"/>
      <c r="X326" s="35"/>
      <c r="Y326" s="35"/>
      <c r="Z326" s="35"/>
    </row>
    <row r="327" spans="2:66" ht="13.15" customHeight="1">
      <c r="B327" s="3" t="s">
        <v>368</v>
      </c>
      <c r="C327" s="3"/>
      <c r="D327" s="3"/>
      <c r="E327" s="3"/>
      <c r="F327" s="3"/>
      <c r="H327" s="1368" t="s">
        <v>2689</v>
      </c>
      <c r="I327" s="1368"/>
      <c r="J327" s="1368"/>
      <c r="K327" s="1368"/>
      <c r="L327" s="1368"/>
      <c r="M327" s="1368"/>
      <c r="N327" s="1368"/>
      <c r="O327" s="1368"/>
      <c r="P327" s="1368"/>
      <c r="Q327" s="1368"/>
      <c r="R327" s="1368"/>
      <c r="T327" s="3" t="s">
        <v>369</v>
      </c>
      <c r="V327" s="3"/>
      <c r="W327" s="3"/>
      <c r="X327" s="3"/>
      <c r="Y327" s="3"/>
      <c r="AA327" s="1368"/>
      <c r="AB327" s="1368"/>
      <c r="AC327" s="1368"/>
      <c r="AD327" s="1368"/>
      <c r="AE327" s="1368"/>
      <c r="AF327" s="1368"/>
      <c r="AG327" s="1368"/>
      <c r="AH327" s="1368"/>
      <c r="AI327" s="1368"/>
      <c r="AJ327" s="1368"/>
      <c r="AK327" s="1368"/>
    </row>
    <row r="328" spans="2:66" ht="13.15" customHeight="1">
      <c r="B328" s="3" t="s">
        <v>479</v>
      </c>
      <c r="C328" s="3"/>
      <c r="D328" s="3"/>
      <c r="E328" s="3"/>
      <c r="F328" s="3"/>
      <c r="H328" s="1438" t="s">
        <v>2690</v>
      </c>
      <c r="I328" s="1438"/>
      <c r="J328" s="1438"/>
      <c r="K328" s="1438"/>
      <c r="L328" s="1438"/>
      <c r="M328" s="1438"/>
      <c r="N328" s="1438"/>
      <c r="O328" s="1438"/>
      <c r="P328" s="1438"/>
      <c r="Q328" s="1438"/>
      <c r="R328" s="1438"/>
      <c r="T328" s="3" t="s">
        <v>479</v>
      </c>
      <c r="V328" s="3"/>
      <c r="W328" s="3"/>
      <c r="X328" s="3"/>
      <c r="Y328" s="3"/>
      <c r="AA328" s="1438"/>
      <c r="AB328" s="1438"/>
      <c r="AC328" s="1438"/>
      <c r="AD328" s="1438"/>
      <c r="AE328" s="1438"/>
      <c r="AF328" s="1438"/>
      <c r="AG328" s="1438"/>
      <c r="AH328" s="1438"/>
      <c r="AI328" s="1438"/>
      <c r="AJ328" s="1438"/>
      <c r="AK328" s="1438"/>
    </row>
    <row r="329" spans="2:66" ht="13.15" customHeight="1">
      <c r="B329" s="3" t="s">
        <v>480</v>
      </c>
      <c r="C329" s="3"/>
      <c r="D329" s="3"/>
      <c r="E329" s="3"/>
      <c r="F329" s="3"/>
      <c r="H329" s="1438" t="s">
        <v>2691</v>
      </c>
      <c r="I329" s="1438"/>
      <c r="J329" s="1438"/>
      <c r="K329" s="1438"/>
      <c r="L329" s="1438"/>
      <c r="M329" s="1438"/>
      <c r="N329" s="1438"/>
      <c r="O329" s="1438"/>
      <c r="P329" s="1438"/>
      <c r="Q329" s="1438"/>
      <c r="R329" s="1438"/>
      <c r="T329" s="3" t="s">
        <v>75</v>
      </c>
      <c r="V329" s="3"/>
      <c r="W329" s="3"/>
      <c r="X329" s="3"/>
      <c r="Y329" s="3"/>
      <c r="AA329" s="1438"/>
      <c r="AB329" s="1438"/>
      <c r="AC329" s="1438"/>
      <c r="AD329" s="1438"/>
      <c r="AE329" s="1438"/>
      <c r="AF329" s="1438"/>
      <c r="AG329" s="1438"/>
      <c r="AH329" s="1438"/>
      <c r="AI329" s="1438"/>
      <c r="AJ329" s="1438"/>
      <c r="AK329" s="1438"/>
    </row>
    <row r="330" spans="2:66" ht="13.15" customHeight="1">
      <c r="B330" s="3" t="s">
        <v>87</v>
      </c>
      <c r="C330" s="3"/>
      <c r="D330" s="3"/>
      <c r="E330" s="3"/>
      <c r="F330" s="3"/>
      <c r="H330" s="1438" t="s">
        <v>2695</v>
      </c>
      <c r="I330" s="1438"/>
      <c r="J330" s="1438"/>
      <c r="K330" s="1438"/>
      <c r="L330" s="1438"/>
      <c r="M330" s="1438"/>
      <c r="N330" s="1438"/>
      <c r="O330" s="1438"/>
      <c r="P330" s="1438"/>
      <c r="Q330" s="1438"/>
      <c r="R330" s="1438"/>
      <c r="T330" s="3" t="s">
        <v>87</v>
      </c>
      <c r="V330" s="3"/>
      <c r="W330" s="3"/>
      <c r="X330" s="3"/>
      <c r="Y330" s="3"/>
      <c r="AA330" s="1438"/>
      <c r="AB330" s="1438"/>
      <c r="AC330" s="1438"/>
      <c r="AD330" s="1438"/>
      <c r="AE330" s="1438"/>
      <c r="AF330" s="1438"/>
      <c r="AG330" s="1438"/>
      <c r="AH330" s="1438"/>
      <c r="AI330" s="1438"/>
      <c r="AJ330" s="1438"/>
      <c r="AK330" s="1438"/>
    </row>
    <row r="331" spans="2:66" ht="13.15" customHeight="1">
      <c r="B331" s="3" t="s">
        <v>88</v>
      </c>
      <c r="C331" s="3"/>
      <c r="D331" s="3"/>
      <c r="E331" s="3"/>
      <c r="F331" s="3"/>
      <c r="G331" s="3"/>
      <c r="H331" s="1440" t="s">
        <v>2696</v>
      </c>
      <c r="I331" s="1440"/>
      <c r="J331" s="1440"/>
      <c r="K331" s="1440"/>
      <c r="L331" s="1440"/>
      <c r="M331" s="1440"/>
      <c r="N331" s="4" t="s">
        <v>207</v>
      </c>
      <c r="O331" s="4"/>
      <c r="P331" s="1429"/>
      <c r="Q331" s="1429"/>
      <c r="R331" s="1429"/>
      <c r="S331" s="3"/>
      <c r="T331" s="3" t="s">
        <v>88</v>
      </c>
      <c r="V331" s="3"/>
      <c r="W331" s="3"/>
      <c r="X331" s="3"/>
      <c r="Y331" s="3"/>
      <c r="AA331" s="1440"/>
      <c r="AB331" s="1440"/>
      <c r="AC331" s="1440"/>
      <c r="AD331" s="1440"/>
      <c r="AE331" s="1440"/>
      <c r="AF331" s="1440"/>
      <c r="AG331" s="4" t="s">
        <v>207</v>
      </c>
      <c r="AH331" s="4"/>
      <c r="AI331" s="1429"/>
      <c r="AJ331" s="1429"/>
      <c r="AK331" s="1429"/>
    </row>
    <row r="332" spans="2:66" ht="13.15" customHeight="1">
      <c r="B332" s="3" t="s">
        <v>89</v>
      </c>
      <c r="C332" s="3"/>
      <c r="D332" s="3"/>
      <c r="E332" s="3"/>
      <c r="F332" s="3"/>
      <c r="G332" s="3"/>
      <c r="H332" s="1388"/>
      <c r="I332" s="1388"/>
      <c r="J332" s="1388"/>
      <c r="K332" s="1388"/>
      <c r="L332" s="1388"/>
      <c r="M332" s="1388"/>
      <c r="N332" s="4"/>
      <c r="O332" s="4"/>
      <c r="P332" s="35"/>
      <c r="Q332" s="35"/>
      <c r="R332" s="35"/>
      <c r="S332" s="3"/>
      <c r="T332" s="3" t="s">
        <v>89</v>
      </c>
      <c r="V332" s="3"/>
      <c r="W332" s="3"/>
      <c r="X332" s="3"/>
      <c r="Y332" s="3"/>
      <c r="AA332" s="1388"/>
      <c r="AB332" s="1388"/>
      <c r="AC332" s="1388"/>
      <c r="AD332" s="1388"/>
      <c r="AE332" s="1388"/>
      <c r="AF332" s="1388"/>
      <c r="AG332" s="4"/>
      <c r="AH332" s="4"/>
      <c r="AI332" s="35"/>
      <c r="AJ332" s="35"/>
      <c r="AK332" s="35"/>
    </row>
    <row r="333" spans="2:66" ht="13.15" customHeight="1">
      <c r="B333" s="3" t="s">
        <v>76</v>
      </c>
      <c r="C333" s="3"/>
      <c r="D333" s="3"/>
      <c r="E333" s="3"/>
      <c r="F333" s="3"/>
      <c r="G333" s="3"/>
      <c r="H333" s="1438" t="s">
        <v>2697</v>
      </c>
      <c r="I333" s="1438"/>
      <c r="J333" s="1438"/>
      <c r="K333" s="1438"/>
      <c r="L333" s="1438"/>
      <c r="M333" s="1438"/>
      <c r="N333" s="1368"/>
      <c r="O333" s="1368"/>
      <c r="P333" s="1368"/>
      <c r="Q333" s="1368"/>
      <c r="R333" s="1368"/>
      <c r="S333" s="3"/>
      <c r="T333" s="3" t="s">
        <v>76</v>
      </c>
      <c r="V333" s="3"/>
      <c r="W333" s="3"/>
      <c r="X333" s="3"/>
      <c r="Y333" s="3"/>
      <c r="AA333" s="1438"/>
      <c r="AB333" s="1438"/>
      <c r="AC333" s="1438"/>
      <c r="AD333" s="1438"/>
      <c r="AE333" s="1438"/>
      <c r="AF333" s="1438"/>
      <c r="AG333" s="1368"/>
      <c r="AH333" s="1368"/>
      <c r="AI333" s="1368"/>
      <c r="AJ333" s="1368"/>
      <c r="AK333" s="1368"/>
    </row>
    <row r="334" spans="2:66" ht="13.15" customHeight="1">
      <c r="B334" s="3"/>
      <c r="C334" s="3"/>
      <c r="D334" s="3"/>
      <c r="E334" s="3"/>
      <c r="F334" s="3"/>
      <c r="G334" s="3"/>
      <c r="P334" s="163"/>
      <c r="Q334" s="163"/>
      <c r="R334" s="163"/>
      <c r="S334" s="163"/>
      <c r="T334" s="163"/>
      <c r="U334" s="163"/>
      <c r="V334" s="4"/>
      <c r="W334" s="4"/>
      <c r="X334" s="35"/>
      <c r="Y334" s="35"/>
      <c r="Z334" s="35"/>
    </row>
    <row r="335" spans="2:66" ht="13.15" customHeight="1">
      <c r="B335" s="3" t="s">
        <v>330</v>
      </c>
      <c r="C335" s="3"/>
      <c r="D335" s="3"/>
      <c r="E335" s="3"/>
      <c r="F335" s="3"/>
      <c r="H335" s="1368" t="s">
        <v>2646</v>
      </c>
      <c r="I335" s="1368"/>
      <c r="J335" s="1368"/>
      <c r="K335" s="1368"/>
      <c r="L335" s="1368"/>
      <c r="M335" s="1368"/>
      <c r="N335" s="1368"/>
      <c r="O335" s="1368"/>
      <c r="P335" s="1368"/>
      <c r="Q335" s="1368"/>
      <c r="R335" s="1368"/>
      <c r="T335" s="218" t="s">
        <v>899</v>
      </c>
      <c r="V335" s="3"/>
      <c r="W335" s="3"/>
      <c r="X335" s="3"/>
      <c r="Y335" s="3"/>
      <c r="AA335" s="1368" t="s">
        <v>2701</v>
      </c>
      <c r="AB335" s="1368"/>
      <c r="AC335" s="1368"/>
      <c r="AD335" s="1368"/>
      <c r="AE335" s="1368"/>
      <c r="AF335" s="1368"/>
      <c r="AG335" s="1368"/>
      <c r="AH335" s="1368"/>
      <c r="AI335" s="1368"/>
      <c r="AJ335" s="1368"/>
      <c r="AK335" s="1368"/>
    </row>
    <row r="336" spans="2:66" ht="13.15" customHeight="1">
      <c r="B336" s="3" t="s">
        <v>479</v>
      </c>
      <c r="C336" s="3"/>
      <c r="D336" s="3"/>
      <c r="E336" s="3"/>
      <c r="F336" s="3"/>
      <c r="H336" s="1438" t="s">
        <v>2728</v>
      </c>
      <c r="I336" s="1438"/>
      <c r="J336" s="1438"/>
      <c r="K336" s="1438"/>
      <c r="L336" s="1438"/>
      <c r="M336" s="1438"/>
      <c r="N336" s="1438"/>
      <c r="O336" s="1438"/>
      <c r="P336" s="1438"/>
      <c r="Q336" s="1438"/>
      <c r="R336" s="1438"/>
      <c r="T336" s="3" t="s">
        <v>479</v>
      </c>
      <c r="V336" s="3"/>
      <c r="W336" s="3"/>
      <c r="X336" s="3"/>
      <c r="Y336" s="3"/>
      <c r="AA336" s="1438" t="s">
        <v>2702</v>
      </c>
      <c r="AB336" s="1438"/>
      <c r="AC336" s="1438"/>
      <c r="AD336" s="1438"/>
      <c r="AE336" s="1438"/>
      <c r="AF336" s="1438"/>
      <c r="AG336" s="1438"/>
      <c r="AH336" s="1438"/>
      <c r="AI336" s="1438"/>
      <c r="AJ336" s="1438"/>
      <c r="AK336" s="1438"/>
    </row>
    <row r="337" spans="1:66" ht="13.15" customHeight="1">
      <c r="B337" s="3" t="s">
        <v>75</v>
      </c>
      <c r="C337" s="3"/>
      <c r="D337" s="3"/>
      <c r="E337" s="3"/>
      <c r="F337" s="3"/>
      <c r="H337" s="1438" t="s">
        <v>2729</v>
      </c>
      <c r="I337" s="1438"/>
      <c r="J337" s="1438"/>
      <c r="K337" s="1438"/>
      <c r="L337" s="1438"/>
      <c r="M337" s="1438"/>
      <c r="N337" s="1438"/>
      <c r="O337" s="1438"/>
      <c r="P337" s="1438"/>
      <c r="Q337" s="1438"/>
      <c r="R337" s="1438"/>
      <c r="T337" s="3" t="s">
        <v>75</v>
      </c>
      <c r="V337" s="3"/>
      <c r="W337" s="3"/>
      <c r="X337" s="3"/>
      <c r="Y337" s="3"/>
      <c r="AA337" s="1438" t="s">
        <v>2703</v>
      </c>
      <c r="AB337" s="1438"/>
      <c r="AC337" s="1438"/>
      <c r="AD337" s="1438"/>
      <c r="AE337" s="1438"/>
      <c r="AF337" s="1438"/>
      <c r="AG337" s="1438"/>
      <c r="AH337" s="1438"/>
      <c r="AI337" s="1438"/>
      <c r="AJ337" s="1438"/>
      <c r="AK337" s="1438"/>
    </row>
    <row r="338" spans="1:66" ht="13.15" customHeight="1">
      <c r="B338" s="3" t="s">
        <v>87</v>
      </c>
      <c r="C338" s="3"/>
      <c r="D338" s="3"/>
      <c r="E338" s="3"/>
      <c r="F338" s="3"/>
      <c r="G338" s="3"/>
      <c r="H338" s="1438" t="s">
        <v>2730</v>
      </c>
      <c r="I338" s="1438"/>
      <c r="J338" s="1438"/>
      <c r="K338" s="1438"/>
      <c r="L338" s="1438"/>
      <c r="M338" s="1438"/>
      <c r="N338" s="1438"/>
      <c r="O338" s="1438"/>
      <c r="P338" s="1438"/>
      <c r="Q338" s="1438"/>
      <c r="R338" s="1438"/>
      <c r="T338" s="3" t="s">
        <v>87</v>
      </c>
      <c r="V338" s="3"/>
      <c r="W338" s="3"/>
      <c r="X338" s="3"/>
      <c r="Y338" s="3"/>
      <c r="AA338" s="1438" t="s">
        <v>2705</v>
      </c>
      <c r="AB338" s="1438"/>
      <c r="AC338" s="1438"/>
      <c r="AD338" s="1438"/>
      <c r="AE338" s="1438"/>
      <c r="AF338" s="1438"/>
      <c r="AG338" s="1438"/>
      <c r="AH338" s="1438"/>
      <c r="AI338" s="1438"/>
      <c r="AJ338" s="1438"/>
      <c r="AK338" s="1438"/>
    </row>
    <row r="339" spans="1:66" ht="13.15" customHeight="1">
      <c r="B339" s="3" t="s">
        <v>88</v>
      </c>
      <c r="C339" s="3"/>
      <c r="D339" s="3"/>
      <c r="E339" s="3"/>
      <c r="F339" s="3"/>
      <c r="G339" s="3"/>
      <c r="H339" s="1780" t="s">
        <v>2731</v>
      </c>
      <c r="I339" s="1440"/>
      <c r="J339" s="1440"/>
      <c r="K339" s="1440"/>
      <c r="L339" s="1440"/>
      <c r="M339" s="1440"/>
      <c r="N339" s="4" t="s">
        <v>207</v>
      </c>
      <c r="O339" s="4"/>
      <c r="P339" s="1429"/>
      <c r="Q339" s="1429"/>
      <c r="R339" s="1429"/>
      <c r="S339" s="3"/>
      <c r="T339" s="3" t="s">
        <v>88</v>
      </c>
      <c r="V339" s="3"/>
      <c r="W339" s="3"/>
      <c r="X339" s="3"/>
      <c r="Y339" s="3"/>
      <c r="AA339" s="1780" t="s">
        <v>2704</v>
      </c>
      <c r="AB339" s="1440"/>
      <c r="AC339" s="1440"/>
      <c r="AD339" s="1440"/>
      <c r="AE339" s="1440"/>
      <c r="AF339" s="1440"/>
      <c r="AG339" s="4" t="s">
        <v>207</v>
      </c>
      <c r="AH339" s="4"/>
      <c r="AI339" s="1429"/>
      <c r="AJ339" s="1429"/>
      <c r="AK339" s="1429"/>
    </row>
    <row r="340" spans="1:66" ht="13.15" customHeight="1">
      <c r="B340" s="3" t="s">
        <v>89</v>
      </c>
      <c r="C340" s="3"/>
      <c r="D340" s="3"/>
      <c r="E340" s="3"/>
      <c r="F340" s="3"/>
      <c r="G340" s="3"/>
      <c r="H340" s="1388"/>
      <c r="I340" s="1388"/>
      <c r="J340" s="1388"/>
      <c r="K340" s="1388"/>
      <c r="L340" s="1388"/>
      <c r="M340" s="1388"/>
      <c r="N340" s="4"/>
      <c r="O340" s="4"/>
      <c r="P340" s="35"/>
      <c r="Q340" s="35"/>
      <c r="R340" s="35"/>
      <c r="S340" s="3"/>
      <c r="T340" s="3" t="s">
        <v>89</v>
      </c>
      <c r="V340" s="3"/>
      <c r="W340" s="3"/>
      <c r="X340" s="3"/>
      <c r="Y340" s="3"/>
      <c r="AA340" s="1388"/>
      <c r="AB340" s="1388"/>
      <c r="AC340" s="1388"/>
      <c r="AD340" s="1388"/>
      <c r="AE340" s="1388"/>
      <c r="AF340" s="1388"/>
      <c r="AG340" s="4"/>
      <c r="AH340" s="4"/>
      <c r="AI340" s="35"/>
      <c r="AJ340" s="35"/>
      <c r="AK340" s="35"/>
    </row>
    <row r="341" spans="1:66" ht="13.15" customHeight="1">
      <c r="B341" s="3" t="s">
        <v>76</v>
      </c>
      <c r="C341" s="3"/>
      <c r="D341" s="3"/>
      <c r="E341" s="3"/>
      <c r="F341" s="3"/>
      <c r="G341" s="3"/>
      <c r="H341" s="1438" t="s">
        <v>2732</v>
      </c>
      <c r="I341" s="1438"/>
      <c r="J341" s="1438"/>
      <c r="K341" s="1438"/>
      <c r="L341" s="1438"/>
      <c r="M341" s="1438"/>
      <c r="N341" s="1368"/>
      <c r="O341" s="1368"/>
      <c r="P341" s="1368"/>
      <c r="Q341" s="1368"/>
      <c r="R341" s="1368"/>
      <c r="S341" s="3"/>
      <c r="T341" s="3" t="s">
        <v>76</v>
      </c>
      <c r="V341" s="3"/>
      <c r="W341" s="3"/>
      <c r="X341" s="3"/>
      <c r="Y341" s="3"/>
      <c r="AA341" s="1438" t="s">
        <v>2706</v>
      </c>
      <c r="AB341" s="1438"/>
      <c r="AC341" s="1438"/>
      <c r="AD341" s="1438"/>
      <c r="AE341" s="1438"/>
      <c r="AF341" s="1438"/>
      <c r="AG341" s="1368"/>
      <c r="AH341" s="1368"/>
      <c r="AI341" s="1368"/>
      <c r="AJ341" s="1368"/>
      <c r="AK341" s="1368"/>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15" customHeight="1">
      <c r="B343" s="3"/>
      <c r="C343" s="4"/>
      <c r="D343" s="4"/>
      <c r="E343" s="4"/>
      <c r="F343" s="4"/>
      <c r="I343" s="218" t="s">
        <v>900</v>
      </c>
      <c r="P343" s="1368"/>
      <c r="Q343" s="1368"/>
      <c r="R343" s="1368"/>
      <c r="S343" s="1368"/>
      <c r="T343" s="1368"/>
      <c r="U343" s="1368"/>
      <c r="V343" s="1368"/>
      <c r="W343" s="1368"/>
      <c r="X343" s="1368"/>
      <c r="Y343" s="1368"/>
      <c r="Z343" s="1368"/>
      <c r="AA343" s="1368"/>
      <c r="AB343" s="1368"/>
      <c r="AC343" s="1368"/>
      <c r="AD343" s="1368"/>
      <c r="AE343" s="1368"/>
      <c r="BN343" t="s">
        <v>677</v>
      </c>
    </row>
    <row r="344" spans="1:66" ht="13.15" customHeight="1">
      <c r="B344" s="4"/>
      <c r="C344" s="4"/>
      <c r="D344" s="4"/>
      <c r="E344" s="4"/>
      <c r="F344" s="4"/>
      <c r="I344" s="4" t="s">
        <v>479</v>
      </c>
      <c r="P344" s="1438"/>
      <c r="Q344" s="1438"/>
      <c r="R344" s="1438"/>
      <c r="S344" s="1438"/>
      <c r="T344" s="1438"/>
      <c r="U344" s="1438"/>
      <c r="V344" s="1438"/>
      <c r="W344" s="1438"/>
      <c r="X344" s="1438"/>
      <c r="Y344" s="1438"/>
      <c r="Z344" s="1438"/>
      <c r="AA344" s="1438"/>
      <c r="AB344" s="1438"/>
      <c r="AC344" s="1438"/>
      <c r="AD344" s="1438"/>
      <c r="AE344" s="1438"/>
      <c r="BN344" t="s">
        <v>553</v>
      </c>
    </row>
    <row r="345" spans="1:66" ht="13.15" customHeight="1">
      <c r="B345" s="4"/>
      <c r="C345" s="4"/>
      <c r="D345" s="4"/>
      <c r="E345" s="4"/>
      <c r="F345" s="4"/>
      <c r="I345" s="4" t="s">
        <v>75</v>
      </c>
      <c r="P345" s="1438"/>
      <c r="Q345" s="1438"/>
      <c r="R345" s="1438"/>
      <c r="S345" s="1438"/>
      <c r="T345" s="1438"/>
      <c r="U345" s="1438"/>
      <c r="V345" s="1438"/>
      <c r="W345" s="1438"/>
      <c r="X345" s="1438"/>
      <c r="Y345" s="1438"/>
      <c r="Z345" s="1438"/>
      <c r="AA345" s="1438"/>
      <c r="AB345" s="1438"/>
      <c r="AC345" s="1438"/>
      <c r="AD345" s="1438"/>
      <c r="AE345" s="1438"/>
    </row>
    <row r="346" spans="1:66" ht="13.15" customHeight="1">
      <c r="B346" s="4"/>
      <c r="C346" s="4"/>
      <c r="D346" s="4"/>
      <c r="E346" s="4"/>
      <c r="F346" s="4"/>
      <c r="G346" s="4"/>
      <c r="I346" s="4" t="s">
        <v>87</v>
      </c>
      <c r="P346" s="1438"/>
      <c r="Q346" s="1438"/>
      <c r="R346" s="1438"/>
      <c r="S346" s="1438"/>
      <c r="T346" s="1438"/>
      <c r="U346" s="1438"/>
      <c r="V346" s="1438"/>
      <c r="W346" s="1438"/>
      <c r="X346" s="1438"/>
      <c r="Y346" s="1438"/>
      <c r="Z346" s="1438"/>
      <c r="AA346" s="1438"/>
      <c r="AB346" s="1438"/>
      <c r="AC346" s="1438"/>
      <c r="AD346" s="1438"/>
      <c r="AE346" s="1438"/>
    </row>
    <row r="347" spans="1:66" ht="13.15" customHeight="1">
      <c r="B347" s="4"/>
      <c r="C347" s="4"/>
      <c r="D347" s="4"/>
      <c r="E347" s="4"/>
      <c r="F347" s="4"/>
      <c r="G347" s="4"/>
      <c r="H347" s="324"/>
      <c r="I347" s="4" t="s">
        <v>88</v>
      </c>
      <c r="P347" s="1388"/>
      <c r="Q347" s="1388"/>
      <c r="R347" s="1388"/>
      <c r="S347" s="1388"/>
      <c r="T347" s="1388"/>
      <c r="U347" s="1388"/>
      <c r="V347" s="1388"/>
      <c r="W347" s="1388"/>
      <c r="X347" s="1388"/>
      <c r="Y347" s="1388"/>
      <c r="Z347" s="1388"/>
      <c r="AA347" s="4" t="s">
        <v>207</v>
      </c>
      <c r="AB347" s="4"/>
      <c r="AC347" s="1451"/>
      <c r="AD347" s="1451"/>
      <c r="AE347" s="1451"/>
      <c r="AF347" s="324"/>
      <c r="AG347" s="4"/>
      <c r="AH347" s="4"/>
      <c r="AI347" s="4"/>
      <c r="AJ347" s="4"/>
      <c r="AK347" s="4"/>
    </row>
    <row r="348" spans="1:66" ht="13.15" customHeight="1">
      <c r="B348" s="4"/>
      <c r="C348" s="4"/>
      <c r="D348" s="4"/>
      <c r="E348" s="4"/>
      <c r="F348" s="4"/>
      <c r="G348" s="4"/>
      <c r="H348" s="324"/>
      <c r="I348" s="4" t="s">
        <v>89</v>
      </c>
      <c r="P348" s="1388"/>
      <c r="Q348" s="1388"/>
      <c r="R348" s="1388"/>
      <c r="S348" s="1388"/>
      <c r="T348" s="1388"/>
      <c r="U348" s="1388"/>
      <c r="V348" s="1388"/>
      <c r="W348" s="1388"/>
      <c r="X348" s="1388"/>
      <c r="Y348" s="1388"/>
      <c r="Z348" s="1388"/>
      <c r="AF348" s="324"/>
      <c r="AG348" s="4"/>
      <c r="AH348" s="4"/>
      <c r="AI348" s="35"/>
      <c r="AJ348" s="35"/>
      <c r="AK348" s="35"/>
    </row>
    <row r="349" spans="1:66" ht="13.15" customHeight="1">
      <c r="B349" s="4"/>
      <c r="C349" s="4"/>
      <c r="D349" s="4"/>
      <c r="E349" s="4"/>
      <c r="F349" s="4"/>
      <c r="G349" s="4"/>
      <c r="I349" s="4" t="s">
        <v>76</v>
      </c>
      <c r="P349" s="1368"/>
      <c r="Q349" s="1368"/>
      <c r="R349" s="1368"/>
      <c r="S349" s="1368"/>
      <c r="T349" s="1368"/>
      <c r="U349" s="1368"/>
      <c r="V349" s="1368"/>
      <c r="W349" s="1368"/>
      <c r="X349" s="1368"/>
      <c r="Y349" s="1368"/>
      <c r="Z349" s="1368"/>
      <c r="AA349" s="1368"/>
      <c r="AB349" s="1368"/>
      <c r="AC349" s="1368"/>
      <c r="AD349" s="1368"/>
      <c r="AE349" s="1368"/>
    </row>
    <row r="350" spans="1:66" ht="13.15" customHeight="1">
      <c r="T350" s="8"/>
      <c r="U350" s="8"/>
      <c r="V350" s="8"/>
      <c r="W350" s="8"/>
      <c r="X350" s="8"/>
      <c r="Y350" s="8"/>
      <c r="Z350" s="8"/>
      <c r="AU350" s="95"/>
      <c r="AV350" s="95"/>
      <c r="AW350" s="95"/>
      <c r="AX350" s="95"/>
      <c r="AY350" s="95"/>
    </row>
    <row r="351" spans="1:66" ht="13.15" customHeight="1">
      <c r="A351" s="1439" t="s">
        <v>550</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3.1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320</v>
      </c>
      <c r="B354" s="2"/>
      <c r="C354" s="2" t="s">
        <v>791</v>
      </c>
    </row>
    <row r="355" spans="1:46" ht="13.15" customHeight="1">
      <c r="D355" s="3" t="s">
        <v>2415</v>
      </c>
      <c r="M355" s="1367" t="s">
        <v>553</v>
      </c>
      <c r="N355" s="1367"/>
      <c r="P355" t="s">
        <v>1761</v>
      </c>
      <c r="AJ355" s="1367" t="s">
        <v>553</v>
      </c>
      <c r="AK355" s="1367"/>
    </row>
    <row r="356" spans="1:46" ht="13.15" customHeight="1">
      <c r="D356" s="3" t="s">
        <v>1750</v>
      </c>
      <c r="M356" s="1367" t="s">
        <v>599</v>
      </c>
      <c r="N356" s="1367"/>
      <c r="P356" s="3" t="s">
        <v>1907</v>
      </c>
      <c r="AJ356" s="1436">
        <v>2</v>
      </c>
      <c r="AK356" s="1436"/>
    </row>
    <row r="357" spans="1:46" ht="13.15" customHeight="1">
      <c r="D357" s="3" t="s">
        <v>713</v>
      </c>
      <c r="M357" s="1367" t="s">
        <v>599</v>
      </c>
      <c r="N357" s="1367"/>
      <c r="P357" t="s">
        <v>1760</v>
      </c>
      <c r="AJ357" s="1367" t="s">
        <v>677</v>
      </c>
      <c r="AK357" s="1367"/>
    </row>
    <row r="358" spans="1:46" ht="13.15" customHeight="1">
      <c r="D358" s="3" t="s">
        <v>714</v>
      </c>
      <c r="M358" s="1367" t="s">
        <v>599</v>
      </c>
      <c r="N358" s="1367"/>
      <c r="Q358" s="4"/>
    </row>
    <row r="359" spans="1:46" ht="13.15" customHeight="1">
      <c r="Q359" s="4"/>
    </row>
    <row r="360" spans="1:46" ht="13.15" customHeight="1">
      <c r="Q360" s="4"/>
    </row>
    <row r="361" spans="1:46" ht="13.15" customHeight="1">
      <c r="A361" s="2" t="s">
        <v>584</v>
      </c>
      <c r="B361" s="2"/>
      <c r="C361" s="2" t="s">
        <v>560</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367" t="s">
        <v>599</v>
      </c>
      <c r="O363" s="1367"/>
      <c r="P363" s="40"/>
      <c r="Q363" s="40"/>
      <c r="R363" s="40"/>
      <c r="S363" s="40"/>
      <c r="T363" s="40"/>
      <c r="U363" s="40"/>
      <c r="V363" s="40"/>
      <c r="W363" s="40"/>
      <c r="X363" s="40"/>
      <c r="Y363" s="40"/>
      <c r="Z363" s="40"/>
      <c r="AC363" s="40"/>
      <c r="AD363" s="40"/>
      <c r="AE363" s="40"/>
    </row>
    <row r="364" spans="1:46" ht="13.15" customHeight="1">
      <c r="E364" t="s">
        <v>371</v>
      </c>
      <c r="Y364" s="1367" t="s">
        <v>599</v>
      </c>
      <c r="Z364" s="1367"/>
    </row>
    <row r="365" spans="1:46" ht="13.15" customHeight="1">
      <c r="D365" s="4" t="s">
        <v>997</v>
      </c>
      <c r="Q365" s="1368"/>
      <c r="R365" s="1368"/>
      <c r="S365" s="1368"/>
      <c r="T365" s="1368"/>
      <c r="U365" s="1368"/>
      <c r="V365" s="1368"/>
      <c r="W365" s="1368"/>
      <c r="X365" s="1368"/>
      <c r="Y365" s="1368"/>
      <c r="Z365" s="1368"/>
      <c r="AA365" s="1368"/>
      <c r="AB365" s="1368"/>
      <c r="AC365" s="1368"/>
      <c r="AD365" s="1368"/>
      <c r="AE365" s="1368"/>
      <c r="AF365" s="1368"/>
      <c r="AG365" s="1368"/>
    </row>
    <row r="366" spans="1:46" ht="13.1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189</v>
      </c>
      <c r="E367" s="40"/>
      <c r="F367" s="40"/>
      <c r="G367" s="40"/>
      <c r="H367" s="40"/>
      <c r="I367" s="40"/>
      <c r="J367" s="1367" t="s">
        <v>599</v>
      </c>
      <c r="K367" s="1367"/>
      <c r="L367" s="40"/>
      <c r="M367" s="40"/>
      <c r="N367" s="40"/>
      <c r="O367" s="40"/>
      <c r="P367" s="40"/>
      <c r="Q367" s="40"/>
      <c r="R367" s="40"/>
      <c r="S367" s="40"/>
      <c r="T367" s="40"/>
      <c r="U367" s="40"/>
      <c r="V367" s="40"/>
      <c r="W367" s="40"/>
      <c r="X367" s="40"/>
      <c r="Y367" s="40"/>
      <c r="Z367" s="40"/>
      <c r="AC367" s="40"/>
      <c r="AD367" s="40"/>
      <c r="AE367" s="40"/>
    </row>
    <row r="368" spans="1:46" ht="13.15" customHeight="1">
      <c r="E368" s="1427" t="s">
        <v>715</v>
      </c>
      <c r="F368" s="1427"/>
      <c r="G368" s="1427"/>
      <c r="H368" s="1427"/>
      <c r="I368" s="1427"/>
      <c r="J368" s="1427"/>
      <c r="K368" s="1427"/>
      <c r="L368" s="1427"/>
      <c r="M368" s="1427"/>
      <c r="N368" s="1427"/>
      <c r="O368" s="1427"/>
      <c r="P368" s="1427"/>
      <c r="Q368" s="1427"/>
      <c r="R368" s="1427"/>
      <c r="S368" s="1427"/>
      <c r="T368" s="1427"/>
      <c r="U368" s="1427"/>
      <c r="V368" s="1427"/>
      <c r="W368" s="1427"/>
      <c r="X368" s="1427"/>
      <c r="Y368" s="1427"/>
      <c r="Z368" s="1427"/>
      <c r="AA368" s="1427"/>
      <c r="AB368" s="1427"/>
      <c r="AC368" s="1427"/>
      <c r="AD368" s="1427"/>
      <c r="AE368" s="1427"/>
      <c r="AF368" s="1427"/>
      <c r="AG368" s="1427"/>
      <c r="AH368" s="1427"/>
    </row>
    <row r="369" spans="1:34" ht="13.15" customHeight="1">
      <c r="E369" s="1427"/>
      <c r="F369" s="1427"/>
      <c r="G369" s="1427"/>
      <c r="H369" s="1427"/>
      <c r="I369" s="1427"/>
      <c r="J369" s="1427"/>
      <c r="K369" s="1427"/>
      <c r="L369" s="1427"/>
      <c r="M369" s="1427"/>
      <c r="N369" s="1427"/>
      <c r="O369" s="1427"/>
      <c r="P369" s="1427"/>
      <c r="Q369" s="1427"/>
      <c r="R369" s="1427"/>
      <c r="S369" s="1427"/>
      <c r="T369" s="1427"/>
      <c r="U369" s="1427"/>
      <c r="V369" s="1427"/>
      <c r="W369" s="1427"/>
      <c r="X369" s="1427"/>
      <c r="Y369" s="1427"/>
      <c r="Z369" s="1427"/>
      <c r="AA369" s="1427"/>
      <c r="AB369" s="1427"/>
      <c r="AC369" s="1427"/>
      <c r="AD369" s="1427"/>
      <c r="AE369" s="1427"/>
      <c r="AF369" s="1427"/>
      <c r="AG369" s="1427"/>
      <c r="AH369" s="1427"/>
    </row>
    <row r="370" spans="1:34" ht="13.15" customHeight="1">
      <c r="E370" s="4" t="s">
        <v>456</v>
      </c>
      <c r="F370" s="4"/>
      <c r="G370" s="4"/>
      <c r="H370" s="4"/>
      <c r="I370" s="4"/>
      <c r="J370" s="4"/>
      <c r="K370" s="4"/>
      <c r="L370" s="4"/>
      <c r="N370" s="1454"/>
      <c r="O370" s="1454"/>
      <c r="P370" s="1454"/>
      <c r="Q370" s="1454"/>
      <c r="R370" s="4"/>
      <c r="U370" s="4" t="s">
        <v>457</v>
      </c>
      <c r="V370" s="4"/>
      <c r="W370" s="4"/>
      <c r="X370" s="4"/>
      <c r="Y370" s="4"/>
      <c r="Z370" s="4"/>
      <c r="AA370" s="4"/>
      <c r="AB370" s="4"/>
      <c r="AC370" s="1454"/>
      <c r="AD370" s="1454"/>
      <c r="AE370" s="1454"/>
      <c r="AF370" s="1454"/>
    </row>
    <row r="371" spans="1:34" ht="13.15" customHeight="1">
      <c r="E371" s="4" t="s">
        <v>458</v>
      </c>
      <c r="F371" s="4"/>
      <c r="G371" s="4"/>
      <c r="H371" s="4"/>
      <c r="I371" s="4"/>
      <c r="J371" s="4"/>
      <c r="K371" s="4"/>
      <c r="L371" s="4"/>
      <c r="N371" s="1454"/>
      <c r="O371" s="1454"/>
      <c r="P371" s="1454"/>
      <c r="Q371" s="1454"/>
      <c r="R371" s="4"/>
      <c r="U371" s="4" t="s">
        <v>0</v>
      </c>
      <c r="V371" s="4"/>
      <c r="W371" s="4"/>
      <c r="X371" s="4"/>
      <c r="Y371" s="4"/>
      <c r="Z371" s="4"/>
      <c r="AA371" s="4"/>
      <c r="AB371" s="4"/>
      <c r="AC371" s="1454"/>
      <c r="AD371" s="1454"/>
      <c r="AE371" s="1454"/>
      <c r="AF371" s="1454"/>
    </row>
    <row r="372" spans="1:34" ht="13.15" customHeight="1">
      <c r="E372" s="4" t="s">
        <v>1</v>
      </c>
      <c r="F372" s="4"/>
      <c r="G372" s="4"/>
      <c r="H372" s="4"/>
      <c r="I372" s="4"/>
      <c r="J372" s="4"/>
      <c r="K372" s="4"/>
      <c r="L372" s="4"/>
      <c r="N372" s="1454"/>
      <c r="O372" s="1454"/>
      <c r="P372" s="1454"/>
      <c r="Q372" s="1454"/>
      <c r="R372" s="4"/>
      <c r="V372" s="4"/>
      <c r="W372" s="4"/>
      <c r="X372" s="4"/>
      <c r="Y372" s="4"/>
      <c r="Z372" s="4"/>
      <c r="AA372" s="4"/>
      <c r="AB372" s="4"/>
    </row>
    <row r="373" spans="1:34" ht="13.15" customHeight="1">
      <c r="E373" s="4" t="s">
        <v>2</v>
      </c>
      <c r="F373" s="4"/>
      <c r="G373" s="4"/>
      <c r="H373" s="4"/>
      <c r="I373" s="4"/>
      <c r="J373" s="4"/>
      <c r="K373" s="4"/>
      <c r="L373" s="4"/>
      <c r="N373" s="1854"/>
      <c r="O373" s="1854"/>
      <c r="P373" s="1854"/>
      <c r="Q373" s="1854"/>
      <c r="R373" s="1854"/>
      <c r="S373" s="1854"/>
      <c r="T373" s="1854"/>
      <c r="U373" s="1854"/>
      <c r="V373" s="1854"/>
      <c r="W373" s="1854"/>
      <c r="X373" s="1854"/>
      <c r="Y373" s="1854"/>
      <c r="Z373" s="1854"/>
      <c r="AA373" s="1854"/>
      <c r="AB373" s="1854"/>
      <c r="AC373" s="1854"/>
      <c r="AD373" s="1854"/>
      <c r="AE373" s="1854"/>
      <c r="AF373" s="1854"/>
    </row>
    <row r="374" spans="1:34" ht="13.15" customHeight="1">
      <c r="E374" s="4"/>
      <c r="F374" s="4"/>
      <c r="G374" s="4"/>
      <c r="H374" s="4"/>
      <c r="I374" s="4"/>
      <c r="J374" s="4"/>
      <c r="K374" s="4"/>
      <c r="L374" s="4"/>
      <c r="N374" s="1855"/>
      <c r="O374" s="1855"/>
      <c r="P374" s="1855"/>
      <c r="Q374" s="1855"/>
      <c r="R374" s="1855"/>
      <c r="S374" s="1855"/>
      <c r="T374" s="1855"/>
      <c r="U374" s="1855"/>
      <c r="V374" s="1855"/>
      <c r="W374" s="1855"/>
      <c r="X374" s="1855"/>
      <c r="Y374" s="1855"/>
      <c r="Z374" s="1855"/>
      <c r="AA374" s="1855"/>
      <c r="AB374" s="1855"/>
      <c r="AC374" s="1855"/>
      <c r="AD374" s="1855"/>
      <c r="AE374" s="1855"/>
      <c r="AF374" s="1855"/>
    </row>
    <row r="375" spans="1:34" ht="13.15" customHeight="1">
      <c r="C375" s="546"/>
      <c r="E375" s="4"/>
      <c r="F375" s="4"/>
      <c r="G375" s="4"/>
      <c r="H375" s="4"/>
      <c r="I375" s="4"/>
      <c r="J375" s="4"/>
      <c r="K375" s="4"/>
      <c r="L375" s="4"/>
    </row>
    <row r="376" spans="1:34" ht="13.15" customHeight="1">
      <c r="D376" s="2" t="s">
        <v>994</v>
      </c>
      <c r="E376" s="2"/>
      <c r="F376" s="4"/>
      <c r="G376" s="4"/>
      <c r="H376" s="4"/>
      <c r="I376" s="4"/>
      <c r="J376" s="4"/>
      <c r="K376" s="4"/>
      <c r="L376" s="4"/>
    </row>
    <row r="377" spans="1:34" ht="13.15" customHeight="1">
      <c r="E377" s="4" t="s">
        <v>2399</v>
      </c>
      <c r="F377" s="4"/>
      <c r="G377" s="4"/>
      <c r="H377" s="4"/>
      <c r="I377" s="4"/>
      <c r="J377" s="4"/>
      <c r="K377" s="4"/>
      <c r="L377" s="4"/>
      <c r="N377" t="s">
        <v>2394</v>
      </c>
      <c r="R377" s="27" t="s">
        <v>306</v>
      </c>
      <c r="S377" s="1677"/>
      <c r="T377" s="1677"/>
      <c r="U377" s="1" t="s">
        <v>307</v>
      </c>
      <c r="V377" s="1677"/>
      <c r="W377" s="1677"/>
      <c r="Y377" t="s">
        <v>2394</v>
      </c>
      <c r="AC377" s="27" t="s">
        <v>306</v>
      </c>
      <c r="AD377" s="1677"/>
      <c r="AE377" s="1677"/>
      <c r="AF377" s="1" t="s">
        <v>307</v>
      </c>
      <c r="AG377" s="1677"/>
      <c r="AH377" s="1677"/>
    </row>
    <row r="378" spans="1:34" ht="13.15" customHeight="1">
      <c r="E378" s="4" t="s">
        <v>1011</v>
      </c>
      <c r="F378" s="4"/>
      <c r="G378" s="4"/>
      <c r="H378" s="4"/>
      <c r="I378" s="4"/>
      <c r="J378" s="4"/>
      <c r="K378" s="4"/>
      <c r="L378" s="4"/>
      <c r="N378" s="1677"/>
      <c r="O378" s="1677"/>
      <c r="P378" s="1677"/>
    </row>
    <row r="379" spans="1:34" ht="13.15" customHeight="1">
      <c r="E379" s="218" t="s">
        <v>2400</v>
      </c>
      <c r="F379" s="4"/>
      <c r="G379" s="4"/>
      <c r="H379" s="4"/>
      <c r="I379" s="4"/>
      <c r="J379" s="4"/>
      <c r="K379" s="4"/>
      <c r="L379" s="4"/>
      <c r="AG379" s="1682" t="s">
        <v>599</v>
      </c>
      <c r="AH379" s="1682"/>
    </row>
    <row r="380" spans="1:34" ht="13.15" customHeight="1">
      <c r="E380" s="4"/>
      <c r="F380" s="4"/>
      <c r="G380" s="4" t="s">
        <v>2401</v>
      </c>
      <c r="H380" s="4"/>
      <c r="I380" s="4"/>
      <c r="J380" s="4"/>
      <c r="K380" s="4"/>
      <c r="L380" s="4"/>
      <c r="AG380" s="1682" t="s">
        <v>599</v>
      </c>
      <c r="AH380" s="1682"/>
    </row>
    <row r="381" spans="1:34" ht="13.15" customHeight="1">
      <c r="E381" s="4"/>
      <c r="F381" s="4"/>
      <c r="G381" s="348" t="s">
        <v>1012</v>
      </c>
      <c r="H381" s="4"/>
      <c r="I381" s="4"/>
      <c r="J381" s="4"/>
      <c r="K381" s="4"/>
      <c r="L381" s="4"/>
      <c r="V381" s="1367" t="s">
        <v>599</v>
      </c>
      <c r="W381" s="1367"/>
      <c r="Y381" s="22" t="s">
        <v>999</v>
      </c>
    </row>
    <row r="382" spans="1:34" ht="13.15" customHeight="1">
      <c r="E382" s="4" t="s">
        <v>1000</v>
      </c>
      <c r="F382" s="4"/>
      <c r="G382" s="4"/>
      <c r="H382" s="4"/>
      <c r="I382" s="4"/>
      <c r="J382" s="4"/>
      <c r="K382" s="4"/>
      <c r="L382" s="4"/>
      <c r="V382" s="1367" t="s">
        <v>599</v>
      </c>
      <c r="W382" s="1367"/>
      <c r="Y382" s="4" t="s">
        <v>1001</v>
      </c>
    </row>
    <row r="383" spans="1:34" ht="13.15" customHeight="1"/>
    <row r="384" spans="1:34" ht="13.15" customHeight="1">
      <c r="A384" s="2" t="s">
        <v>78</v>
      </c>
      <c r="B384" s="2"/>
    </row>
    <row r="385" spans="4:36" ht="13.15" customHeight="1">
      <c r="D385" t="s">
        <v>429</v>
      </c>
      <c r="J385" s="1441" t="s">
        <v>2774</v>
      </c>
      <c r="K385" s="1368"/>
      <c r="L385" s="1368"/>
      <c r="M385" s="1368"/>
      <c r="N385" s="1368"/>
      <c r="O385" s="1368"/>
      <c r="P385" s="1368"/>
      <c r="Q385" s="1368"/>
      <c r="R385" s="1368"/>
      <c r="S385" s="1368"/>
      <c r="T385" s="1368"/>
      <c r="U385" s="1368"/>
      <c r="V385" s="8" t="s">
        <v>83</v>
      </c>
      <c r="W385" s="8"/>
      <c r="X385" s="8"/>
      <c r="Y385" s="8"/>
      <c r="Z385" s="8"/>
      <c r="AA385" s="8"/>
      <c r="AB385" s="8"/>
      <c r="AC385" s="1368" t="s">
        <v>2775</v>
      </c>
      <c r="AD385" s="1368"/>
      <c r="AE385" s="1368"/>
      <c r="AF385" s="1368"/>
      <c r="AG385" s="1368"/>
      <c r="AH385" s="1368"/>
      <c r="AI385" s="1368"/>
      <c r="AJ385" s="1368"/>
    </row>
    <row r="386" spans="4:36" ht="13.15" customHeight="1">
      <c r="D386" s="3" t="s">
        <v>1288</v>
      </c>
      <c r="J386" s="1438" t="s">
        <v>2775</v>
      </c>
      <c r="K386" s="1438"/>
      <c r="L386" s="1438"/>
      <c r="M386" s="1438"/>
      <c r="N386" s="1438"/>
      <c r="O386" s="1438"/>
      <c r="P386" s="1438"/>
      <c r="Q386" s="1438"/>
      <c r="R386" s="1438"/>
      <c r="S386" s="1438"/>
      <c r="T386" s="1438"/>
      <c r="U386" s="1438"/>
      <c r="V386" s="3" t="s">
        <v>1288</v>
      </c>
      <c r="W386" s="8"/>
      <c r="X386" s="8"/>
      <c r="Y386" s="8"/>
      <c r="Z386" s="8"/>
      <c r="AA386" s="8"/>
      <c r="AB386" s="8"/>
      <c r="AC386" s="1368" t="s">
        <v>2775</v>
      </c>
      <c r="AD386" s="1368"/>
      <c r="AE386" s="1368"/>
      <c r="AF386" s="1368"/>
      <c r="AG386" s="1368"/>
      <c r="AH386" s="1368"/>
      <c r="AI386" s="1368"/>
      <c r="AJ386" s="1368"/>
    </row>
    <row r="387" spans="4:36" ht="13.15" customHeight="1">
      <c r="D387" s="3" t="s">
        <v>443</v>
      </c>
      <c r="J387" s="1438" t="s">
        <v>2776</v>
      </c>
      <c r="K387" s="1438"/>
      <c r="L387" s="1438"/>
      <c r="M387" s="1438"/>
      <c r="N387" s="1438"/>
      <c r="O387" s="1438"/>
      <c r="P387" s="1438"/>
      <c r="Q387" s="1438"/>
      <c r="R387" s="1438"/>
      <c r="S387" s="1438"/>
      <c r="T387" s="1438"/>
      <c r="U387" s="1438"/>
      <c r="V387" s="3" t="s">
        <v>443</v>
      </c>
      <c r="W387" s="8"/>
      <c r="X387" s="8"/>
      <c r="Y387" s="8"/>
      <c r="Z387" s="8"/>
      <c r="AA387" s="8"/>
      <c r="AB387" s="8"/>
      <c r="AC387" s="1368" t="s">
        <v>2776</v>
      </c>
      <c r="AD387" s="1368"/>
      <c r="AE387" s="1368"/>
      <c r="AF387" s="1368"/>
      <c r="AG387" s="1368"/>
      <c r="AH387" s="1368"/>
      <c r="AI387" s="1368"/>
      <c r="AJ387" s="1368"/>
    </row>
    <row r="388" spans="4:36" ht="13.15" customHeight="1">
      <c r="D388" t="s">
        <v>1284</v>
      </c>
      <c r="J388" s="1620" t="s">
        <v>2783</v>
      </c>
      <c r="K388" s="1620"/>
      <c r="L388" s="1620"/>
      <c r="M388" s="1620"/>
      <c r="N388" s="1620"/>
      <c r="O388" s="1620"/>
      <c r="P388" s="1620"/>
      <c r="Q388" s="1620"/>
      <c r="R388" s="1620"/>
      <c r="S388" s="1620"/>
      <c r="T388" s="1620"/>
      <c r="U388" s="1620"/>
      <c r="V388" s="1368"/>
      <c r="W388" s="1368"/>
      <c r="X388" s="1368"/>
      <c r="Y388" s="1368"/>
      <c r="Z388" s="1368"/>
      <c r="AA388" s="1368"/>
      <c r="AB388" s="1368"/>
      <c r="AC388" s="1368"/>
      <c r="AD388" s="1368"/>
      <c r="AE388" s="1368"/>
      <c r="AF388" s="1368"/>
      <c r="AG388" s="1368"/>
      <c r="AH388" s="1368"/>
      <c r="AI388" s="1368"/>
      <c r="AJ388" s="1368"/>
    </row>
    <row r="389" spans="4:36" ht="13.15" customHeight="1">
      <c r="D389" t="s">
        <v>4</v>
      </c>
      <c r="Q389" s="1681">
        <v>45246</v>
      </c>
      <c r="R389" s="1681"/>
      <c r="S389" s="1681"/>
      <c r="T389" s="1681"/>
      <c r="U389" s="1681"/>
      <c r="V389" t="s">
        <v>310</v>
      </c>
      <c r="AI389" s="1367" t="s">
        <v>677</v>
      </c>
      <c r="AJ389" s="1367"/>
    </row>
    <row r="390" spans="4:36" ht="13.15" customHeight="1">
      <c r="D390" t="s">
        <v>5</v>
      </c>
      <c r="Q390" s="1585"/>
      <c r="R390" s="1678"/>
      <c r="S390" s="1678"/>
      <c r="T390" s="1678"/>
      <c r="U390" s="1678"/>
      <c r="W390" s="21" t="s">
        <v>74</v>
      </c>
      <c r="AG390" s="1692"/>
      <c r="AH390" s="1692"/>
      <c r="AI390" s="1692"/>
      <c r="AJ390" s="1692"/>
    </row>
    <row r="391" spans="4:36" ht="13.15" customHeight="1">
      <c r="D391" t="s">
        <v>428</v>
      </c>
      <c r="Q391" s="1693">
        <v>8500000</v>
      </c>
      <c r="R391" s="1693"/>
      <c r="S391" s="1693"/>
      <c r="T391" s="1693"/>
      <c r="U391" s="1693"/>
      <c r="V391" s="3" t="s">
        <v>1287</v>
      </c>
      <c r="AG391" s="1821"/>
      <c r="AH391" s="1821"/>
      <c r="AI391" s="1821"/>
      <c r="AJ391" s="1821"/>
    </row>
    <row r="392" spans="4:36" ht="13.15" customHeight="1">
      <c r="D392" t="s">
        <v>88</v>
      </c>
      <c r="I392" s="1440"/>
      <c r="J392" s="1440"/>
      <c r="K392" s="1440"/>
      <c r="L392" s="1440"/>
      <c r="M392" s="1440"/>
      <c r="N392" s="1440"/>
      <c r="Q392" s="4" t="s">
        <v>207</v>
      </c>
      <c r="S392" s="1680"/>
      <c r="T392" s="1680"/>
      <c r="U392" s="1680"/>
      <c r="V392" t="s">
        <v>73</v>
      </c>
      <c r="AI392" s="1367" t="s">
        <v>677</v>
      </c>
      <c r="AJ392" s="1367"/>
    </row>
    <row r="393" spans="4:36" ht="13.15" customHeight="1">
      <c r="D393" t="s">
        <v>311</v>
      </c>
      <c r="Q393" s="1551" t="s">
        <v>599</v>
      </c>
      <c r="R393" s="1551"/>
      <c r="S393" s="1551"/>
      <c r="T393" s="1551"/>
      <c r="U393" s="1551"/>
      <c r="V393" t="s">
        <v>312</v>
      </c>
      <c r="AG393" s="1820" t="s">
        <v>599</v>
      </c>
      <c r="AH393" s="1692"/>
      <c r="AI393" s="1692"/>
      <c r="AJ393" s="1692"/>
    </row>
    <row r="394" spans="4:36" ht="13.15" customHeight="1">
      <c r="D394" t="s">
        <v>313</v>
      </c>
      <c r="Q394" s="1760" t="s">
        <v>599</v>
      </c>
      <c r="R394" s="1761"/>
      <c r="S394" s="1761"/>
      <c r="T394" s="1761"/>
      <c r="U394" s="1761"/>
      <c r="V394" t="s">
        <v>1268</v>
      </c>
      <c r="AG394" s="1692"/>
      <c r="AH394" s="1692"/>
      <c r="AI394" s="1692"/>
      <c r="AJ394" s="1692"/>
    </row>
    <row r="395" spans="4:36" ht="13.15" customHeight="1">
      <c r="D395" t="s">
        <v>1267</v>
      </c>
      <c r="AG395" s="1692"/>
      <c r="AH395" s="1692"/>
      <c r="AI395" s="1692"/>
      <c r="AJ395" s="1692"/>
    </row>
    <row r="396" spans="4:36" ht="13.15" customHeight="1">
      <c r="AG396" s="490"/>
      <c r="AH396" s="490"/>
      <c r="AI396" s="490"/>
      <c r="AJ396" s="490"/>
    </row>
    <row r="397" spans="4:36" ht="13.15" customHeight="1">
      <c r="D397" s="3" t="s">
        <v>2500</v>
      </c>
      <c r="AG397" s="490"/>
      <c r="AH397" s="490"/>
      <c r="AI397" s="1367" t="s">
        <v>677</v>
      </c>
      <c r="AJ397" s="1367"/>
    </row>
    <row r="398" spans="4:36" ht="13.15" customHeight="1">
      <c r="D398" s="3" t="s">
        <v>1779</v>
      </c>
      <c r="T398" s="1770"/>
      <c r="U398" s="1770"/>
      <c r="V398" s="1770"/>
      <c r="W398" s="1770"/>
      <c r="X398" s="1770"/>
      <c r="Y398" s="1770"/>
      <c r="Z398" s="1770"/>
      <c r="AA398" s="1770"/>
      <c r="AB398" s="1770"/>
      <c r="AC398" s="1770"/>
      <c r="AD398" s="1770"/>
      <c r="AE398" s="1770"/>
      <c r="AF398" s="1770"/>
      <c r="AG398" s="1770"/>
      <c r="AH398" s="1770"/>
      <c r="AI398" s="1770"/>
      <c r="AJ398" s="1770"/>
    </row>
    <row r="399" spans="4:36" ht="13.15" customHeight="1">
      <c r="D399" s="3" t="s">
        <v>1778</v>
      </c>
      <c r="T399" s="1770"/>
      <c r="U399" s="1770"/>
      <c r="V399" s="1770"/>
      <c r="W399" s="1770"/>
      <c r="X399" s="1770"/>
      <c r="Y399" s="1770"/>
      <c r="Z399" s="1770"/>
      <c r="AA399" s="1770"/>
      <c r="AB399" s="1770"/>
      <c r="AC399" s="1770"/>
      <c r="AD399" s="1770"/>
      <c r="AE399" s="1770"/>
      <c r="AF399" s="1770"/>
      <c r="AG399" s="1770"/>
      <c r="AH399" s="1770"/>
      <c r="AI399" s="1770"/>
      <c r="AJ399" s="1770"/>
    </row>
    <row r="400" spans="4:36" ht="13.15" customHeight="1">
      <c r="AG400" s="490"/>
      <c r="AH400" s="490"/>
      <c r="AI400" s="490"/>
      <c r="AJ400" s="490"/>
    </row>
    <row r="401" spans="1:36" ht="13.15" customHeight="1">
      <c r="D401" s="3" t="s">
        <v>1772</v>
      </c>
      <c r="S401" s="1770" t="s">
        <v>677</v>
      </c>
      <c r="T401" s="1770"/>
      <c r="U401" s="1770"/>
      <c r="V401" t="s">
        <v>1773</v>
      </c>
      <c r="AG401" s="1856"/>
      <c r="AH401" s="1856"/>
      <c r="AI401" s="1856"/>
      <c r="AJ401" s="1856"/>
    </row>
    <row r="402" spans="1:36" ht="13.15" customHeight="1">
      <c r="D402" s="3" t="s">
        <v>1770</v>
      </c>
      <c r="S402" s="1770" t="s">
        <v>599</v>
      </c>
      <c r="T402" s="1770"/>
      <c r="U402" s="1770"/>
      <c r="V402" t="s">
        <v>1775</v>
      </c>
      <c r="AE402" s="1859"/>
      <c r="AF402" s="1859"/>
      <c r="AG402" s="1859"/>
      <c r="AH402" s="1859"/>
      <c r="AI402" s="1859"/>
      <c r="AJ402" s="1859"/>
    </row>
    <row r="403" spans="1:36" ht="13.15" customHeight="1">
      <c r="D403" s="3" t="s">
        <v>1771</v>
      </c>
      <c r="K403" s="1805"/>
      <c r="L403" s="1805"/>
      <c r="M403" s="1805"/>
      <c r="N403" s="1805"/>
      <c r="O403" s="1805"/>
      <c r="P403" s="1805"/>
      <c r="Q403" s="1805"/>
      <c r="R403" s="1805"/>
      <c r="S403" s="1805"/>
      <c r="T403" s="1805"/>
      <c r="U403" s="1805"/>
      <c r="V403" s="1805"/>
      <c r="W403" s="1805"/>
      <c r="X403" s="1805"/>
      <c r="Y403" s="1805"/>
      <c r="Z403" s="1805"/>
      <c r="AA403" s="1805"/>
      <c r="AB403" s="1805"/>
      <c r="AC403" s="1805"/>
      <c r="AD403" s="1805"/>
      <c r="AE403" s="1805"/>
      <c r="AF403" s="1805"/>
      <c r="AG403" s="1805"/>
      <c r="AH403" s="1805"/>
      <c r="AI403" s="1805"/>
      <c r="AJ403" s="1805"/>
    </row>
    <row r="404" spans="1:36" ht="13.15" customHeight="1">
      <c r="D404" s="3" t="s">
        <v>1774</v>
      </c>
      <c r="K404" s="1805"/>
      <c r="L404" s="1805"/>
      <c r="M404" s="1805"/>
      <c r="N404" s="1805"/>
      <c r="O404" s="1805"/>
      <c r="P404" s="1805"/>
      <c r="Q404" s="1805"/>
      <c r="R404" s="1805"/>
      <c r="S404" s="1805"/>
      <c r="T404" s="1805"/>
      <c r="U404" s="1805"/>
      <c r="V404" s="1805"/>
      <c r="W404" s="1805"/>
      <c r="X404" s="1805"/>
      <c r="Y404" s="1805"/>
      <c r="Z404" s="1805"/>
      <c r="AA404" s="1805"/>
      <c r="AB404" s="1805"/>
      <c r="AC404" s="1805"/>
      <c r="AD404" s="1805"/>
      <c r="AE404" s="1805"/>
      <c r="AF404" s="1805"/>
      <c r="AG404" s="1805"/>
      <c r="AH404" s="1805"/>
      <c r="AI404" s="1805"/>
      <c r="AJ404" s="1805"/>
    </row>
    <row r="405" spans="1:36" ht="13.15" customHeight="1">
      <c r="D405" s="3" t="s">
        <v>1777</v>
      </c>
      <c r="E405" s="511"/>
      <c r="F405" s="511"/>
      <c r="G405" s="511"/>
      <c r="H405" s="511"/>
      <c r="I405" s="511"/>
      <c r="J405" s="511"/>
      <c r="K405" s="511"/>
      <c r="L405" s="511"/>
      <c r="M405" s="511"/>
      <c r="N405" s="511"/>
      <c r="O405" s="511"/>
      <c r="P405" s="511"/>
      <c r="Q405" s="511"/>
      <c r="R405" s="511"/>
      <c r="S405" s="1841" t="s">
        <v>1290</v>
      </c>
      <c r="T405" s="1841"/>
      <c r="U405" s="1841"/>
      <c r="V405" s="1841"/>
      <c r="W405" s="1841"/>
      <c r="X405" s="1841"/>
      <c r="Y405" s="1841"/>
      <c r="Z405" s="1841"/>
      <c r="AA405" s="1841"/>
      <c r="AB405" s="1841"/>
      <c r="AC405" s="1841"/>
      <c r="AD405" s="1841"/>
      <c r="AE405" s="1841"/>
      <c r="AF405" s="1841"/>
      <c r="AG405" s="1841"/>
      <c r="AH405" s="1841"/>
      <c r="AI405" s="1841"/>
      <c r="AJ405" s="1841"/>
    </row>
    <row r="406" spans="1:36" ht="13.15" customHeight="1">
      <c r="D406" s="1272" t="s">
        <v>1776</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1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15" customHeight="1">
      <c r="AG408" s="490"/>
      <c r="AH408" s="490"/>
      <c r="AI408" s="490"/>
      <c r="AJ408" s="490"/>
    </row>
    <row r="409" spans="1:36" ht="13.15" customHeight="1">
      <c r="A409" s="2" t="s">
        <v>597</v>
      </c>
      <c r="B409" s="2"/>
      <c r="C409" s="2" t="s">
        <v>111</v>
      </c>
    </row>
    <row r="410" spans="1:36" ht="13.15" customHeight="1">
      <c r="B410" s="2"/>
      <c r="C410" s="2"/>
      <c r="D410" s="2" t="s">
        <v>1310</v>
      </c>
      <c r="I410" s="1428" t="s">
        <v>2698</v>
      </c>
      <c r="J410" s="1428"/>
      <c r="K410" s="1428"/>
      <c r="L410" s="1428"/>
      <c r="M410" s="1428"/>
      <c r="N410" s="1428"/>
      <c r="O410" s="1428"/>
      <c r="P410" s="1428"/>
      <c r="Q410" s="1428"/>
      <c r="R410" s="1428"/>
      <c r="S410" s="1428"/>
      <c r="T410" s="1428"/>
      <c r="U410" s="1428"/>
      <c r="V410" s="1428"/>
      <c r="W410" s="1428"/>
      <c r="X410" s="1428"/>
      <c r="Y410" s="1428"/>
      <c r="Z410" s="1428"/>
      <c r="AA410" s="1428"/>
      <c r="AB410" s="1428"/>
      <c r="AC410" s="1428"/>
      <c r="AD410" s="1428"/>
      <c r="AE410" s="1428"/>
    </row>
    <row r="411" spans="1:36" ht="13.15" customHeight="1">
      <c r="E411" t="s">
        <v>106</v>
      </c>
      <c r="R411" s="1367" t="s">
        <v>553</v>
      </c>
      <c r="S411" s="1367"/>
      <c r="AC411" s="27" t="s">
        <v>578</v>
      </c>
      <c r="AD411" s="1454">
        <v>8</v>
      </c>
      <c r="AE411" s="1454"/>
    </row>
    <row r="412" spans="1:36" ht="13.15" customHeight="1">
      <c r="E412" t="s">
        <v>107</v>
      </c>
      <c r="R412" s="1367" t="s">
        <v>599</v>
      </c>
      <c r="S412" s="1367"/>
      <c r="AC412" s="27" t="s">
        <v>578</v>
      </c>
      <c r="AD412" s="1454"/>
      <c r="AE412" s="1454"/>
    </row>
    <row r="413" spans="1:36" ht="13.15" customHeight="1">
      <c r="E413" t="s">
        <v>108</v>
      </c>
      <c r="S413" s="1367" t="s">
        <v>599</v>
      </c>
      <c r="T413" s="1367"/>
    </row>
    <row r="414" spans="1:36" ht="13.15" customHeight="1">
      <c r="E414" t="s">
        <v>170</v>
      </c>
      <c r="H414" s="1861" t="s">
        <v>2709</v>
      </c>
      <c r="I414" s="1861"/>
      <c r="J414" s="1861"/>
      <c r="K414" s="1861"/>
      <c r="L414" s="1861"/>
      <c r="M414" s="1861"/>
      <c r="N414" s="1861"/>
      <c r="O414" s="1861"/>
      <c r="P414" s="1861"/>
      <c r="Q414" s="1861"/>
      <c r="R414" s="1861"/>
      <c r="S414" s="1861"/>
      <c r="T414" s="1861"/>
      <c r="U414" s="1861"/>
      <c r="V414" s="1861"/>
      <c r="W414" s="1861"/>
      <c r="X414" s="1861"/>
      <c r="Y414" s="1861"/>
      <c r="Z414" s="1861"/>
      <c r="AA414" s="1861"/>
      <c r="AB414" s="1861"/>
      <c r="AC414" s="1861"/>
      <c r="AD414" s="1861"/>
      <c r="AE414" s="1861"/>
    </row>
    <row r="415" spans="1:36" ht="13.15" customHeight="1">
      <c r="H415" s="1862"/>
      <c r="I415" s="1862"/>
      <c r="J415" s="1862"/>
      <c r="K415" s="1862"/>
      <c r="L415" s="1862"/>
      <c r="M415" s="1862"/>
      <c r="N415" s="1862"/>
      <c r="O415" s="1862"/>
      <c r="P415" s="1862"/>
      <c r="Q415" s="1862"/>
      <c r="R415" s="1862"/>
      <c r="S415" s="1862"/>
      <c r="T415" s="1862"/>
      <c r="U415" s="1862"/>
      <c r="V415" s="1862"/>
      <c r="W415" s="1862"/>
      <c r="X415" s="1862"/>
      <c r="Y415" s="1862"/>
      <c r="Z415" s="1862"/>
      <c r="AA415" s="1862"/>
      <c r="AB415" s="1862"/>
      <c r="AC415" s="1862"/>
      <c r="AD415" s="1862"/>
      <c r="AE415" s="1862"/>
    </row>
    <row r="416" spans="1:36" ht="13.15" customHeight="1"/>
    <row r="417" spans="1:39" ht="13.15" customHeight="1">
      <c r="A417" s="2" t="s">
        <v>598</v>
      </c>
      <c r="B417" s="2"/>
      <c r="C417" s="2"/>
      <c r="D417" s="2" t="s">
        <v>114</v>
      </c>
      <c r="AF417" s="2" t="s">
        <v>976</v>
      </c>
    </row>
    <row r="418" spans="1:39" ht="13.15" customHeight="1">
      <c r="E418" s="1677"/>
      <c r="F418" s="1677"/>
      <c r="G418" s="1677"/>
      <c r="H418" s="13" t="s">
        <v>115</v>
      </c>
      <c r="I418" s="1677"/>
      <c r="J418" s="1677"/>
      <c r="K418" s="1677"/>
      <c r="L418" t="s">
        <v>116</v>
      </c>
      <c r="N418" s="27" t="s">
        <v>583</v>
      </c>
      <c r="P418" s="1679">
        <v>0.43</v>
      </c>
      <c r="Q418" s="1679"/>
      <c r="R418" s="1679"/>
      <c r="S418" t="s">
        <v>117</v>
      </c>
      <c r="W418" s="1860">
        <f>IF(E418&gt;0,(E418*I418),(P418*43560))</f>
        <v>18730.8</v>
      </c>
      <c r="X418" s="1860"/>
      <c r="Y418" s="1860"/>
      <c r="Z418" t="s">
        <v>118</v>
      </c>
      <c r="AF418" s="1691">
        <f>IFERROR(IF(P418&gt;0,(AG437/P418),(AG437/(W418/43560))),0)</f>
        <v>227.90697674418604</v>
      </c>
      <c r="AG418" s="1691"/>
      <c r="AH418" s="1691"/>
      <c r="AM418" s="3"/>
    </row>
    <row r="419" spans="1:39" ht="13.15" customHeight="1">
      <c r="E419" t="s">
        <v>51</v>
      </c>
    </row>
    <row r="420" spans="1:39" ht="13.15" customHeight="1">
      <c r="E420" s="1858"/>
      <c r="F420" s="1858"/>
      <c r="G420" s="1858"/>
      <c r="H420" s="1858"/>
      <c r="I420" s="1858"/>
      <c r="J420" s="1858"/>
      <c r="K420" s="1858"/>
      <c r="L420" s="1858"/>
      <c r="M420" s="1858"/>
      <c r="N420" s="1858"/>
      <c r="O420" s="1858"/>
      <c r="P420" s="1858"/>
      <c r="Q420" s="1858"/>
      <c r="R420" s="1858"/>
      <c r="S420" s="1858"/>
      <c r="T420" s="1858"/>
      <c r="U420" s="1858"/>
      <c r="V420" s="1858"/>
      <c r="W420" s="1858"/>
      <c r="X420" s="1858"/>
      <c r="Y420" s="1858"/>
      <c r="Z420" s="1858"/>
      <c r="AA420" s="1858"/>
      <c r="AB420" s="1858"/>
      <c r="AC420" s="1858"/>
      <c r="AD420" s="1858"/>
      <c r="AE420" s="1858"/>
      <c r="AF420" s="1858"/>
      <c r="AG420" s="1858"/>
      <c r="AH420" s="1858"/>
      <c r="AI420" s="1858"/>
      <c r="AJ420" s="1858"/>
    </row>
    <row r="421" spans="1:39" ht="13.15" customHeight="1">
      <c r="E421" s="118" t="s">
        <v>1924</v>
      </c>
      <c r="F421" s="1048"/>
      <c r="G421" s="1048"/>
      <c r="H421" s="1048"/>
      <c r="I421" s="1768">
        <v>0.43</v>
      </c>
      <c r="J421" s="1768"/>
      <c r="K421" s="1768"/>
      <c r="L421" s="1048"/>
      <c r="M421" s="118"/>
      <c r="N421" s="1048"/>
      <c r="O421" s="1048"/>
      <c r="P421" s="1477">
        <f>(CS634+CS642+CS658)/I421</f>
        <v>455.81395348837208</v>
      </c>
      <c r="Q421" s="1477"/>
      <c r="R421" s="1477"/>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15" customHeight="1"/>
    <row r="423" spans="1:39" ht="13.15" customHeight="1">
      <c r="A423" s="2" t="s">
        <v>600</v>
      </c>
      <c r="B423" s="2"/>
      <c r="C423" s="2"/>
      <c r="D423" s="2" t="s">
        <v>120</v>
      </c>
    </row>
    <row r="424" spans="1:39" ht="13.15" customHeight="1">
      <c r="E424" t="s">
        <v>121</v>
      </c>
      <c r="P424" s="1367">
        <v>1</v>
      </c>
      <c r="Q424" s="1367"/>
      <c r="S424" t="s">
        <v>190</v>
      </c>
      <c r="AE424" s="1367">
        <v>1</v>
      </c>
      <c r="AF424" s="1367"/>
    </row>
    <row r="425" spans="1:39" ht="13.15" customHeight="1">
      <c r="E425" t="s">
        <v>191</v>
      </c>
      <c r="P425" s="1367">
        <v>0</v>
      </c>
      <c r="Q425" s="1367"/>
      <c r="S425" t="s">
        <v>131</v>
      </c>
      <c r="AE425" s="1367" t="s">
        <v>553</v>
      </c>
      <c r="AF425" s="1367"/>
    </row>
    <row r="426" spans="1:39" ht="13.15" customHeight="1">
      <c r="F426" s="28" t="s">
        <v>132</v>
      </c>
    </row>
    <row r="427" spans="1:39" ht="13.15" customHeight="1">
      <c r="F427" s="1793" t="s">
        <v>2699</v>
      </c>
      <c r="G427" s="1793"/>
      <c r="H427" s="1793"/>
      <c r="I427" s="1793"/>
      <c r="J427" s="1793"/>
      <c r="K427" s="1793"/>
      <c r="L427" s="1793"/>
      <c r="M427" s="1793"/>
      <c r="N427" s="1793"/>
      <c r="O427" s="1793"/>
      <c r="P427" s="1793"/>
      <c r="Q427" s="1793"/>
      <c r="R427" s="1793"/>
      <c r="S427" s="1793"/>
      <c r="T427" s="1793"/>
      <c r="U427" s="1793"/>
      <c r="V427" s="1793"/>
      <c r="W427" s="1793"/>
      <c r="X427" s="1793"/>
      <c r="Y427" s="1793"/>
      <c r="Z427" s="1793"/>
      <c r="AA427" s="1793"/>
      <c r="AB427" s="1793"/>
      <c r="AC427" s="1793"/>
      <c r="AD427" s="1793"/>
      <c r="AE427" s="1793"/>
      <c r="AF427" s="1793"/>
      <c r="AG427" s="1793"/>
      <c r="AH427" s="1793"/>
    </row>
    <row r="428" spans="1:39" ht="13.15"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3.15" customHeight="1">
      <c r="E429" t="s">
        <v>616</v>
      </c>
      <c r="P429" s="1"/>
      <c r="Q429" s="1367" t="s">
        <v>677</v>
      </c>
      <c r="R429" s="1367"/>
    </row>
    <row r="430" spans="1:39" ht="13.15" customHeight="1">
      <c r="F430" t="s">
        <v>617</v>
      </c>
      <c r="P430" s="1"/>
      <c r="Q430" s="1"/>
      <c r="AF430" s="1367" t="s">
        <v>599</v>
      </c>
      <c r="AG430" s="1840"/>
    </row>
    <row r="431" spans="1:39" ht="13.15" customHeight="1"/>
    <row r="432" spans="1:39" ht="13.15" customHeight="1">
      <c r="A432" s="2"/>
      <c r="B432" s="2"/>
      <c r="C432" s="2"/>
      <c r="E432" s="4" t="s">
        <v>309</v>
      </c>
      <c r="Z432" s="1367" t="s">
        <v>677</v>
      </c>
      <c r="AA432" s="1367"/>
    </row>
    <row r="433" spans="1:110"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15" customHeight="1">
      <c r="F434" t="s">
        <v>716</v>
      </c>
      <c r="G434" s="40"/>
      <c r="I434" s="40"/>
      <c r="J434" s="40"/>
      <c r="K434" s="40"/>
      <c r="L434" s="40"/>
      <c r="M434" s="40"/>
      <c r="N434" s="40"/>
      <c r="O434" s="28"/>
      <c r="P434" s="40"/>
      <c r="Q434" s="40"/>
      <c r="R434" s="40"/>
      <c r="S434" s="40"/>
      <c r="T434" s="40"/>
      <c r="U434" s="40"/>
      <c r="V434" s="40"/>
      <c r="W434" s="40"/>
      <c r="Z434" s="1367" t="s">
        <v>599</v>
      </c>
      <c r="AA434" s="1367"/>
    </row>
    <row r="435" spans="1:110" ht="13.15" customHeight="1"/>
    <row r="436" spans="1:110" ht="13.15" customHeight="1">
      <c r="A436" s="2" t="s">
        <v>475</v>
      </c>
      <c r="B436" s="2"/>
      <c r="C436" s="2"/>
      <c r="D436" s="2" t="s">
        <v>773</v>
      </c>
      <c r="AF436" s="48"/>
    </row>
    <row r="437" spans="1:110" ht="13.15" customHeight="1">
      <c r="D437" s="1615" t="s">
        <v>43</v>
      </c>
      <c r="E437" s="1616"/>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1839"/>
      <c r="AG437" s="1838">
        <v>98</v>
      </c>
      <c r="AH437" s="1838"/>
      <c r="AI437" s="1838"/>
      <c r="AJ437" s="1838"/>
    </row>
    <row r="438" spans="1:110" ht="13.15" customHeight="1">
      <c r="D438" s="1823" t="s">
        <v>1329</v>
      </c>
      <c r="E438" s="1824"/>
      <c r="F438" s="1824"/>
      <c r="G438" s="1824"/>
      <c r="H438" s="1824"/>
      <c r="I438" s="1824"/>
      <c r="J438" s="1824"/>
      <c r="K438" s="1824"/>
      <c r="L438" s="1824"/>
      <c r="M438" s="1824"/>
      <c r="N438" s="1824"/>
      <c r="O438" s="1824"/>
      <c r="P438" s="1824"/>
      <c r="Q438" s="1824"/>
      <c r="R438" s="1824"/>
      <c r="S438" s="1824"/>
      <c r="T438" s="1824"/>
      <c r="U438" s="1824"/>
      <c r="V438" s="1824"/>
      <c r="W438" s="1824"/>
      <c r="X438" s="1824"/>
      <c r="Y438" s="1824"/>
      <c r="Z438" s="1824"/>
      <c r="AA438" s="1824"/>
      <c r="AB438" s="1824"/>
      <c r="AC438" s="1824"/>
      <c r="AD438" s="1824"/>
      <c r="AE438" s="1824"/>
      <c r="AF438" s="1825"/>
      <c r="AG438" s="1857">
        <v>0</v>
      </c>
      <c r="AH438" s="1389"/>
      <c r="AI438" s="1389"/>
      <c r="AJ438" s="1389"/>
    </row>
    <row r="439" spans="1:110" ht="13.15" customHeight="1">
      <c r="D439" s="1823" t="s">
        <v>1055</v>
      </c>
      <c r="E439" s="1824"/>
      <c r="F439" s="1824"/>
      <c r="G439" s="1824"/>
      <c r="H439" s="1824"/>
      <c r="I439" s="1824"/>
      <c r="J439" s="1824"/>
      <c r="K439" s="1824"/>
      <c r="L439" s="1824"/>
      <c r="M439" s="1824"/>
      <c r="N439" s="1824"/>
      <c r="O439" s="1824"/>
      <c r="P439" s="1824"/>
      <c r="Q439" s="1824"/>
      <c r="R439" s="1824"/>
      <c r="S439" s="1824"/>
      <c r="T439" s="1824"/>
      <c r="U439" s="1824"/>
      <c r="V439" s="1824"/>
      <c r="W439" s="1824"/>
      <c r="X439" s="1824"/>
      <c r="Y439" s="1824"/>
      <c r="Z439" s="1824"/>
      <c r="AA439" s="1824"/>
      <c r="AB439" s="1824"/>
      <c r="AC439" s="1824"/>
      <c r="AD439" s="1824"/>
      <c r="AE439" s="1824"/>
      <c r="AF439" s="1825"/>
      <c r="AG439" s="1838">
        <v>97</v>
      </c>
      <c r="AH439" s="1838"/>
      <c r="AI439" s="1838"/>
      <c r="AJ439" s="1838"/>
    </row>
    <row r="440" spans="1:110" ht="13.15" customHeight="1">
      <c r="D440" s="1823" t="s">
        <v>1056</v>
      </c>
      <c r="E440" s="1824"/>
      <c r="F440" s="1824"/>
      <c r="G440" s="1824"/>
      <c r="H440" s="1824"/>
      <c r="I440" s="1824"/>
      <c r="J440" s="1824"/>
      <c r="K440" s="1824"/>
      <c r="L440" s="1824"/>
      <c r="M440" s="1824"/>
      <c r="N440" s="1824"/>
      <c r="O440" s="1824"/>
      <c r="P440" s="1824"/>
      <c r="Q440" s="1824"/>
      <c r="R440" s="1824"/>
      <c r="S440" s="1824"/>
      <c r="T440" s="1824"/>
      <c r="U440" s="1824"/>
      <c r="V440" s="1824"/>
      <c r="W440" s="1824"/>
      <c r="X440" s="1824"/>
      <c r="Y440" s="1824"/>
      <c r="Z440" s="1824"/>
      <c r="AA440" s="1824"/>
      <c r="AB440" s="1824"/>
      <c r="AC440" s="1824"/>
      <c r="AD440" s="1824"/>
      <c r="AE440" s="1824"/>
      <c r="AF440" s="1825"/>
      <c r="AG440" s="1838">
        <v>97</v>
      </c>
      <c r="AH440" s="1838"/>
      <c r="AI440" s="1838"/>
      <c r="AJ440" s="1838"/>
    </row>
    <row r="441" spans="1:110" ht="13.15" customHeight="1">
      <c r="D441" s="1823" t="s">
        <v>1058</v>
      </c>
      <c r="E441" s="1824"/>
      <c r="F441" s="1824"/>
      <c r="G441" s="1824"/>
      <c r="H441" s="1824"/>
      <c r="I441" s="1824"/>
      <c r="J441" s="1824"/>
      <c r="K441" s="1824"/>
      <c r="L441" s="1824"/>
      <c r="M441" s="1824"/>
      <c r="N441" s="1824"/>
      <c r="O441" s="1824"/>
      <c r="P441" s="1824"/>
      <c r="Q441" s="1824"/>
      <c r="R441" s="1824"/>
      <c r="S441" s="1824"/>
      <c r="T441" s="1824"/>
      <c r="U441" s="1824"/>
      <c r="V441" s="1824"/>
      <c r="W441" s="1824"/>
      <c r="X441" s="1824"/>
      <c r="Y441" s="1824"/>
      <c r="Z441" s="1824"/>
      <c r="AA441" s="1824"/>
      <c r="AB441" s="1824"/>
      <c r="AC441" s="1824"/>
      <c r="AD441" s="1824"/>
      <c r="AE441" s="1824"/>
      <c r="AF441" s="1825"/>
      <c r="AG441" s="1843">
        <f>IF(ISERROR(AG440/AG439),"",AG440/AG439)</f>
        <v>1</v>
      </c>
      <c r="AH441" s="1843"/>
      <c r="AI441" s="1843"/>
      <c r="AJ441" s="1843"/>
    </row>
    <row r="442" spans="1:110" ht="13.15" customHeight="1">
      <c r="D442" s="1823" t="s">
        <v>1057</v>
      </c>
      <c r="E442" s="1824"/>
      <c r="F442" s="1824"/>
      <c r="G442" s="1824"/>
      <c r="H442" s="1824"/>
      <c r="I442" s="1824"/>
      <c r="J442" s="1824"/>
      <c r="K442" s="1824"/>
      <c r="L442" s="1824"/>
      <c r="M442" s="1824"/>
      <c r="N442" s="1824"/>
      <c r="O442" s="1824"/>
      <c r="P442" s="1824"/>
      <c r="Q442" s="1824"/>
      <c r="R442" s="1824"/>
      <c r="S442" s="1824"/>
      <c r="T442" s="1824"/>
      <c r="U442" s="1824"/>
      <c r="V442" s="1824"/>
      <c r="W442" s="1824"/>
      <c r="X442" s="1824"/>
      <c r="Y442" s="1824"/>
      <c r="Z442" s="1824"/>
      <c r="AA442" s="1824"/>
      <c r="AB442" s="1824"/>
      <c r="AC442" s="1824"/>
      <c r="AD442" s="1824"/>
      <c r="AE442" s="1824"/>
      <c r="AF442" s="1825"/>
      <c r="AG442" s="1829">
        <v>70454</v>
      </c>
      <c r="AH442" s="1829"/>
      <c r="AI442" s="1829"/>
      <c r="AJ442" s="1829"/>
    </row>
    <row r="443" spans="1:110" ht="13.15" customHeight="1">
      <c r="D443" s="1823" t="s">
        <v>1059</v>
      </c>
      <c r="E443" s="1824"/>
      <c r="F443" s="1824"/>
      <c r="G443" s="1824"/>
      <c r="H443" s="1824"/>
      <c r="I443" s="1824"/>
      <c r="J443" s="1824"/>
      <c r="K443" s="1824"/>
      <c r="L443" s="1824"/>
      <c r="M443" s="1824"/>
      <c r="N443" s="1824"/>
      <c r="O443" s="1824"/>
      <c r="P443" s="1824"/>
      <c r="Q443" s="1824"/>
      <c r="R443" s="1824"/>
      <c r="S443" s="1824"/>
      <c r="T443" s="1824"/>
      <c r="U443" s="1824"/>
      <c r="V443" s="1824"/>
      <c r="W443" s="1824"/>
      <c r="X443" s="1824"/>
      <c r="Y443" s="1824"/>
      <c r="Z443" s="1824"/>
      <c r="AA443" s="1824"/>
      <c r="AB443" s="1824"/>
      <c r="AC443" s="1824"/>
      <c r="AD443" s="1824"/>
      <c r="AE443" s="1824"/>
      <c r="AF443" s="1825"/>
      <c r="AG443" s="1829">
        <v>70454</v>
      </c>
      <c r="AH443" s="1829"/>
      <c r="AI443" s="1829"/>
      <c r="AJ443" s="1829"/>
    </row>
    <row r="444" spans="1:110" ht="13.15" customHeight="1">
      <c r="D444" s="1823" t="s">
        <v>1060</v>
      </c>
      <c r="E444" s="1824"/>
      <c r="F444" s="1824"/>
      <c r="G444" s="1824"/>
      <c r="H444" s="1824"/>
      <c r="I444" s="1824"/>
      <c r="J444" s="1824"/>
      <c r="K444" s="1824"/>
      <c r="L444" s="1824"/>
      <c r="M444" s="1824"/>
      <c r="N444" s="1824"/>
      <c r="O444" s="1824"/>
      <c r="P444" s="1824"/>
      <c r="Q444" s="1824"/>
      <c r="R444" s="1824"/>
      <c r="S444" s="1824"/>
      <c r="T444" s="1824"/>
      <c r="U444" s="1824"/>
      <c r="V444" s="1824"/>
      <c r="W444" s="1824"/>
      <c r="X444" s="1824"/>
      <c r="Y444" s="1824"/>
      <c r="Z444" s="1824"/>
      <c r="AA444" s="1824"/>
      <c r="AB444" s="1824"/>
      <c r="AC444" s="1824"/>
      <c r="AD444" s="1824"/>
      <c r="AE444" s="1824"/>
      <c r="AF444" s="1825"/>
      <c r="AG444" s="1843">
        <f>IF(ISERROR(AG443/AG442),"",AG443/AG442)</f>
        <v>1</v>
      </c>
      <c r="AH444" s="1843"/>
      <c r="AI444" s="1843"/>
      <c r="AJ444" s="1843"/>
    </row>
    <row r="445" spans="1:110" ht="13.15" customHeight="1">
      <c r="D445" s="1823" t="s">
        <v>1061</v>
      </c>
      <c r="E445" s="1824"/>
      <c r="F445" s="1824"/>
      <c r="G445" s="1824"/>
      <c r="H445" s="1824"/>
      <c r="I445" s="1824"/>
      <c r="J445" s="1824"/>
      <c r="K445" s="1824"/>
      <c r="L445" s="1824"/>
      <c r="M445" s="1824"/>
      <c r="N445" s="1824"/>
      <c r="O445" s="1824"/>
      <c r="P445" s="1824"/>
      <c r="Q445" s="1824"/>
      <c r="R445" s="1824"/>
      <c r="S445" s="1824"/>
      <c r="T445" s="1824"/>
      <c r="U445" s="1824"/>
      <c r="V445" s="1824"/>
      <c r="W445" s="1824"/>
      <c r="X445" s="1824"/>
      <c r="Y445" s="1824"/>
      <c r="Z445" s="1824"/>
      <c r="AA445" s="1824"/>
      <c r="AB445" s="1824"/>
      <c r="AC445" s="1824"/>
      <c r="AD445" s="1824"/>
      <c r="AE445" s="1824"/>
      <c r="AF445" s="1825"/>
      <c r="AG445" s="1843">
        <f>MIN(IF(AG441&gt;AG444,AG444,AG441),1)</f>
        <v>1</v>
      </c>
      <c r="AH445" s="1843"/>
      <c r="AI445" s="1843"/>
      <c r="AJ445" s="1843"/>
    </row>
    <row r="446" spans="1:110" ht="13.15" customHeight="1">
      <c r="D446" s="1823" t="s">
        <v>2402</v>
      </c>
      <c r="E446" s="1616"/>
      <c r="F446" s="1616"/>
      <c r="G446" s="1616"/>
      <c r="H446" s="1616"/>
      <c r="I446" s="1616"/>
      <c r="J446" s="1616"/>
      <c r="K446" s="1616"/>
      <c r="L446" s="1616"/>
      <c r="M446" s="1616"/>
      <c r="N446" s="1616"/>
      <c r="O446" s="1616"/>
      <c r="P446" s="1616"/>
      <c r="Q446" s="1616"/>
      <c r="R446" s="1616"/>
      <c r="S446" s="1616"/>
      <c r="T446" s="1616"/>
      <c r="U446" s="1616"/>
      <c r="V446" s="1616"/>
      <c r="W446" s="1616"/>
      <c r="X446" s="1616"/>
      <c r="Y446" s="1616"/>
      <c r="Z446" s="1616"/>
      <c r="AA446" s="1616"/>
      <c r="AB446" s="1616"/>
      <c r="AC446" s="1616"/>
      <c r="AD446" s="1616"/>
      <c r="AE446" s="1616"/>
      <c r="AF446" s="1839"/>
      <c r="AG446" s="1829">
        <f>677+253+524+896</f>
        <v>2350</v>
      </c>
      <c r="AH446" s="1829"/>
      <c r="AI446" s="1829"/>
      <c r="AJ446" s="18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15" customHeight="1">
      <c r="D447" s="1615" t="s">
        <v>577</v>
      </c>
      <c r="E447" s="1616"/>
      <c r="F447" s="1616"/>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1839"/>
      <c r="AG447" s="1829">
        <v>2700</v>
      </c>
      <c r="AH447" s="1829"/>
      <c r="AI447" s="1829"/>
      <c r="AJ447" s="18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15" customHeight="1">
      <c r="D448" s="1823" t="s">
        <v>1311</v>
      </c>
      <c r="E448" s="1616"/>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1839"/>
      <c r="AG448" s="1829">
        <f>AG446+1100-896</f>
        <v>2554</v>
      </c>
      <c r="AH448" s="1829"/>
      <c r="AI448" s="1829"/>
      <c r="AJ448" s="18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15" customHeight="1">
      <c r="D449" s="1823" t="s">
        <v>1062</v>
      </c>
      <c r="E449" s="1616"/>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1839"/>
      <c r="AG449" s="1829">
        <v>0</v>
      </c>
      <c r="AH449" s="1829"/>
      <c r="AI449" s="1829"/>
      <c r="AJ449" s="18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15" customHeight="1">
      <c r="D450" s="1815" t="s">
        <v>1063</v>
      </c>
      <c r="E450" s="1816"/>
      <c r="F450" s="1816"/>
      <c r="G450" s="1816"/>
      <c r="H450" s="1816"/>
      <c r="I450" s="1816"/>
      <c r="J450" s="1816"/>
      <c r="K450" s="1816"/>
      <c r="L450" s="1816"/>
      <c r="M450" s="1816"/>
      <c r="N450" s="1816"/>
      <c r="O450" s="1816"/>
      <c r="P450" s="1816"/>
      <c r="Q450" s="1816"/>
      <c r="R450" s="1816"/>
      <c r="S450" s="1816"/>
      <c r="T450" s="1816"/>
      <c r="U450" s="1816"/>
      <c r="V450" s="1816"/>
      <c r="W450" s="1816"/>
      <c r="X450" s="1816"/>
      <c r="Y450" s="1816"/>
      <c r="Z450" s="1816"/>
      <c r="AA450" s="1816"/>
      <c r="AB450" s="1816"/>
      <c r="AC450" s="1816"/>
      <c r="AD450" s="1816"/>
      <c r="AE450" s="1816"/>
      <c r="AF450" s="1817"/>
      <c r="AG450" s="1842">
        <f>AG442+AG446+AG448+AG449</f>
        <v>75358</v>
      </c>
      <c r="AH450" s="1842"/>
      <c r="AI450" s="1842"/>
      <c r="AJ450" s="184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15" customHeight="1">
      <c r="D451" s="1818" t="s">
        <v>1312</v>
      </c>
      <c r="E451" s="1818"/>
      <c r="F451" s="1818"/>
      <c r="G451" s="1818"/>
      <c r="H451" s="1818"/>
      <c r="I451" s="1818"/>
      <c r="J451" s="1818"/>
      <c r="K451" s="1818"/>
      <c r="L451" s="1818"/>
      <c r="M451" s="1818"/>
      <c r="N451" s="1818"/>
      <c r="O451" s="1818"/>
      <c r="P451" s="1818"/>
      <c r="Q451" s="1818"/>
      <c r="R451" s="1818"/>
      <c r="S451" s="1818"/>
      <c r="T451" s="1818"/>
      <c r="U451" s="1818"/>
      <c r="V451" s="1818"/>
      <c r="W451" s="1818"/>
      <c r="X451" s="1818"/>
      <c r="Y451" s="1818"/>
      <c r="Z451" s="1818"/>
      <c r="AA451" s="1818"/>
      <c r="AB451" s="1818"/>
      <c r="AC451" s="1818"/>
      <c r="AD451" s="1818"/>
      <c r="AE451" s="1818"/>
      <c r="AF451" s="1818"/>
      <c r="AG451" s="1818"/>
      <c r="AH451" s="1818"/>
      <c r="AI451" s="1818"/>
      <c r="AJ451" s="181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15" customHeight="1">
      <c r="D452" s="1819"/>
      <c r="E452" s="1819"/>
      <c r="F452" s="1819"/>
      <c r="G452" s="1819"/>
      <c r="H452" s="1819"/>
      <c r="I452" s="1819"/>
      <c r="J452" s="1819"/>
      <c r="K452" s="1819"/>
      <c r="L452" s="1819"/>
      <c r="M452" s="1819"/>
      <c r="N452" s="1819"/>
      <c r="O452" s="1819"/>
      <c r="P452" s="1819"/>
      <c r="Q452" s="1819"/>
      <c r="R452" s="1819"/>
      <c r="S452" s="1819"/>
      <c r="T452" s="1819"/>
      <c r="U452" s="1819"/>
      <c r="V452" s="1819"/>
      <c r="W452" s="1819"/>
      <c r="X452" s="1819"/>
      <c r="Y452" s="1819"/>
      <c r="Z452" s="1819"/>
      <c r="AA452" s="1819"/>
      <c r="AB452" s="1819"/>
      <c r="AC452" s="1819"/>
      <c r="AD452" s="1819"/>
      <c r="AE452" s="1819"/>
      <c r="AF452" s="1819"/>
      <c r="AG452" s="1819"/>
      <c r="AH452" s="1819"/>
      <c r="AI452" s="1819"/>
      <c r="AJ452" s="181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1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1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70">
        <f>IF(AG437=0,"",'Sources and Uses Budget'!B105/Application!AG437)</f>
        <v>679160.27959183685</v>
      </c>
      <c r="AD454" s="1870"/>
      <c r="AE454" s="1870"/>
      <c r="AF454" s="187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1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70">
        <f>IF(AG437=0,"",'Sources and Uses Budget'!C105/Application!AG437)</f>
        <v>679160.27959183685</v>
      </c>
      <c r="AD455" s="1870"/>
      <c r="AE455" s="1870"/>
      <c r="AF455" s="187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1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70">
        <f>IF(AG437=0,"",('Sources and Uses Budget'!$S$107+'Sources and Uses Budget'!$T$107)/Application!AG437)</f>
        <v>565802.77959183685</v>
      </c>
      <c r="AD456" s="1870"/>
      <c r="AE456" s="1870"/>
      <c r="AF456" s="187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15" customHeight="1">
      <c r="D457" s="186"/>
      <c r="E457" s="186"/>
      <c r="F457" s="141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2"/>
      <c r="H457" s="1412"/>
      <c r="I457" s="1412"/>
      <c r="J457" s="1412"/>
      <c r="K457" s="1412"/>
      <c r="L457" s="1412"/>
      <c r="M457" s="1412"/>
      <c r="N457" s="1412"/>
      <c r="O457" s="1412"/>
      <c r="P457" s="1412"/>
      <c r="Q457" s="1412"/>
      <c r="R457" s="1412"/>
      <c r="S457" s="1412"/>
      <c r="T457" s="1412"/>
      <c r="U457" s="1412"/>
      <c r="V457" s="1412"/>
      <c r="W457" s="1412"/>
      <c r="X457" s="1412"/>
      <c r="Y457" s="1412"/>
      <c r="Z457" s="1412"/>
      <c r="AA457" s="1412"/>
      <c r="AB457" s="141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15" customHeight="1">
      <c r="A458" s="2"/>
      <c r="D458" s="2"/>
      <c r="E458" s="186"/>
      <c r="F458" s="1412"/>
      <c r="G458" s="1412"/>
      <c r="H458" s="1412"/>
      <c r="I458" s="1412"/>
      <c r="J458" s="1412"/>
      <c r="K458" s="1412"/>
      <c r="L458" s="1412"/>
      <c r="M458" s="1412"/>
      <c r="N458" s="1412"/>
      <c r="O458" s="1412"/>
      <c r="P458" s="1412"/>
      <c r="Q458" s="1412"/>
      <c r="R458" s="1412"/>
      <c r="S458" s="1412"/>
      <c r="T458" s="1412"/>
      <c r="U458" s="1412"/>
      <c r="V458" s="1412"/>
      <c r="W458" s="1412"/>
      <c r="X458" s="1412"/>
      <c r="Y458" s="1412"/>
      <c r="Z458" s="1412"/>
      <c r="AA458" s="1412"/>
      <c r="AB458" s="141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1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1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1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1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1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1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15" customHeight="1">
      <c r="A465" s="3"/>
      <c r="B465" s="3"/>
      <c r="C465" s="3"/>
      <c r="D465" s="1771" t="s">
        <v>2416</v>
      </c>
      <c r="E465" s="1766"/>
      <c r="F465" s="1766"/>
      <c r="G465" s="1766"/>
      <c r="H465" s="1766"/>
      <c r="I465" s="1766"/>
      <c r="J465" s="1766"/>
      <c r="K465" s="1766"/>
      <c r="L465" s="1766"/>
      <c r="M465" s="1766"/>
      <c r="N465" s="1766"/>
      <c r="O465" s="1766"/>
      <c r="P465" s="1766"/>
      <c r="Q465" s="1766"/>
      <c r="R465" s="1766"/>
      <c r="S465" s="1766"/>
      <c r="T465" s="1766"/>
      <c r="U465" s="1766"/>
      <c r="V465" s="1767"/>
      <c r="W465" s="1683">
        <v>0</v>
      </c>
      <c r="X465" s="1684"/>
      <c r="Y465" s="168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15" customHeight="1">
      <c r="A466" s="3"/>
      <c r="B466" s="3"/>
      <c r="C466" s="3"/>
      <c r="D466" s="1765" t="s">
        <v>702</v>
      </c>
      <c r="E466" s="1766"/>
      <c r="F466" s="1766"/>
      <c r="G466" s="1766"/>
      <c r="H466" s="1766"/>
      <c r="I466" s="1766"/>
      <c r="J466" s="1766"/>
      <c r="K466" s="1766"/>
      <c r="L466" s="1766"/>
      <c r="M466" s="1766"/>
      <c r="N466" s="1766"/>
      <c r="O466" s="1766"/>
      <c r="P466" s="1766"/>
      <c r="Q466" s="1766"/>
      <c r="R466" s="1766"/>
      <c r="S466" s="1766"/>
      <c r="T466" s="1766"/>
      <c r="U466" s="1766"/>
      <c r="V466" s="1767"/>
      <c r="W466" s="1683">
        <v>0</v>
      </c>
      <c r="X466" s="1684"/>
      <c r="Y466" s="168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15" customHeight="1">
      <c r="A467" s="3"/>
      <c r="B467" s="3"/>
      <c r="C467" s="3"/>
      <c r="D467" s="1765" t="s">
        <v>703</v>
      </c>
      <c r="E467" s="1766"/>
      <c r="F467" s="1766"/>
      <c r="G467" s="1766"/>
      <c r="H467" s="1766"/>
      <c r="I467" s="1766"/>
      <c r="J467" s="1766"/>
      <c r="K467" s="1766"/>
      <c r="L467" s="1766"/>
      <c r="M467" s="1766"/>
      <c r="N467" s="1766"/>
      <c r="O467" s="1766"/>
      <c r="P467" s="1766"/>
      <c r="Q467" s="1766"/>
      <c r="R467" s="1766"/>
      <c r="S467" s="1766"/>
      <c r="T467" s="1766"/>
      <c r="U467" s="1766"/>
      <c r="V467" s="1767"/>
      <c r="W467" s="1683">
        <v>0</v>
      </c>
      <c r="X467" s="1684"/>
      <c r="Y467" s="168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15" customHeight="1">
      <c r="A468" s="3"/>
      <c r="B468" s="3"/>
      <c r="C468" s="3"/>
      <c r="D468" s="1765" t="s">
        <v>704</v>
      </c>
      <c r="E468" s="1766"/>
      <c r="F468" s="1766"/>
      <c r="G468" s="1766"/>
      <c r="H468" s="1766"/>
      <c r="I468" s="1766"/>
      <c r="J468" s="1766"/>
      <c r="K468" s="1766"/>
      <c r="L468" s="1766"/>
      <c r="M468" s="1766"/>
      <c r="N468" s="1766"/>
      <c r="O468" s="1766"/>
      <c r="P468" s="1766"/>
      <c r="Q468" s="1766"/>
      <c r="R468" s="1766"/>
      <c r="S468" s="1766"/>
      <c r="T468" s="1766"/>
      <c r="U468" s="1766"/>
      <c r="V468" s="1767"/>
      <c r="W468" s="1683">
        <v>0</v>
      </c>
      <c r="X468" s="1684"/>
      <c r="Y468" s="168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15" customHeight="1">
      <c r="A469" s="3"/>
      <c r="B469" s="3"/>
      <c r="C469" s="3"/>
      <c r="D469" s="1765" t="s">
        <v>893</v>
      </c>
      <c r="E469" s="1766"/>
      <c r="F469" s="1766"/>
      <c r="G469" s="1766"/>
      <c r="H469" s="1766"/>
      <c r="I469" s="1766"/>
      <c r="J469" s="1766"/>
      <c r="K469" s="1766"/>
      <c r="L469" s="1766"/>
      <c r="M469" s="1766"/>
      <c r="N469" s="1766"/>
      <c r="O469" s="1766"/>
      <c r="P469" s="1766"/>
      <c r="Q469" s="1766"/>
      <c r="R469" s="1766"/>
      <c r="S469" s="1766"/>
      <c r="T469" s="1766"/>
      <c r="U469" s="1766"/>
      <c r="V469" s="1767"/>
      <c r="W469" s="1683">
        <v>0</v>
      </c>
      <c r="X469" s="1684"/>
      <c r="Y469" s="168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15" customHeight="1">
      <c r="A470" s="3"/>
      <c r="B470" s="3"/>
      <c r="C470" s="3"/>
      <c r="D470" s="1765" t="s">
        <v>705</v>
      </c>
      <c r="E470" s="1766"/>
      <c r="F470" s="1766"/>
      <c r="G470" s="1766"/>
      <c r="H470" s="1766"/>
      <c r="I470" s="1766"/>
      <c r="J470" s="1766"/>
      <c r="K470" s="1766"/>
      <c r="L470" s="1766"/>
      <c r="M470" s="1766"/>
      <c r="N470" s="1766"/>
      <c r="O470" s="1766"/>
      <c r="P470" s="1766"/>
      <c r="Q470" s="1766"/>
      <c r="R470" s="1766"/>
      <c r="S470" s="1766"/>
      <c r="T470" s="1766"/>
      <c r="U470" s="1766"/>
      <c r="V470" s="1767"/>
      <c r="W470" s="1683">
        <v>0</v>
      </c>
      <c r="X470" s="1684"/>
      <c r="Y470" s="168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15" customHeight="1">
      <c r="A471" s="3"/>
      <c r="B471" s="3"/>
      <c r="C471" s="3"/>
      <c r="D471" s="1765" t="s">
        <v>1036</v>
      </c>
      <c r="E471" s="1766"/>
      <c r="F471" s="1766"/>
      <c r="G471" s="1766"/>
      <c r="H471" s="1766"/>
      <c r="I471" s="1766"/>
      <c r="J471" s="1766"/>
      <c r="K471" s="1766"/>
      <c r="L471" s="1766"/>
      <c r="M471" s="1766"/>
      <c r="N471" s="1766"/>
      <c r="O471" s="1766"/>
      <c r="P471" s="1766"/>
      <c r="Q471" s="1766"/>
      <c r="R471" s="1766"/>
      <c r="S471" s="1766"/>
      <c r="T471" s="1766"/>
      <c r="U471" s="1766"/>
      <c r="V471" s="1767"/>
      <c r="W471" s="1683">
        <v>0</v>
      </c>
      <c r="X471" s="1684"/>
      <c r="Y471" s="168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15" customHeight="1">
      <c r="A472" s="3"/>
      <c r="B472" s="3"/>
      <c r="C472" s="3"/>
      <c r="D472" s="1771" t="s">
        <v>2551</v>
      </c>
      <c r="E472" s="1827"/>
      <c r="F472" s="1827"/>
      <c r="G472" s="1827"/>
      <c r="H472" s="1827"/>
      <c r="I472" s="1827"/>
      <c r="J472" s="1827"/>
      <c r="K472" s="1827"/>
      <c r="L472" s="1827"/>
      <c r="M472" s="1827"/>
      <c r="N472" s="1827"/>
      <c r="O472" s="1827"/>
      <c r="P472" s="1827"/>
      <c r="Q472" s="1827"/>
      <c r="R472" s="1827"/>
      <c r="S472" s="1827"/>
      <c r="T472" s="1827"/>
      <c r="U472" s="1827"/>
      <c r="V472" s="1828"/>
      <c r="W472" s="1683">
        <v>0</v>
      </c>
      <c r="X472" s="1684"/>
      <c r="Y472" s="168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15" customHeight="1">
      <c r="A473" s="3"/>
      <c r="B473" s="3"/>
      <c r="C473" s="3"/>
      <c r="D473" s="1771" t="s">
        <v>1765</v>
      </c>
      <c r="E473" s="1766"/>
      <c r="F473" s="1766"/>
      <c r="G473" s="1766"/>
      <c r="H473" s="1766"/>
      <c r="I473" s="1766"/>
      <c r="J473" s="1766"/>
      <c r="K473" s="1766"/>
      <c r="L473" s="1766"/>
      <c r="M473" s="1766"/>
      <c r="N473" s="1766"/>
      <c r="O473" s="1766"/>
      <c r="P473" s="1766"/>
      <c r="Q473" s="1766"/>
      <c r="R473" s="1766"/>
      <c r="S473" s="1766"/>
      <c r="T473" s="1766"/>
      <c r="U473" s="1766"/>
      <c r="V473" s="1767"/>
      <c r="W473" s="1683">
        <v>15</v>
      </c>
      <c r="X473" s="1684"/>
      <c r="Y473" s="168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15" customHeight="1">
      <c r="A474" s="3"/>
      <c r="B474" s="3"/>
      <c r="C474" s="3"/>
      <c r="D474" s="261" t="s">
        <v>170</v>
      </c>
      <c r="E474" s="262"/>
      <c r="F474" s="263"/>
      <c r="G474" s="1864" t="s">
        <v>1065</v>
      </c>
      <c r="H474" s="1865"/>
      <c r="I474" s="1865"/>
      <c r="J474" s="1865"/>
      <c r="K474" s="1865"/>
      <c r="L474" s="1865"/>
      <c r="M474" s="1865"/>
      <c r="N474" s="1865"/>
      <c r="O474" s="1865"/>
      <c r="P474" s="1865"/>
      <c r="Q474" s="1865"/>
      <c r="R474" s="1865"/>
      <c r="S474" s="1865"/>
      <c r="T474" s="1865"/>
      <c r="U474" s="1865"/>
      <c r="V474" s="1866"/>
      <c r="W474" s="1683">
        <v>82</v>
      </c>
      <c r="X474" s="1684"/>
      <c r="Y474" s="168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1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1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1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1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1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15" customHeight="1">
      <c r="A480" s="1439" t="s">
        <v>819</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1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1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1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1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15" customHeight="1">
      <c r="B485" s="45"/>
      <c r="C485" s="5"/>
      <c r="D485" s="5"/>
      <c r="E485" s="5"/>
      <c r="F485" s="5"/>
      <c r="G485" s="5"/>
      <c r="H485" s="5"/>
      <c r="I485" s="5"/>
      <c r="J485" s="5"/>
      <c r="K485" s="5"/>
      <c r="L485" s="5"/>
      <c r="M485" s="5"/>
      <c r="N485" s="5"/>
      <c r="O485" s="5"/>
      <c r="P485" s="46"/>
      <c r="Q485" s="1826" t="s">
        <v>394</v>
      </c>
      <c r="R485" s="1778"/>
      <c r="S485" s="1778"/>
      <c r="T485" s="1778"/>
      <c r="U485" s="1778"/>
      <c r="V485" s="1778"/>
      <c r="W485" s="1778"/>
      <c r="X485" s="1778"/>
      <c r="Y485" s="1778"/>
      <c r="Z485" s="1778"/>
      <c r="AA485" s="1778"/>
      <c r="AB485" s="1778"/>
      <c r="AC485" s="1778"/>
      <c r="AD485" s="1778"/>
      <c r="AE485" s="1778"/>
      <c r="AF485" s="1778"/>
      <c r="AG485" s="1778"/>
      <c r="AH485" s="1778"/>
      <c r="AI485" s="1778"/>
      <c r="AJ485" s="1778"/>
      <c r="AK485" s="177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15" customHeight="1">
      <c r="B486" s="45" t="s">
        <v>395</v>
      </c>
      <c r="C486" s="5"/>
      <c r="D486" s="5"/>
      <c r="E486" s="5"/>
      <c r="F486" s="5"/>
      <c r="G486" s="5"/>
      <c r="H486" s="5"/>
      <c r="I486" s="5"/>
      <c r="J486" s="5"/>
      <c r="K486" s="5"/>
      <c r="L486" s="5"/>
      <c r="M486" s="5"/>
      <c r="N486" s="5"/>
      <c r="O486" s="5"/>
      <c r="P486" s="5"/>
      <c r="Q486" s="1648" t="s">
        <v>2700</v>
      </c>
      <c r="R486" s="1438"/>
      <c r="S486" s="1438"/>
      <c r="T486" s="1438"/>
      <c r="U486" s="1438"/>
      <c r="V486" s="1438"/>
      <c r="W486" s="1438"/>
      <c r="X486" s="1438"/>
      <c r="Y486" s="1438"/>
      <c r="Z486" s="1438"/>
      <c r="AA486" s="1438"/>
      <c r="AB486" s="1438"/>
      <c r="AC486" s="1438"/>
      <c r="AD486" s="1438"/>
      <c r="AE486" s="1438"/>
      <c r="AF486" s="1438"/>
      <c r="AG486" s="1438"/>
      <c r="AH486" s="1438"/>
      <c r="AI486" s="1438"/>
      <c r="AJ486" s="1438"/>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15" customHeight="1">
      <c r="B487" s="45" t="s">
        <v>396</v>
      </c>
      <c r="C487" s="5"/>
      <c r="D487" s="5"/>
      <c r="E487" s="5"/>
      <c r="F487" s="5"/>
      <c r="G487" s="5"/>
      <c r="H487" s="5"/>
      <c r="I487" s="5"/>
      <c r="J487" s="5"/>
      <c r="K487" s="5"/>
      <c r="L487" s="5"/>
      <c r="M487" s="5"/>
      <c r="N487" s="5"/>
      <c r="O487" s="5"/>
      <c r="P487" s="5"/>
      <c r="Q487" s="1648" t="s">
        <v>2700</v>
      </c>
      <c r="R487" s="1438"/>
      <c r="S487" s="1438"/>
      <c r="T487" s="1438"/>
      <c r="U487" s="1438"/>
      <c r="V487" s="1438"/>
      <c r="W487" s="1438"/>
      <c r="X487" s="1438"/>
      <c r="Y487" s="1438"/>
      <c r="Z487" s="1438"/>
      <c r="AA487" s="1438"/>
      <c r="AB487" s="1438"/>
      <c r="AC487" s="1438"/>
      <c r="AD487" s="1438"/>
      <c r="AE487" s="1438"/>
      <c r="AF487" s="1438"/>
      <c r="AG487" s="1438"/>
      <c r="AH487" s="1438"/>
      <c r="AI487" s="1438"/>
      <c r="AJ487" s="1438"/>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15" customHeight="1">
      <c r="B488" s="45" t="s">
        <v>397</v>
      </c>
      <c r="C488" s="5"/>
      <c r="D488" s="5"/>
      <c r="E488" s="5"/>
      <c r="F488" s="5"/>
      <c r="G488" s="5"/>
      <c r="H488" s="5"/>
      <c r="I488" s="5"/>
      <c r="J488" s="5"/>
      <c r="K488" s="5"/>
      <c r="L488" s="5"/>
      <c r="M488" s="5"/>
      <c r="N488" s="5"/>
      <c r="O488" s="5"/>
      <c r="P488" s="5"/>
      <c r="Q488" s="1689" t="s">
        <v>2700</v>
      </c>
      <c r="R488" s="1438"/>
      <c r="S488" s="1438"/>
      <c r="T488" s="1438"/>
      <c r="U488" s="1438"/>
      <c r="V488" s="1438"/>
      <c r="W488" s="1438"/>
      <c r="X488" s="1438"/>
      <c r="Y488" s="1438"/>
      <c r="Z488" s="1438"/>
      <c r="AA488" s="1438"/>
      <c r="AB488" s="1438"/>
      <c r="AC488" s="1438"/>
      <c r="AD488" s="1438"/>
      <c r="AE488" s="1438"/>
      <c r="AF488" s="1438"/>
      <c r="AG488" s="1438"/>
      <c r="AH488" s="1438"/>
      <c r="AI488" s="1438"/>
      <c r="AJ488" s="1438"/>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15" customHeight="1" thickBot="1">
      <c r="B489" s="1844" t="s">
        <v>398</v>
      </c>
      <c r="C489" s="1845"/>
      <c r="D489" s="1845"/>
      <c r="E489" s="1845"/>
      <c r="F489" s="1845"/>
      <c r="G489" s="1845"/>
      <c r="H489" s="1845"/>
      <c r="I489" s="1845"/>
      <c r="J489" s="1845"/>
      <c r="K489" s="1845"/>
      <c r="L489" s="1845"/>
      <c r="M489" s="1845"/>
      <c r="N489" s="1845"/>
      <c r="O489" s="1845"/>
      <c r="P489" s="1846"/>
      <c r="Q489" s="1850" t="s">
        <v>677</v>
      </c>
      <c r="R489" s="1851"/>
      <c r="S489" s="1772" t="s">
        <v>166</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15" customHeight="1">
      <c r="B490" s="1847"/>
      <c r="C490" s="1848"/>
      <c r="D490" s="1848"/>
      <c r="E490" s="1848"/>
      <c r="F490" s="1848"/>
      <c r="G490" s="1848"/>
      <c r="H490" s="1848"/>
      <c r="I490" s="1848"/>
      <c r="J490" s="1848"/>
      <c r="K490" s="1848"/>
      <c r="L490" s="1848"/>
      <c r="M490" s="1848"/>
      <c r="N490" s="1848"/>
      <c r="O490" s="1848"/>
      <c r="P490" s="1849"/>
      <c r="Q490" s="1852"/>
      <c r="R490" s="1853"/>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15" customHeight="1">
      <c r="B491" s="930" t="s">
        <v>1783</v>
      </c>
      <c r="C491" s="907"/>
      <c r="D491" s="907"/>
      <c r="E491" s="907"/>
      <c r="F491" s="907"/>
      <c r="G491" s="907"/>
      <c r="H491" s="907"/>
      <c r="I491" s="907"/>
      <c r="J491" s="907"/>
      <c r="K491" s="907"/>
      <c r="L491" s="907"/>
      <c r="M491" s="907"/>
      <c r="N491" s="907"/>
      <c r="O491" s="907"/>
      <c r="P491" s="907"/>
      <c r="Q491" s="1867" t="s">
        <v>677</v>
      </c>
      <c r="R491" s="1868"/>
      <c r="S491" s="1868"/>
      <c r="T491" s="1868"/>
      <c r="U491" s="1868"/>
      <c r="V491" s="1868"/>
      <c r="W491" s="1868"/>
      <c r="X491" s="1868"/>
      <c r="Y491" s="1868"/>
      <c r="Z491" s="1868"/>
      <c r="AA491" s="1868"/>
      <c r="AB491" s="1868"/>
      <c r="AC491" s="1868"/>
      <c r="AD491" s="1868"/>
      <c r="AE491" s="1868"/>
      <c r="AF491" s="1868"/>
      <c r="AG491" s="1868"/>
      <c r="AH491" s="1868"/>
      <c r="AI491" s="1868"/>
      <c r="AJ491" s="1868"/>
      <c r="AK491" s="186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15" customHeight="1">
      <c r="B492" s="45" t="s">
        <v>399</v>
      </c>
      <c r="C492" s="5"/>
      <c r="D492" s="5"/>
      <c r="E492" s="5"/>
      <c r="F492" s="5"/>
      <c r="G492" s="5"/>
      <c r="H492" s="5"/>
      <c r="I492" s="5"/>
      <c r="J492" s="5"/>
      <c r="K492" s="5"/>
      <c r="L492" s="5"/>
      <c r="M492" s="5"/>
      <c r="N492" s="5"/>
      <c r="O492" s="5"/>
      <c r="P492" s="5"/>
      <c r="Q492" s="1689" t="s">
        <v>2710</v>
      </c>
      <c r="R492" s="1438"/>
      <c r="S492" s="1438"/>
      <c r="T492" s="1438"/>
      <c r="U492" s="1438"/>
      <c r="V492" s="1438"/>
      <c r="W492" s="1438"/>
      <c r="X492" s="1438"/>
      <c r="Y492" s="1438"/>
      <c r="Z492" s="1438"/>
      <c r="AA492" s="1438"/>
      <c r="AB492" s="1438"/>
      <c r="AC492" s="1438"/>
      <c r="AD492" s="1438"/>
      <c r="AE492" s="1438"/>
      <c r="AF492" s="1438"/>
      <c r="AG492" s="1438"/>
      <c r="AH492" s="1438"/>
      <c r="AI492" s="1438"/>
      <c r="AJ492" s="1438"/>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15" customHeight="1">
      <c r="B493" s="45" t="s">
        <v>400</v>
      </c>
      <c r="C493" s="5"/>
      <c r="D493" s="5"/>
      <c r="E493" s="5"/>
      <c r="F493" s="5"/>
      <c r="G493" s="5"/>
      <c r="H493" s="5"/>
      <c r="I493" s="5"/>
      <c r="J493" s="5"/>
      <c r="K493" s="5"/>
      <c r="L493" s="5"/>
      <c r="M493" s="5"/>
      <c r="N493" s="5"/>
      <c r="O493" s="5"/>
      <c r="P493" s="5"/>
      <c r="Q493" s="1689" t="s">
        <v>2727</v>
      </c>
      <c r="R493" s="1438"/>
      <c r="S493" s="1438"/>
      <c r="T493" s="1438"/>
      <c r="U493" s="1438"/>
      <c r="V493" s="1438"/>
      <c r="W493" s="1438"/>
      <c r="X493" s="1438"/>
      <c r="Y493" s="1438"/>
      <c r="Z493" s="1438"/>
      <c r="AA493" s="1438"/>
      <c r="AB493" s="1438"/>
      <c r="AC493" s="1438"/>
      <c r="AD493" s="1438"/>
      <c r="AE493" s="1438"/>
      <c r="AF493" s="1438"/>
      <c r="AG493" s="1438"/>
      <c r="AH493" s="1438"/>
      <c r="AI493" s="1438"/>
      <c r="AJ493" s="1438"/>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15" customHeight="1">
      <c r="B494" s="121" t="s">
        <v>1780</v>
      </c>
      <c r="C494" s="5"/>
      <c r="D494" s="5"/>
      <c r="E494" s="5"/>
      <c r="F494" s="5"/>
      <c r="G494" s="5"/>
      <c r="H494" s="5"/>
      <c r="I494" s="5"/>
      <c r="J494" s="5"/>
      <c r="K494" s="5"/>
      <c r="L494" s="5"/>
      <c r="M494" s="5"/>
      <c r="N494" s="5"/>
      <c r="O494" s="5"/>
      <c r="P494" s="5"/>
      <c r="Q494" s="1689">
        <v>14</v>
      </c>
      <c r="R494" s="1438"/>
      <c r="S494" s="1438"/>
      <c r="T494" s="1438"/>
      <c r="U494" s="1438"/>
      <c r="V494" s="1438"/>
      <c r="W494" s="1438"/>
      <c r="X494" s="1438"/>
      <c r="Y494" s="1438"/>
      <c r="Z494" s="1438"/>
      <c r="AA494" s="1438"/>
      <c r="AB494" s="1438"/>
      <c r="AC494" s="1438"/>
      <c r="AD494" s="1438"/>
      <c r="AE494" s="1438"/>
      <c r="AF494" s="1438"/>
      <c r="AG494" s="1438"/>
      <c r="AH494" s="1438"/>
      <c r="AI494" s="1438"/>
      <c r="AJ494" s="1438"/>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15" customHeight="1">
      <c r="B495" s="121" t="s">
        <v>1781</v>
      </c>
      <c r="C495" s="5"/>
      <c r="D495" s="5"/>
      <c r="E495" s="5"/>
      <c r="F495" s="5"/>
      <c r="G495" s="5"/>
      <c r="H495" s="5"/>
      <c r="I495" s="5"/>
      <c r="J495" s="5"/>
      <c r="K495" s="5"/>
      <c r="L495" s="5"/>
      <c r="M495" s="1435"/>
      <c r="N495" s="1436"/>
      <c r="O495" s="1436"/>
      <c r="P495" s="1437"/>
      <c r="Q495" s="121" t="s">
        <v>1782</v>
      </c>
      <c r="R495" s="5"/>
      <c r="S495" s="5"/>
      <c r="T495" s="5"/>
      <c r="U495" s="5"/>
      <c r="V495" s="5"/>
      <c r="W495" s="5"/>
      <c r="X495" s="5"/>
      <c r="Y495" s="5"/>
      <c r="Z495" s="5"/>
      <c r="AA495" s="5"/>
      <c r="AB495" s="5"/>
      <c r="AC495" s="5"/>
      <c r="AD495" s="5"/>
      <c r="AE495" s="5"/>
      <c r="AF495" s="5"/>
      <c r="AG495" s="5"/>
      <c r="AH495" s="1435">
        <v>14</v>
      </c>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1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1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1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26" t="s">
        <v>402</v>
      </c>
      <c r="AD499" s="1778"/>
      <c r="AE499" s="1778"/>
      <c r="AF499" s="1778"/>
      <c r="AG499" s="1778"/>
      <c r="AH499" s="1778"/>
      <c r="AI499" s="1778"/>
      <c r="AJ499" s="1778"/>
      <c r="AK499" s="177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26" t="s">
        <v>403</v>
      </c>
      <c r="AD500" s="1778"/>
      <c r="AE500" s="1778"/>
      <c r="AF500" s="1778"/>
      <c r="AG500" s="50" t="s">
        <v>404</v>
      </c>
      <c r="AH500" s="1778" t="s">
        <v>405</v>
      </c>
      <c r="AI500" s="1778"/>
      <c r="AJ500" s="1778"/>
      <c r="AK500" s="177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15" customHeight="1">
      <c r="B501" s="1694" t="s">
        <v>406</v>
      </c>
      <c r="C501" s="1493"/>
      <c r="D501" s="1493"/>
      <c r="E501" s="1493"/>
      <c r="F501" s="1493"/>
      <c r="G501" s="1493"/>
      <c r="H501" s="1494"/>
      <c r="I501" s="42" t="s">
        <v>407</v>
      </c>
      <c r="J501" s="42"/>
      <c r="K501" s="42"/>
      <c r="L501" s="42"/>
      <c r="M501" s="42"/>
      <c r="N501" s="42"/>
      <c r="O501" s="42"/>
      <c r="P501" s="42"/>
      <c r="Q501" s="42"/>
      <c r="R501" s="42"/>
      <c r="S501" s="42"/>
      <c r="T501" s="42"/>
      <c r="U501" s="42"/>
      <c r="V501" s="42"/>
      <c r="W501" s="42"/>
      <c r="AC501" s="1453" t="s">
        <v>599</v>
      </c>
      <c r="AD501" s="1454"/>
      <c r="AE501" s="1454"/>
      <c r="AF501" s="1454"/>
      <c r="AG501" s="13" t="s">
        <v>404</v>
      </c>
      <c r="AH501" s="1620">
        <v>0</v>
      </c>
      <c r="AI501" s="1620"/>
      <c r="AJ501" s="1620"/>
      <c r="AK501" s="162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15" customHeight="1">
      <c r="B502" s="1695"/>
      <c r="C502" s="1495"/>
      <c r="D502" s="1495"/>
      <c r="E502" s="1495"/>
      <c r="F502" s="1495"/>
      <c r="G502" s="1495"/>
      <c r="H502" s="1496"/>
      <c r="I502" s="48" t="s">
        <v>408</v>
      </c>
      <c r="J502" s="48"/>
      <c r="K502" s="48"/>
      <c r="L502" s="48"/>
      <c r="M502" s="48"/>
      <c r="N502" s="48"/>
      <c r="O502" s="48"/>
      <c r="P502" s="48"/>
      <c r="Q502" s="48"/>
      <c r="R502" s="48"/>
      <c r="S502" s="48"/>
      <c r="T502" s="48"/>
      <c r="U502" s="48"/>
      <c r="V502" s="48"/>
      <c r="W502" s="48"/>
      <c r="X502" s="48"/>
      <c r="Y502" s="48"/>
      <c r="Z502" s="48"/>
      <c r="AA502" s="48"/>
      <c r="AB502" s="48"/>
      <c r="AC502" s="1453">
        <v>11</v>
      </c>
      <c r="AD502" s="1454"/>
      <c r="AE502" s="1454"/>
      <c r="AF502" s="1454"/>
      <c r="AG502" s="38" t="s">
        <v>404</v>
      </c>
      <c r="AH502" s="1620">
        <v>2023</v>
      </c>
      <c r="AI502" s="1620"/>
      <c r="AJ502" s="1620"/>
      <c r="AK502" s="162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15" customHeight="1">
      <c r="B503" s="1694" t="s">
        <v>409</v>
      </c>
      <c r="C503" s="1493"/>
      <c r="D503" s="1493"/>
      <c r="E503" s="1493"/>
      <c r="F503" s="1493"/>
      <c r="G503" s="1493"/>
      <c r="H503" s="1494"/>
      <c r="I503" s="42" t="s">
        <v>410</v>
      </c>
      <c r="J503" s="42"/>
      <c r="K503" s="42"/>
      <c r="L503" s="42"/>
      <c r="M503" s="42"/>
      <c r="N503" s="42"/>
      <c r="O503" s="42"/>
      <c r="P503" s="42"/>
      <c r="Q503" s="42"/>
      <c r="R503" s="42"/>
      <c r="S503" s="42"/>
      <c r="T503" s="42"/>
      <c r="U503" s="42"/>
      <c r="V503" s="42"/>
      <c r="W503" s="42"/>
      <c r="AC503" s="1453" t="s">
        <v>599</v>
      </c>
      <c r="AD503" s="1454"/>
      <c r="AE503" s="1454"/>
      <c r="AF503" s="1454"/>
      <c r="AG503" s="13" t="s">
        <v>404</v>
      </c>
      <c r="AH503" s="1620"/>
      <c r="AI503" s="1620"/>
      <c r="AJ503" s="1620"/>
      <c r="AK503" s="162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15" customHeight="1">
      <c r="B504" s="1695"/>
      <c r="C504" s="1495"/>
      <c r="D504" s="1495"/>
      <c r="E504" s="1495"/>
      <c r="F504" s="1495"/>
      <c r="G504" s="1495"/>
      <c r="H504" s="1496"/>
      <c r="I504" t="s">
        <v>411</v>
      </c>
      <c r="AC504" s="1453" t="s">
        <v>599</v>
      </c>
      <c r="AD504" s="1454"/>
      <c r="AE504" s="1454"/>
      <c r="AF504" s="1454"/>
      <c r="AG504" s="13" t="s">
        <v>404</v>
      </c>
      <c r="AH504" s="1620"/>
      <c r="AI504" s="1620"/>
      <c r="AJ504" s="1620"/>
      <c r="AK504" s="162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15" customHeight="1">
      <c r="B505" s="1695"/>
      <c r="C505" s="1495"/>
      <c r="D505" s="1495"/>
      <c r="E505" s="1495"/>
      <c r="F505" s="1495"/>
      <c r="G505" s="1495"/>
      <c r="H505" s="1496"/>
      <c r="I505" t="s">
        <v>412</v>
      </c>
      <c r="AC505" s="1453" t="s">
        <v>599</v>
      </c>
      <c r="AD505" s="1454"/>
      <c r="AE505" s="1454"/>
      <c r="AF505" s="1454"/>
      <c r="AG505" s="13" t="s">
        <v>404</v>
      </c>
      <c r="AH505" s="1620"/>
      <c r="AI505" s="1620"/>
      <c r="AJ505" s="1620"/>
      <c r="AK505" s="162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15" customHeight="1">
      <c r="B506" s="1695"/>
      <c r="C506" s="1495"/>
      <c r="D506" s="1495"/>
      <c r="E506" s="1495"/>
      <c r="F506" s="1495"/>
      <c r="G506" s="1495"/>
      <c r="H506" s="1496"/>
      <c r="I506" t="s">
        <v>413</v>
      </c>
      <c r="AC506" s="1453">
        <v>4</v>
      </c>
      <c r="AD506" s="1454"/>
      <c r="AE506" s="1454"/>
      <c r="AF506" s="1454"/>
      <c r="AG506" s="13" t="s">
        <v>404</v>
      </c>
      <c r="AH506" s="1620">
        <v>2025</v>
      </c>
      <c r="AI506" s="1620"/>
      <c r="AJ506" s="1620"/>
      <c r="AK506" s="162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15" customHeight="1">
      <c r="B507" s="1695"/>
      <c r="C507" s="1495"/>
      <c r="D507" s="1495"/>
      <c r="E507" s="1495"/>
      <c r="F507" s="1495"/>
      <c r="G507" s="1495"/>
      <c r="H507" s="1496"/>
      <c r="I507" s="3" t="s">
        <v>414</v>
      </c>
      <c r="AC507" s="1355">
        <v>4</v>
      </c>
      <c r="AD507" s="1356"/>
      <c r="AE507" s="1356"/>
      <c r="AF507" s="1356"/>
      <c r="AG507" s="13" t="s">
        <v>404</v>
      </c>
      <c r="AH507" s="1620">
        <v>2025</v>
      </c>
      <c r="AI507" s="1620"/>
      <c r="AJ507" s="1620"/>
      <c r="AK507" s="162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15" customHeight="1">
      <c r="B508" s="1695"/>
      <c r="C508" s="1495"/>
      <c r="D508" s="1495"/>
      <c r="E508" s="1495"/>
      <c r="F508" s="1495"/>
      <c r="G508" s="1495"/>
      <c r="H508" s="1496"/>
      <c r="I508" s="931" t="s">
        <v>170</v>
      </c>
      <c r="J508" s="48"/>
      <c r="K508" s="48"/>
      <c r="L508" s="1769" t="s">
        <v>335</v>
      </c>
      <c r="M508" s="1770"/>
      <c r="N508" s="1770"/>
      <c r="O508" s="1770"/>
      <c r="P508" s="1770"/>
      <c r="Q508" s="1770"/>
      <c r="R508" s="1770"/>
      <c r="S508" s="1770"/>
      <c r="T508" s="1770"/>
      <c r="U508" s="1770"/>
      <c r="V508" s="1770"/>
      <c r="W508" s="1770"/>
      <c r="X508" s="1770"/>
      <c r="Y508" s="1770"/>
      <c r="Z508" s="1770"/>
      <c r="AA508" s="1770"/>
      <c r="AB508" s="1831"/>
      <c r="AC508" s="1453" t="s">
        <v>599</v>
      </c>
      <c r="AD508" s="1454"/>
      <c r="AE508" s="1454"/>
      <c r="AF508" s="1454"/>
      <c r="AG508" s="38" t="s">
        <v>404</v>
      </c>
      <c r="AH508" s="1620"/>
      <c r="AI508" s="1620"/>
      <c r="AJ508" s="1620"/>
      <c r="AK508" s="162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15" customHeight="1">
      <c r="B509" s="905"/>
      <c r="C509" s="130"/>
      <c r="D509" s="130"/>
      <c r="E509" s="130"/>
      <c r="F509" s="130"/>
      <c r="G509" s="130"/>
      <c r="H509" s="906"/>
      <c r="I509" s="3" t="s">
        <v>1787</v>
      </c>
      <c r="AC509" s="1838" t="s">
        <v>677</v>
      </c>
      <c r="AD509" s="1838"/>
      <c r="AE509" s="1838"/>
      <c r="AF509" s="1838"/>
      <c r="AG509" s="13"/>
      <c r="AH509" s="1303"/>
      <c r="AI509" s="1303"/>
      <c r="AJ509" s="1303"/>
      <c r="AK509" s="183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15" customHeight="1">
      <c r="B510" s="905"/>
      <c r="C510" s="130"/>
      <c r="D510" s="130"/>
      <c r="E510" s="130"/>
      <c r="F510" s="130"/>
      <c r="G510" s="130"/>
      <c r="H510" s="906"/>
      <c r="I510" t="s">
        <v>1784</v>
      </c>
      <c r="AC510" s="1355"/>
      <c r="AD510" s="1356"/>
      <c r="AE510" s="1356"/>
      <c r="AF510" s="1357"/>
      <c r="AG510" s="13"/>
      <c r="AH510" s="1303"/>
      <c r="AI510" s="1303"/>
      <c r="AJ510" s="1303"/>
      <c r="AK510" s="183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1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1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3"/>
      <c r="AD512" s="1834"/>
      <c r="AE512" s="1834"/>
      <c r="AF512" s="1835"/>
      <c r="AG512" s="38"/>
      <c r="AH512" s="1836"/>
      <c r="AI512" s="1836"/>
      <c r="AJ512" s="1836"/>
      <c r="AK512" s="1837"/>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1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63" t="s">
        <v>403</v>
      </c>
      <c r="AD513" s="1740"/>
      <c r="AE513" s="1740"/>
      <c r="AF513" s="1740"/>
      <c r="AG513" s="38" t="s">
        <v>404</v>
      </c>
      <c r="AH513" s="1740" t="s">
        <v>405</v>
      </c>
      <c r="AI513" s="1740"/>
      <c r="AJ513" s="1740"/>
      <c r="AK513" s="1822"/>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15" customHeight="1">
      <c r="B514" s="1694" t="s">
        <v>415</v>
      </c>
      <c r="C514" s="1493"/>
      <c r="D514" s="1493"/>
      <c r="E514" s="1493"/>
      <c r="F514" s="1493"/>
      <c r="G514" s="1493"/>
      <c r="H514" s="1494"/>
      <c r="I514" s="42" t="s">
        <v>416</v>
      </c>
      <c r="J514" s="42"/>
      <c r="K514" s="42"/>
      <c r="L514" s="42"/>
      <c r="M514" s="42"/>
      <c r="N514" s="42"/>
      <c r="O514" s="42"/>
      <c r="P514" s="42"/>
      <c r="Q514" s="42"/>
      <c r="R514" s="42"/>
      <c r="S514" s="42"/>
      <c r="T514" s="42"/>
      <c r="U514" s="42"/>
      <c r="V514" s="42"/>
      <c r="W514" s="42"/>
      <c r="AC514" s="1453">
        <v>8</v>
      </c>
      <c r="AD514" s="1454"/>
      <c r="AE514" s="1454"/>
      <c r="AF514" s="1454"/>
      <c r="AG514" s="13" t="s">
        <v>404</v>
      </c>
      <c r="AH514" s="1620">
        <v>2024</v>
      </c>
      <c r="AI514" s="1620"/>
      <c r="AJ514" s="1620"/>
      <c r="AK514" s="1621"/>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15" customHeight="1">
      <c r="B515" s="1695"/>
      <c r="C515" s="1495"/>
      <c r="D515" s="1495"/>
      <c r="E515" s="1495"/>
      <c r="F515" s="1495"/>
      <c r="G515" s="1495"/>
      <c r="H515" s="1496"/>
      <c r="I515" t="s">
        <v>417</v>
      </c>
      <c r="AC515" s="1453">
        <v>8</v>
      </c>
      <c r="AD515" s="1454"/>
      <c r="AE515" s="1454"/>
      <c r="AF515" s="1454"/>
      <c r="AG515" s="13" t="s">
        <v>404</v>
      </c>
      <c r="AH515" s="1620">
        <v>2024</v>
      </c>
      <c r="AI515" s="1620"/>
      <c r="AJ515" s="1620"/>
      <c r="AK515" s="1621"/>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15" customHeight="1">
      <c r="B516" s="1695"/>
      <c r="C516" s="1495"/>
      <c r="D516" s="1495"/>
      <c r="E516" s="1495"/>
      <c r="F516" s="1495"/>
      <c r="G516" s="1495"/>
      <c r="H516" s="1496"/>
      <c r="I516" s="48" t="s">
        <v>418</v>
      </c>
      <c r="J516" s="48"/>
      <c r="K516" s="48"/>
      <c r="L516" s="48"/>
      <c r="M516" s="48"/>
      <c r="N516" s="48"/>
      <c r="O516" s="48"/>
      <c r="P516" s="48"/>
      <c r="Q516" s="48"/>
      <c r="R516" s="48"/>
      <c r="S516" s="48"/>
      <c r="T516" s="48"/>
      <c r="U516" s="48"/>
      <c r="V516" s="48"/>
      <c r="W516" s="48"/>
      <c r="X516" s="48"/>
      <c r="Y516" s="48"/>
      <c r="Z516" s="48"/>
      <c r="AA516" s="48"/>
      <c r="AB516" s="48"/>
      <c r="AC516" s="1453">
        <v>6</v>
      </c>
      <c r="AD516" s="1454"/>
      <c r="AE516" s="1454"/>
      <c r="AF516" s="1454"/>
      <c r="AG516" s="38" t="s">
        <v>404</v>
      </c>
      <c r="AH516" s="1620">
        <v>2025</v>
      </c>
      <c r="AI516" s="1620"/>
      <c r="AJ516" s="1620"/>
      <c r="AK516" s="1621"/>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15" customHeight="1">
      <c r="B517" s="1694" t="s">
        <v>419</v>
      </c>
      <c r="C517" s="1493"/>
      <c r="D517" s="1493"/>
      <c r="E517" s="1493"/>
      <c r="F517" s="1493"/>
      <c r="G517" s="1493"/>
      <c r="H517" s="1494"/>
      <c r="I517" s="42" t="s">
        <v>416</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404</v>
      </c>
      <c r="AH517" s="1620">
        <v>2024</v>
      </c>
      <c r="AI517" s="1620"/>
      <c r="AJ517" s="1620"/>
      <c r="AK517" s="1621"/>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15" customHeight="1">
      <c r="B518" s="1695"/>
      <c r="C518" s="1495"/>
      <c r="D518" s="1495"/>
      <c r="E518" s="1495"/>
      <c r="F518" s="1495"/>
      <c r="G518" s="1495"/>
      <c r="H518" s="1496"/>
      <c r="I518" t="s">
        <v>417</v>
      </c>
      <c r="AC518" s="1453">
        <v>8</v>
      </c>
      <c r="AD518" s="1454"/>
      <c r="AE518" s="1454"/>
      <c r="AF518" s="1454"/>
      <c r="AG518" s="13" t="s">
        <v>404</v>
      </c>
      <c r="AH518" s="1620">
        <v>2024</v>
      </c>
      <c r="AI518" s="1620"/>
      <c r="AJ518" s="1620"/>
      <c r="AK518" s="1621"/>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15" customHeight="1">
      <c r="B519" s="1696"/>
      <c r="C519" s="1497"/>
      <c r="D519" s="1497"/>
      <c r="E519" s="1497"/>
      <c r="F519" s="1497"/>
      <c r="G519" s="1497"/>
      <c r="H519" s="1498"/>
      <c r="I519" s="48" t="s">
        <v>418</v>
      </c>
      <c r="J519" s="48"/>
      <c r="K519" s="48"/>
      <c r="L519" s="48"/>
      <c r="M519" s="48"/>
      <c r="N519" s="48"/>
      <c r="O519" s="48"/>
      <c r="P519" s="48"/>
      <c r="Q519" s="48"/>
      <c r="R519" s="48"/>
      <c r="S519" s="48"/>
      <c r="T519" s="48"/>
      <c r="U519" s="48"/>
      <c r="V519" s="48"/>
      <c r="W519" s="48"/>
      <c r="X519" s="48"/>
      <c r="Y519" s="48"/>
      <c r="Z519" s="48"/>
      <c r="AA519" s="48"/>
      <c r="AB519" s="48"/>
      <c r="AC519" s="1453">
        <v>9</v>
      </c>
      <c r="AD519" s="1454"/>
      <c r="AE519" s="1454"/>
      <c r="AF519" s="1454"/>
      <c r="AG519" s="38" t="s">
        <v>404</v>
      </c>
      <c r="AH519" s="1620">
        <v>2027</v>
      </c>
      <c r="AI519" s="1620"/>
      <c r="AJ519" s="1620"/>
      <c r="AK519" s="1621"/>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15" customHeight="1">
      <c r="B520" s="1694" t="s">
        <v>420</v>
      </c>
      <c r="C520" s="1493"/>
      <c r="D520" s="1493"/>
      <c r="E520" s="1493"/>
      <c r="F520" s="1493"/>
      <c r="G520" s="1493"/>
      <c r="H520" s="1494"/>
      <c r="I520" s="41" t="s">
        <v>421</v>
      </c>
      <c r="J520" s="42"/>
      <c r="K520" s="42"/>
      <c r="L520" s="42"/>
      <c r="M520" s="42"/>
      <c r="N520" s="42"/>
      <c r="O520" s="1769" t="s">
        <v>2646</v>
      </c>
      <c r="P520" s="1770"/>
      <c r="Q520" s="1770"/>
      <c r="R520" s="1770"/>
      <c r="S520" s="1770"/>
      <c r="T520" s="1770"/>
      <c r="U520" s="1770"/>
      <c r="V520" s="1770"/>
      <c r="W520" s="1770"/>
      <c r="X520" s="1770"/>
      <c r="Y520" s="1770"/>
      <c r="Z520" s="1770"/>
      <c r="AA520" s="1770"/>
      <c r="AB520" s="58"/>
      <c r="AC520" s="1355"/>
      <c r="AD520" s="1356"/>
      <c r="AE520" s="1356"/>
      <c r="AF520" s="1356"/>
      <c r="AG520" s="129" t="s">
        <v>404</v>
      </c>
      <c r="AH520" s="1620"/>
      <c r="AI520" s="1620"/>
      <c r="AJ520" s="1620"/>
      <c r="AK520" s="1621"/>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15" customHeight="1">
      <c r="B521" s="1695"/>
      <c r="C521" s="1495"/>
      <c r="D521" s="1495"/>
      <c r="E521" s="1495"/>
      <c r="F521" s="1495"/>
      <c r="G521" s="1495"/>
      <c r="H521" s="1496"/>
      <c r="I521" s="114" t="s">
        <v>422</v>
      </c>
      <c r="AB521" s="65"/>
      <c r="AC521" s="1453">
        <v>6</v>
      </c>
      <c r="AD521" s="1454"/>
      <c r="AE521" s="1454"/>
      <c r="AF521" s="1454"/>
      <c r="AG521" s="13" t="s">
        <v>404</v>
      </c>
      <c r="AH521" s="1620">
        <v>2023</v>
      </c>
      <c r="AI521" s="1620"/>
      <c r="AJ521" s="1620"/>
      <c r="AK521" s="1621"/>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15" customHeight="1">
      <c r="B522" s="1695"/>
      <c r="C522" s="1495"/>
      <c r="D522" s="1495"/>
      <c r="E522" s="1495"/>
      <c r="F522" s="1495"/>
      <c r="G522" s="1495"/>
      <c r="H522" s="1496"/>
      <c r="I522" s="47" t="s">
        <v>423</v>
      </c>
      <c r="J522" s="48"/>
      <c r="K522" s="48"/>
      <c r="L522" s="48"/>
      <c r="M522" s="48"/>
      <c r="N522" s="48"/>
      <c r="O522" s="48"/>
      <c r="P522" s="48"/>
      <c r="Q522" s="48"/>
      <c r="R522" s="48"/>
      <c r="S522" s="48"/>
      <c r="T522" s="48"/>
      <c r="U522" s="48"/>
      <c r="V522" s="48"/>
      <c r="W522" s="48"/>
      <c r="X522" s="48"/>
      <c r="Y522" s="48"/>
      <c r="Z522" s="48"/>
      <c r="AA522" s="48"/>
      <c r="AB522" s="49"/>
      <c r="AC522" s="1453">
        <v>3</v>
      </c>
      <c r="AD522" s="1454"/>
      <c r="AE522" s="1454"/>
      <c r="AF522" s="1454"/>
      <c r="AG522" s="38" t="s">
        <v>404</v>
      </c>
      <c r="AH522" s="1620">
        <v>2024</v>
      </c>
      <c r="AI522" s="1620"/>
      <c r="AJ522" s="1620"/>
      <c r="AK522" s="1621"/>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15" customHeight="1">
      <c r="B523" s="1695"/>
      <c r="C523" s="1495"/>
      <c r="D523" s="1495"/>
      <c r="E523" s="1495"/>
      <c r="F523" s="1495"/>
      <c r="G523" s="1495"/>
      <c r="H523" s="1496"/>
      <c r="I523" s="42" t="s">
        <v>424</v>
      </c>
      <c r="J523" s="42"/>
      <c r="K523" s="42"/>
      <c r="L523" s="42"/>
      <c r="M523" s="42"/>
      <c r="N523" s="42"/>
      <c r="O523" s="1769" t="s">
        <v>2707</v>
      </c>
      <c r="P523" s="1770"/>
      <c r="Q523" s="1770"/>
      <c r="R523" s="1770"/>
      <c r="S523" s="1770"/>
      <c r="T523" s="1770"/>
      <c r="U523" s="1770"/>
      <c r="V523" s="1770"/>
      <c r="W523" s="1770"/>
      <c r="X523" s="1770"/>
      <c r="Y523" s="1770"/>
      <c r="Z523" s="1770"/>
      <c r="AA523" s="1770"/>
      <c r="AC523" s="1453" t="s">
        <v>599</v>
      </c>
      <c r="AD523" s="1454"/>
      <c r="AE523" s="1454"/>
      <c r="AF523" s="1454"/>
      <c r="AG523" s="13" t="s">
        <v>404</v>
      </c>
      <c r="AH523" s="1620"/>
      <c r="AI523" s="1620"/>
      <c r="AJ523" s="1620"/>
      <c r="AK523" s="1621"/>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15" customHeight="1">
      <c r="B524" s="1695"/>
      <c r="C524" s="1495"/>
      <c r="D524" s="1495"/>
      <c r="E524" s="1495"/>
      <c r="F524" s="1495"/>
      <c r="G524" s="1495"/>
      <c r="H524" s="1496"/>
      <c r="I524" t="s">
        <v>422</v>
      </c>
      <c r="AC524" s="1453">
        <v>8</v>
      </c>
      <c r="AD524" s="1454"/>
      <c r="AE524" s="1454"/>
      <c r="AF524" s="1454"/>
      <c r="AG524" s="13" t="s">
        <v>404</v>
      </c>
      <c r="AH524" s="1620">
        <v>2023</v>
      </c>
      <c r="AI524" s="1620"/>
      <c r="AJ524" s="1620"/>
      <c r="AK524" s="1621"/>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15" customHeight="1">
      <c r="B525" s="1695"/>
      <c r="C525" s="1495"/>
      <c r="D525" s="1495"/>
      <c r="E525" s="1495"/>
      <c r="F525" s="1495"/>
      <c r="G525" s="1495"/>
      <c r="H525" s="1496"/>
      <c r="I525" s="48" t="s">
        <v>423</v>
      </c>
      <c r="J525" s="48"/>
      <c r="K525" s="48"/>
      <c r="L525" s="48"/>
      <c r="M525" s="48"/>
      <c r="N525" s="48"/>
      <c r="O525" s="48"/>
      <c r="P525" s="48"/>
      <c r="Q525" s="48"/>
      <c r="R525" s="48"/>
      <c r="S525" s="48"/>
      <c r="T525" s="48"/>
      <c r="U525" s="48"/>
      <c r="V525" s="48"/>
      <c r="W525" s="48"/>
      <c r="X525" s="48"/>
      <c r="Y525" s="48"/>
      <c r="Z525" s="48"/>
      <c r="AA525" s="48"/>
      <c r="AB525" s="48"/>
      <c r="AC525" s="1453">
        <v>11</v>
      </c>
      <c r="AD525" s="1454"/>
      <c r="AE525" s="1454"/>
      <c r="AF525" s="1454"/>
      <c r="AG525" s="38" t="s">
        <v>404</v>
      </c>
      <c r="AH525" s="1620">
        <v>2023</v>
      </c>
      <c r="AI525" s="1620"/>
      <c r="AJ525" s="1620"/>
      <c r="AK525" s="1621"/>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15" customHeight="1">
      <c r="B526" s="1695"/>
      <c r="C526" s="1495"/>
      <c r="D526" s="1495"/>
      <c r="E526" s="1495"/>
      <c r="F526" s="1495"/>
      <c r="G526" s="1495"/>
      <c r="H526" s="1496"/>
      <c r="I526" s="42" t="s">
        <v>424</v>
      </c>
      <c r="J526" s="42"/>
      <c r="K526" s="42"/>
      <c r="L526" s="42"/>
      <c r="M526" s="42"/>
      <c r="N526" s="42"/>
      <c r="O526" s="1769" t="s">
        <v>335</v>
      </c>
      <c r="P526" s="1770"/>
      <c r="Q526" s="1770"/>
      <c r="R526" s="1770"/>
      <c r="S526" s="1770"/>
      <c r="T526" s="1770"/>
      <c r="U526" s="1770"/>
      <c r="V526" s="1770"/>
      <c r="W526" s="1770"/>
      <c r="X526" s="1770"/>
      <c r="Y526" s="1770"/>
      <c r="Z526" s="1770"/>
      <c r="AA526" s="1770"/>
      <c r="AC526" s="1453" t="s">
        <v>599</v>
      </c>
      <c r="AD526" s="1454"/>
      <c r="AE526" s="1454"/>
      <c r="AF526" s="1454"/>
      <c r="AG526" s="13" t="s">
        <v>404</v>
      </c>
      <c r="AH526" s="1620"/>
      <c r="AI526" s="1620"/>
      <c r="AJ526" s="1620"/>
      <c r="AK526" s="1621"/>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15" customHeight="1">
      <c r="B527" s="1695"/>
      <c r="C527" s="1495"/>
      <c r="D527" s="1495"/>
      <c r="E527" s="1495"/>
      <c r="F527" s="1495"/>
      <c r="G527" s="1495"/>
      <c r="H527" s="1496"/>
      <c r="I527" t="s">
        <v>422</v>
      </c>
      <c r="AC527" s="1453" t="s">
        <v>599</v>
      </c>
      <c r="AD527" s="1454"/>
      <c r="AE527" s="1454"/>
      <c r="AF527" s="1454"/>
      <c r="AG527" s="13" t="s">
        <v>404</v>
      </c>
      <c r="AH527" s="1620"/>
      <c r="AI527" s="1620"/>
      <c r="AJ527" s="1620"/>
      <c r="AK527" s="1621"/>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15" customHeight="1">
      <c r="B528" s="1695"/>
      <c r="C528" s="1495"/>
      <c r="D528" s="1495"/>
      <c r="E528" s="1495"/>
      <c r="F528" s="1495"/>
      <c r="G528" s="1495"/>
      <c r="H528" s="1496"/>
      <c r="I528" s="48" t="s">
        <v>423</v>
      </c>
      <c r="J528" s="48"/>
      <c r="K528" s="48"/>
      <c r="L528" s="48"/>
      <c r="M528" s="48"/>
      <c r="N528" s="48"/>
      <c r="O528" s="48"/>
      <c r="P528" s="48"/>
      <c r="Q528" s="48"/>
      <c r="R528" s="48"/>
      <c r="S528" s="48"/>
      <c r="T528" s="48"/>
      <c r="U528" s="48"/>
      <c r="V528" s="48"/>
      <c r="W528" s="48"/>
      <c r="X528" s="48"/>
      <c r="Y528" s="48"/>
      <c r="Z528" s="48"/>
      <c r="AA528" s="48"/>
      <c r="AB528" s="48"/>
      <c r="AC528" s="1453" t="s">
        <v>599</v>
      </c>
      <c r="AD528" s="1454"/>
      <c r="AE528" s="1454"/>
      <c r="AF528" s="1454"/>
      <c r="AG528" s="38" t="s">
        <v>404</v>
      </c>
      <c r="AH528" s="1620"/>
      <c r="AI528" s="1620"/>
      <c r="AJ528" s="1620"/>
      <c r="AK528" s="1621"/>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15" customHeight="1">
      <c r="B529" s="1695"/>
      <c r="C529" s="1495"/>
      <c r="D529" s="1495"/>
      <c r="E529" s="1495"/>
      <c r="F529" s="1495"/>
      <c r="G529" s="1495"/>
      <c r="H529" s="1496"/>
      <c r="I529" s="42" t="s">
        <v>424</v>
      </c>
      <c r="J529" s="42"/>
      <c r="K529" s="42"/>
      <c r="L529" s="42"/>
      <c r="M529" s="42"/>
      <c r="N529" s="42"/>
      <c r="O529" s="1769" t="s">
        <v>335</v>
      </c>
      <c r="P529" s="1770"/>
      <c r="Q529" s="1770"/>
      <c r="R529" s="1770"/>
      <c r="S529" s="1770"/>
      <c r="T529" s="1770"/>
      <c r="U529" s="1770"/>
      <c r="V529" s="1770"/>
      <c r="W529" s="1770"/>
      <c r="X529" s="1770"/>
      <c r="Y529" s="1770"/>
      <c r="Z529" s="1770"/>
      <c r="AA529" s="1770"/>
      <c r="AC529" s="1453" t="s">
        <v>599</v>
      </c>
      <c r="AD529" s="1454"/>
      <c r="AE529" s="1454"/>
      <c r="AF529" s="1454"/>
      <c r="AG529" s="13" t="s">
        <v>404</v>
      </c>
      <c r="AH529" s="1620"/>
      <c r="AI529" s="1620"/>
      <c r="AJ529" s="1620"/>
      <c r="AK529" s="1621"/>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15" customHeight="1">
      <c r="B530" s="1695"/>
      <c r="C530" s="1495"/>
      <c r="D530" s="1495"/>
      <c r="E530" s="1495"/>
      <c r="F530" s="1495"/>
      <c r="G530" s="1495"/>
      <c r="H530" s="1496"/>
      <c r="I530" t="s">
        <v>422</v>
      </c>
      <c r="AC530" s="1453" t="s">
        <v>599</v>
      </c>
      <c r="AD530" s="1454"/>
      <c r="AE530" s="1454"/>
      <c r="AF530" s="1454"/>
      <c r="AG530" s="13" t="s">
        <v>404</v>
      </c>
      <c r="AH530" s="1620"/>
      <c r="AI530" s="1620"/>
      <c r="AJ530" s="1620"/>
      <c r="AK530" s="1621"/>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15" customHeight="1">
      <c r="B531" s="1695"/>
      <c r="C531" s="1495"/>
      <c r="D531" s="1495"/>
      <c r="E531" s="1495"/>
      <c r="F531" s="1495"/>
      <c r="G531" s="1495"/>
      <c r="H531" s="1496"/>
      <c r="I531" s="48" t="s">
        <v>423</v>
      </c>
      <c r="J531" s="48"/>
      <c r="K531" s="48"/>
      <c r="L531" s="48"/>
      <c r="M531" s="48"/>
      <c r="N531" s="48"/>
      <c r="O531" s="48"/>
      <c r="P531" s="48"/>
      <c r="Q531" s="48"/>
      <c r="R531" s="48"/>
      <c r="S531" s="48"/>
      <c r="T531" s="48"/>
      <c r="U531" s="48"/>
      <c r="V531" s="48"/>
      <c r="W531" s="48"/>
      <c r="X531" s="48"/>
      <c r="Y531" s="48"/>
      <c r="Z531" s="48"/>
      <c r="AA531" s="48"/>
      <c r="AB531" s="48"/>
      <c r="AC531" s="1453" t="s">
        <v>599</v>
      </c>
      <c r="AD531" s="1454"/>
      <c r="AE531" s="1454"/>
      <c r="AF531" s="1454"/>
      <c r="AG531" s="38" t="s">
        <v>404</v>
      </c>
      <c r="AH531" s="1620"/>
      <c r="AI531" s="1620"/>
      <c r="AJ531" s="1620"/>
      <c r="AK531" s="1621"/>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15" customHeight="1">
      <c r="B532" s="1695"/>
      <c r="C532" s="1495"/>
      <c r="D532" s="1495"/>
      <c r="E532" s="1495"/>
      <c r="F532" s="1495"/>
      <c r="G532" s="1495"/>
      <c r="H532" s="1496"/>
      <c r="I532" s="42" t="s">
        <v>424</v>
      </c>
      <c r="J532" s="42"/>
      <c r="K532" s="42"/>
      <c r="L532" s="42"/>
      <c r="M532" s="42"/>
      <c r="N532" s="42"/>
      <c r="O532" s="1769" t="s">
        <v>335</v>
      </c>
      <c r="P532" s="1770"/>
      <c r="Q532" s="1770"/>
      <c r="R532" s="1770"/>
      <c r="S532" s="1770"/>
      <c r="T532" s="1770"/>
      <c r="U532" s="1770"/>
      <c r="V532" s="1770"/>
      <c r="W532" s="1770"/>
      <c r="X532" s="1770"/>
      <c r="Y532" s="1770"/>
      <c r="Z532" s="1770"/>
      <c r="AA532" s="1770"/>
      <c r="AC532" s="1453" t="s">
        <v>599</v>
      </c>
      <c r="AD532" s="1454"/>
      <c r="AE532" s="1454"/>
      <c r="AF532" s="1454"/>
      <c r="AG532" s="13" t="s">
        <v>404</v>
      </c>
      <c r="AH532" s="1620"/>
      <c r="AI532" s="1620"/>
      <c r="AJ532" s="1620"/>
      <c r="AK532" s="1621"/>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15" customHeight="1">
      <c r="B533" s="1695"/>
      <c r="C533" s="1495"/>
      <c r="D533" s="1495"/>
      <c r="E533" s="1495"/>
      <c r="F533" s="1495"/>
      <c r="G533" s="1495"/>
      <c r="H533" s="1496"/>
      <c r="I533" t="s">
        <v>422</v>
      </c>
      <c r="AC533" s="1453" t="s">
        <v>599</v>
      </c>
      <c r="AD533" s="1454"/>
      <c r="AE533" s="1454"/>
      <c r="AF533" s="1454"/>
      <c r="AG533" s="38" t="s">
        <v>404</v>
      </c>
      <c r="AH533" s="1620"/>
      <c r="AI533" s="1620"/>
      <c r="AJ533" s="1620"/>
      <c r="AK533" s="1621"/>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15" customHeight="1">
      <c r="B534" s="1695"/>
      <c r="C534" s="1495"/>
      <c r="D534" s="1495"/>
      <c r="E534" s="1495"/>
      <c r="F534" s="1495"/>
      <c r="G534" s="1495"/>
      <c r="H534" s="1496"/>
      <c r="I534" s="48" t="s">
        <v>423</v>
      </c>
      <c r="J534" s="48"/>
      <c r="K534" s="48"/>
      <c r="L534" s="48"/>
      <c r="M534" s="48"/>
      <c r="N534" s="48"/>
      <c r="O534" s="48"/>
      <c r="P534" s="48"/>
      <c r="Q534" s="48"/>
      <c r="R534" s="48"/>
      <c r="S534" s="48"/>
      <c r="T534" s="48"/>
      <c r="U534" s="48"/>
      <c r="V534" s="48"/>
      <c r="W534" s="48"/>
      <c r="X534" s="48"/>
      <c r="Y534" s="48"/>
      <c r="Z534" s="48"/>
      <c r="AA534" s="48"/>
      <c r="AB534" s="48"/>
      <c r="AC534" s="1453" t="s">
        <v>599</v>
      </c>
      <c r="AD534" s="1454"/>
      <c r="AE534" s="1454"/>
      <c r="AF534" s="1454"/>
      <c r="AG534" s="13" t="s">
        <v>404</v>
      </c>
      <c r="AH534" s="1620"/>
      <c r="AI534" s="1620"/>
      <c r="AJ534" s="1620"/>
      <c r="AK534" s="1621"/>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15" customHeight="1">
      <c r="B535" s="1695"/>
      <c r="C535" s="1495"/>
      <c r="D535" s="1495"/>
      <c r="E535" s="1495"/>
      <c r="F535" s="1495"/>
      <c r="G535" s="1495"/>
      <c r="H535" s="1496"/>
      <c r="I535" s="42" t="s">
        <v>424</v>
      </c>
      <c r="J535" s="42"/>
      <c r="K535" s="42"/>
      <c r="L535" s="42"/>
      <c r="M535" s="42"/>
      <c r="N535" s="42"/>
      <c r="O535" s="1769" t="s">
        <v>335</v>
      </c>
      <c r="P535" s="1770"/>
      <c r="Q535" s="1770"/>
      <c r="R535" s="1770"/>
      <c r="S535" s="1770"/>
      <c r="T535" s="1770"/>
      <c r="U535" s="1770"/>
      <c r="V535" s="1770"/>
      <c r="W535" s="1770"/>
      <c r="X535" s="1770"/>
      <c r="Y535" s="1770"/>
      <c r="Z535" s="1770"/>
      <c r="AA535" s="1770"/>
      <c r="AC535" s="1453" t="s">
        <v>599</v>
      </c>
      <c r="AD535" s="1454"/>
      <c r="AE535" s="1454"/>
      <c r="AF535" s="1454"/>
      <c r="AG535" s="38" t="s">
        <v>404</v>
      </c>
      <c r="AH535" s="1620"/>
      <c r="AI535" s="1620"/>
      <c r="AJ535" s="1620"/>
      <c r="AK535" s="1621"/>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15" customHeight="1">
      <c r="B536" s="1695"/>
      <c r="C536" s="1495"/>
      <c r="D536" s="1495"/>
      <c r="E536" s="1495"/>
      <c r="F536" s="1495"/>
      <c r="G536" s="1495"/>
      <c r="H536" s="1496"/>
      <c r="I536" t="s">
        <v>422</v>
      </c>
      <c r="AC536" s="1453" t="s">
        <v>599</v>
      </c>
      <c r="AD536" s="1454"/>
      <c r="AE536" s="1454"/>
      <c r="AF536" s="1454"/>
      <c r="AG536" s="13" t="s">
        <v>404</v>
      </c>
      <c r="AH536" s="1620"/>
      <c r="AI536" s="1620"/>
      <c r="AJ536" s="1620"/>
      <c r="AK536" s="1621"/>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15" customHeight="1">
      <c r="B537" s="1695"/>
      <c r="C537" s="1495"/>
      <c r="D537" s="1495"/>
      <c r="E537" s="1495"/>
      <c r="F537" s="1495"/>
      <c r="G537" s="1495"/>
      <c r="H537" s="1496"/>
      <c r="I537" s="48" t="s">
        <v>423</v>
      </c>
      <c r="J537" s="48"/>
      <c r="K537" s="48"/>
      <c r="L537" s="48"/>
      <c r="M537" s="48"/>
      <c r="N537" s="48"/>
      <c r="O537" s="48"/>
      <c r="P537" s="48"/>
      <c r="Q537" s="48"/>
      <c r="R537" s="48"/>
      <c r="S537" s="48"/>
      <c r="T537" s="48"/>
      <c r="U537" s="48"/>
      <c r="V537" s="48"/>
      <c r="W537" s="48"/>
      <c r="X537" s="48"/>
      <c r="Y537" s="48"/>
      <c r="Z537" s="48"/>
      <c r="AA537" s="48"/>
      <c r="AB537" s="48"/>
      <c r="AC537" s="1453" t="s">
        <v>599</v>
      </c>
      <c r="AD537" s="1454"/>
      <c r="AE537" s="1454"/>
      <c r="AF537" s="1454"/>
      <c r="AG537" s="38" t="s">
        <v>404</v>
      </c>
      <c r="AH537" s="1620"/>
      <c r="AI537" s="1620"/>
      <c r="AJ537" s="1620"/>
      <c r="AK537" s="1621"/>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15" customHeight="1">
      <c r="B538" s="1695"/>
      <c r="C538" s="1495"/>
      <c r="D538" s="1495"/>
      <c r="E538" s="1495"/>
      <c r="F538" s="1495"/>
      <c r="G538" s="1495"/>
      <c r="H538" s="1496"/>
      <c r="I538" s="42" t="s">
        <v>570</v>
      </c>
      <c r="J538" s="42"/>
      <c r="K538" s="42"/>
      <c r="L538" s="42"/>
      <c r="M538" s="42"/>
      <c r="N538" s="42"/>
      <c r="O538" s="42"/>
      <c r="P538" s="42"/>
      <c r="Q538" s="42"/>
      <c r="R538" s="42"/>
      <c r="S538" s="42"/>
      <c r="T538" s="42"/>
      <c r="U538" s="42"/>
      <c r="V538" s="42"/>
      <c r="W538" s="42"/>
      <c r="AC538" s="1453" t="s">
        <v>599</v>
      </c>
      <c r="AD538" s="1454"/>
      <c r="AE538" s="1454"/>
      <c r="AF538" s="1454"/>
      <c r="AG538" s="38" t="s">
        <v>404</v>
      </c>
      <c r="AH538" s="1620"/>
      <c r="AI538" s="1620"/>
      <c r="AJ538" s="1620"/>
      <c r="AK538" s="162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15" customHeight="1">
      <c r="B539" s="1695"/>
      <c r="C539" s="1495"/>
      <c r="D539" s="1495"/>
      <c r="E539" s="1495"/>
      <c r="F539" s="1495"/>
      <c r="G539" s="1495"/>
      <c r="H539" s="1496"/>
      <c r="I539" t="s">
        <v>571</v>
      </c>
      <c r="AC539" s="1453">
        <v>6</v>
      </c>
      <c r="AD539" s="1454"/>
      <c r="AE539" s="1454"/>
      <c r="AF539" s="1454"/>
      <c r="AG539" s="13" t="s">
        <v>404</v>
      </c>
      <c r="AH539" s="1620">
        <v>2025</v>
      </c>
      <c r="AI539" s="1620"/>
      <c r="AJ539" s="1620"/>
      <c r="AK539" s="162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15" customHeight="1">
      <c r="B540" s="1695"/>
      <c r="C540" s="1495"/>
      <c r="D540" s="1495"/>
      <c r="E540" s="1495"/>
      <c r="F540" s="1495"/>
      <c r="G540" s="1495"/>
      <c r="H540" s="1496"/>
      <c r="I540" t="s">
        <v>572</v>
      </c>
      <c r="AC540" s="1453">
        <v>3</v>
      </c>
      <c r="AD540" s="1454"/>
      <c r="AE540" s="1454"/>
      <c r="AF540" s="1454"/>
      <c r="AG540" s="38" t="s">
        <v>404</v>
      </c>
      <c r="AH540" s="1620">
        <v>2027</v>
      </c>
      <c r="AI540" s="1620"/>
      <c r="AJ540" s="1620"/>
      <c r="AK540" s="162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15" customHeight="1">
      <c r="B541" s="1695"/>
      <c r="C541" s="1495"/>
      <c r="D541" s="1495"/>
      <c r="E541" s="1495"/>
      <c r="F541" s="1495"/>
      <c r="G541" s="1495"/>
      <c r="H541" s="1496"/>
      <c r="I541" t="s">
        <v>573</v>
      </c>
      <c r="AC541" s="1453">
        <v>3</v>
      </c>
      <c r="AD541" s="1454"/>
      <c r="AE541" s="1454"/>
      <c r="AF541" s="1454"/>
      <c r="AG541" s="38" t="s">
        <v>404</v>
      </c>
      <c r="AH541" s="1620">
        <v>2027</v>
      </c>
      <c r="AI541" s="1620"/>
      <c r="AJ541" s="1620"/>
      <c r="AK541" s="162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15" customHeight="1">
      <c r="B542" s="1696"/>
      <c r="C542" s="1497"/>
      <c r="D542" s="1497"/>
      <c r="E542" s="1497"/>
      <c r="F542" s="1497"/>
      <c r="G542" s="1497"/>
      <c r="H542" s="1498"/>
      <c r="I542" s="48" t="s">
        <v>459</v>
      </c>
      <c r="J542" s="48"/>
      <c r="K542" s="48"/>
      <c r="L542" s="48"/>
      <c r="M542" s="48"/>
      <c r="N542" s="48"/>
      <c r="O542" s="48"/>
      <c r="P542" s="48"/>
      <c r="Q542" s="48"/>
      <c r="R542" s="48"/>
      <c r="S542" s="48"/>
      <c r="T542" s="48"/>
      <c r="U542" s="48"/>
      <c r="V542" s="48"/>
      <c r="W542" s="48"/>
      <c r="X542" s="48"/>
      <c r="Y542" s="48"/>
      <c r="Z542" s="48"/>
      <c r="AA542" s="48"/>
      <c r="AB542" s="48"/>
      <c r="AC542" s="1453">
        <v>6</v>
      </c>
      <c r="AD542" s="1454"/>
      <c r="AE542" s="1454"/>
      <c r="AF542" s="1454"/>
      <c r="AG542" s="38" t="s">
        <v>404</v>
      </c>
      <c r="AH542" s="1620">
        <v>2027</v>
      </c>
      <c r="AI542" s="1620"/>
      <c r="AJ542" s="1620"/>
      <c r="AK542" s="162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1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15" customHeight="1">
      <c r="A544" s="1266" t="s">
        <v>551</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15"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1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1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1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1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1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15" customHeight="1">
      <c r="B551" s="1694" t="s">
        <v>2420</v>
      </c>
      <c r="C551" s="1493"/>
      <c r="D551" s="1493"/>
      <c r="E551" s="1493"/>
      <c r="F551" s="1493"/>
      <c r="G551" s="1493"/>
      <c r="H551" s="1493"/>
      <c r="I551" s="1493"/>
      <c r="J551" s="1493"/>
      <c r="K551" s="1493"/>
      <c r="L551" s="1494"/>
      <c r="M551" s="1694" t="s">
        <v>2421</v>
      </c>
      <c r="N551" s="1493"/>
      <c r="O551" s="1493"/>
      <c r="P551" s="1494"/>
      <c r="Q551" s="1694" t="s">
        <v>2447</v>
      </c>
      <c r="R551" s="1493"/>
      <c r="S551" s="1494"/>
      <c r="T551" s="1694" t="s">
        <v>2448</v>
      </c>
      <c r="U551" s="1493"/>
      <c r="V551" s="1494"/>
      <c r="W551" s="1694" t="s">
        <v>461</v>
      </c>
      <c r="X551" s="1493"/>
      <c r="Y551" s="1494"/>
      <c r="Z551" s="1694" t="s">
        <v>2041</v>
      </c>
      <c r="AA551" s="1493"/>
      <c r="AB551" s="1493"/>
      <c r="AC551" s="1493"/>
      <c r="AD551" s="1494"/>
      <c r="AE551" s="1694" t="s">
        <v>1863</v>
      </c>
      <c r="AF551" s="1493"/>
      <c r="AG551" s="1493"/>
      <c r="AH551" s="1494"/>
      <c r="AI551" s="1694" t="s">
        <v>1864</v>
      </c>
      <c r="AJ551" s="1493"/>
      <c r="AK551" s="1493"/>
      <c r="AL551" s="1494"/>
      <c r="AM551" s="1694" t="s">
        <v>462</v>
      </c>
      <c r="AN551" s="1493"/>
      <c r="AO551" s="1493"/>
      <c r="AP551" s="1493"/>
      <c r="AQ551" s="1493"/>
      <c r="AR551" s="1493"/>
      <c r="AS551" s="1494"/>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15" customHeight="1">
      <c r="B552" s="1695"/>
      <c r="C552" s="1495"/>
      <c r="D552" s="1495"/>
      <c r="E552" s="1495"/>
      <c r="F552" s="1495"/>
      <c r="G552" s="1495"/>
      <c r="H552" s="1495"/>
      <c r="I552" s="1495"/>
      <c r="J552" s="1495"/>
      <c r="K552" s="1495"/>
      <c r="L552" s="1496"/>
      <c r="M552" s="1695"/>
      <c r="N552" s="1495"/>
      <c r="O552" s="1495"/>
      <c r="P552" s="1496"/>
      <c r="Q552" s="1695"/>
      <c r="R552" s="1495"/>
      <c r="S552" s="1496"/>
      <c r="T552" s="1695"/>
      <c r="U552" s="1495"/>
      <c r="V552" s="1496"/>
      <c r="W552" s="1695"/>
      <c r="X552" s="1495"/>
      <c r="Y552" s="1496"/>
      <c r="Z552" s="1695"/>
      <c r="AA552" s="1495"/>
      <c r="AB552" s="1495"/>
      <c r="AC552" s="1495"/>
      <c r="AD552" s="1496"/>
      <c r="AE552" s="1695"/>
      <c r="AF552" s="1495"/>
      <c r="AG552" s="1495"/>
      <c r="AH552" s="1496"/>
      <c r="AI552" s="1695"/>
      <c r="AJ552" s="1495"/>
      <c r="AK552" s="1495"/>
      <c r="AL552" s="1496"/>
      <c r="AM552" s="1695"/>
      <c r="AN552" s="1495"/>
      <c r="AO552" s="1495"/>
      <c r="AP552" s="1495"/>
      <c r="AQ552" s="1495"/>
      <c r="AR552" s="1495"/>
      <c r="AS552" s="149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15" customHeight="1">
      <c r="B553" s="1696"/>
      <c r="C553" s="1497"/>
      <c r="D553" s="1497"/>
      <c r="E553" s="1497"/>
      <c r="F553" s="1497"/>
      <c r="G553" s="1497"/>
      <c r="H553" s="1497"/>
      <c r="I553" s="1497"/>
      <c r="J553" s="1497"/>
      <c r="K553" s="1497"/>
      <c r="L553" s="1498"/>
      <c r="M553" s="1696"/>
      <c r="N553" s="1497"/>
      <c r="O553" s="1497"/>
      <c r="P553" s="1498"/>
      <c r="Q553" s="1696"/>
      <c r="R553" s="1497"/>
      <c r="S553" s="1498"/>
      <c r="T553" s="1696"/>
      <c r="U553" s="1497"/>
      <c r="V553" s="1498"/>
      <c r="W553" s="1696"/>
      <c r="X553" s="1497"/>
      <c r="Y553" s="1498"/>
      <c r="Z553" s="1696"/>
      <c r="AA553" s="1497"/>
      <c r="AB553" s="1497"/>
      <c r="AC553" s="1497"/>
      <c r="AD553" s="1498"/>
      <c r="AE553" s="1696"/>
      <c r="AF553" s="1497"/>
      <c r="AG553" s="1497"/>
      <c r="AH553" s="1498"/>
      <c r="AI553" s="1696"/>
      <c r="AJ553" s="1497"/>
      <c r="AK553" s="1497"/>
      <c r="AL553" s="1498"/>
      <c r="AM553" s="1696"/>
      <c r="AN553" s="1497"/>
      <c r="AO553" s="1497"/>
      <c r="AP553" s="1497"/>
      <c r="AQ553" s="1497"/>
      <c r="AR553" s="1497"/>
      <c r="AS553" s="149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51" t="s">
        <v>112</v>
      </c>
      <c r="C554" s="1687" t="s">
        <v>2711</v>
      </c>
      <c r="D554" s="1687"/>
      <c r="E554" s="1687"/>
      <c r="F554" s="1687"/>
      <c r="G554" s="1687"/>
      <c r="H554" s="1687"/>
      <c r="I554" s="1687"/>
      <c r="J554" s="1687"/>
      <c r="K554" s="1687"/>
      <c r="L554" s="1687"/>
      <c r="M554" s="1687" t="s">
        <v>2437</v>
      </c>
      <c r="N554" s="1687"/>
      <c r="O554" s="1687"/>
      <c r="P554" s="1687"/>
      <c r="Q554" s="1472">
        <v>24</v>
      </c>
      <c r="R554" s="1472"/>
      <c r="S554" s="1473"/>
      <c r="T554" s="1471"/>
      <c r="U554" s="1472"/>
      <c r="V554" s="1473"/>
      <c r="W554" s="1474">
        <v>6.5000000000000002E-2</v>
      </c>
      <c r="X554" s="1475"/>
      <c r="Y554" s="1476"/>
      <c r="Z554" s="1452" t="s">
        <v>2741</v>
      </c>
      <c r="AA554" s="1452"/>
      <c r="AB554" s="1452"/>
      <c r="AC554" s="1452"/>
      <c r="AD554" s="1452"/>
      <c r="AE554" s="1762">
        <v>1</v>
      </c>
      <c r="AF554" s="1763"/>
      <c r="AG554" s="1763"/>
      <c r="AH554" s="1764"/>
      <c r="AI554" s="1607"/>
      <c r="AJ554" s="1608"/>
      <c r="AK554" s="1608"/>
      <c r="AL554" s="1609"/>
      <c r="AM554" s="1610">
        <v>32184459</v>
      </c>
      <c r="AN554" s="1611"/>
      <c r="AO554" s="1611"/>
      <c r="AP554" s="1611"/>
      <c r="AQ554" s="1611"/>
      <c r="AR554" s="1611"/>
      <c r="AS554" s="161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52" t="s">
        <v>113</v>
      </c>
      <c r="C555" s="1688" t="s">
        <v>2712</v>
      </c>
      <c r="D555" s="1688"/>
      <c r="E555" s="1688"/>
      <c r="F555" s="1688"/>
      <c r="G555" s="1688"/>
      <c r="H555" s="1688"/>
      <c r="I555" s="1688"/>
      <c r="J555" s="1688"/>
      <c r="K555" s="1688"/>
      <c r="L555" s="1688"/>
      <c r="M555" s="1687" t="s">
        <v>2431</v>
      </c>
      <c r="N555" s="1687"/>
      <c r="O555" s="1687"/>
      <c r="P555" s="1687"/>
      <c r="Q555" s="1471">
        <v>24</v>
      </c>
      <c r="R555" s="1472"/>
      <c r="S555" s="1473"/>
      <c r="T555" s="1471"/>
      <c r="U555" s="1472"/>
      <c r="V555" s="1473"/>
      <c r="W555" s="1474">
        <v>7.0000000000000007E-2</v>
      </c>
      <c r="X555" s="1475"/>
      <c r="Y555" s="1476"/>
      <c r="Z555" s="1452" t="s">
        <v>2741</v>
      </c>
      <c r="AA555" s="1452"/>
      <c r="AB555" s="1452"/>
      <c r="AC555" s="1452"/>
      <c r="AD555" s="1452"/>
      <c r="AE555" s="1762">
        <v>1</v>
      </c>
      <c r="AF555" s="1763"/>
      <c r="AG555" s="1763"/>
      <c r="AH555" s="1764"/>
      <c r="AI555" s="1607"/>
      <c r="AJ555" s="1608"/>
      <c r="AK555" s="1608"/>
      <c r="AL555" s="1609"/>
      <c r="AM555" s="1610">
        <v>9591843</v>
      </c>
      <c r="AN555" s="1611"/>
      <c r="AO555" s="1611"/>
      <c r="AP555" s="1611"/>
      <c r="AQ555" s="1611"/>
      <c r="AR555" s="1611"/>
      <c r="AS555" s="161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15" customHeight="1">
      <c r="B556" s="52" t="s">
        <v>119</v>
      </c>
      <c r="C556" s="1688" t="s">
        <v>2713</v>
      </c>
      <c r="D556" s="1688"/>
      <c r="E556" s="1688"/>
      <c r="F556" s="1688"/>
      <c r="G556" s="1688"/>
      <c r="H556" s="1688"/>
      <c r="I556" s="1688"/>
      <c r="J556" s="1688"/>
      <c r="K556" s="1688"/>
      <c r="L556" s="1688"/>
      <c r="M556" s="1687" t="s">
        <v>2433</v>
      </c>
      <c r="N556" s="1687"/>
      <c r="O556" s="1687"/>
      <c r="P556" s="1687"/>
      <c r="Q556" s="1471"/>
      <c r="R556" s="1472"/>
      <c r="S556" s="1473"/>
      <c r="T556" s="1471"/>
      <c r="U556" s="1472"/>
      <c r="V556" s="1473"/>
      <c r="W556" s="1474"/>
      <c r="X556" s="1475"/>
      <c r="Y556" s="1476"/>
      <c r="Z556" s="1452" t="s">
        <v>1290</v>
      </c>
      <c r="AA556" s="1452"/>
      <c r="AB556" s="1452"/>
      <c r="AC556" s="1452"/>
      <c r="AD556" s="1452"/>
      <c r="AE556" s="1762"/>
      <c r="AF556" s="1763"/>
      <c r="AG556" s="1763"/>
      <c r="AH556" s="1764"/>
      <c r="AI556" s="1607"/>
      <c r="AJ556" s="1608"/>
      <c r="AK556" s="1608"/>
      <c r="AL556" s="1609"/>
      <c r="AM556" s="1610">
        <v>3175000</v>
      </c>
      <c r="AN556" s="1611"/>
      <c r="AO556" s="1611"/>
      <c r="AP556" s="1611"/>
      <c r="AQ556" s="1611"/>
      <c r="AR556" s="1611"/>
      <c r="AS556" s="161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15" customHeight="1">
      <c r="B557" s="52" t="s">
        <v>589</v>
      </c>
      <c r="C557" s="1688" t="s">
        <v>2646</v>
      </c>
      <c r="D557" s="1688"/>
      <c r="E557" s="1688"/>
      <c r="F557" s="1688"/>
      <c r="G557" s="1688"/>
      <c r="H557" s="1688"/>
      <c r="I557" s="1688"/>
      <c r="J557" s="1688"/>
      <c r="K557" s="1688"/>
      <c r="L557" s="1688"/>
      <c r="M557" s="1687" t="s">
        <v>2433</v>
      </c>
      <c r="N557" s="1687"/>
      <c r="O557" s="1687"/>
      <c r="P557" s="1687"/>
      <c r="Q557" s="1471"/>
      <c r="R557" s="1472"/>
      <c r="S557" s="1473"/>
      <c r="T557" s="1471"/>
      <c r="U557" s="1472"/>
      <c r="V557" s="1473"/>
      <c r="W557" s="1474">
        <v>0.04</v>
      </c>
      <c r="X557" s="1475"/>
      <c r="Y557" s="1476"/>
      <c r="Z557" s="1452" t="s">
        <v>2773</v>
      </c>
      <c r="AA557" s="1452"/>
      <c r="AB557" s="1452"/>
      <c r="AC557" s="1452"/>
      <c r="AD557" s="1452"/>
      <c r="AE557" s="1762"/>
      <c r="AF557" s="1763"/>
      <c r="AG557" s="1763"/>
      <c r="AH557" s="1764"/>
      <c r="AI557" s="1607"/>
      <c r="AJ557" s="1608"/>
      <c r="AK557" s="1608"/>
      <c r="AL557" s="1609"/>
      <c r="AM557" s="1610">
        <v>5000000</v>
      </c>
      <c r="AN557" s="1611"/>
      <c r="AO557" s="1611"/>
      <c r="AP557" s="1611"/>
      <c r="AQ557" s="1611"/>
      <c r="AR557" s="1611"/>
      <c r="AS557" s="161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15" customHeight="1">
      <c r="B558" s="52" t="s">
        <v>772</v>
      </c>
      <c r="C558" s="1688" t="s">
        <v>2715</v>
      </c>
      <c r="D558" s="1688"/>
      <c r="E558" s="1688"/>
      <c r="F558" s="1688"/>
      <c r="G558" s="1688"/>
      <c r="H558" s="1688"/>
      <c r="I558" s="1688"/>
      <c r="J558" s="1688"/>
      <c r="K558" s="1688"/>
      <c r="L558" s="1688"/>
      <c r="M558" s="1687" t="s">
        <v>2428</v>
      </c>
      <c r="N558" s="1687"/>
      <c r="O558" s="1687"/>
      <c r="P558" s="1687"/>
      <c r="Q558" s="1471"/>
      <c r="R558" s="1472"/>
      <c r="S558" s="1473"/>
      <c r="T558" s="1471"/>
      <c r="U558" s="1472"/>
      <c r="V558" s="1473"/>
      <c r="W558" s="1474"/>
      <c r="X558" s="1475"/>
      <c r="Y558" s="1476"/>
      <c r="Z558" s="1452" t="s">
        <v>1290</v>
      </c>
      <c r="AA558" s="1452"/>
      <c r="AB558" s="1452"/>
      <c r="AC558" s="1452"/>
      <c r="AD558" s="1452"/>
      <c r="AE558" s="1762"/>
      <c r="AF558" s="1763"/>
      <c r="AG558" s="1763"/>
      <c r="AH558" s="1764"/>
      <c r="AI558" s="1607"/>
      <c r="AJ558" s="1608"/>
      <c r="AK558" s="1608"/>
      <c r="AL558" s="1609"/>
      <c r="AM558" s="1610">
        <v>6126466</v>
      </c>
      <c r="AN558" s="1611"/>
      <c r="AO558" s="1611"/>
      <c r="AP558" s="1611"/>
      <c r="AQ558" s="1611"/>
      <c r="AR558" s="1611"/>
      <c r="AS558" s="1612"/>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15" customHeight="1">
      <c r="B559" s="52" t="s">
        <v>592</v>
      </c>
      <c r="C559" s="1688" t="s">
        <v>2716</v>
      </c>
      <c r="D559" s="1688"/>
      <c r="E559" s="1688"/>
      <c r="F559" s="1688"/>
      <c r="G559" s="1688"/>
      <c r="H559" s="1688"/>
      <c r="I559" s="1688"/>
      <c r="J559" s="1688"/>
      <c r="K559" s="1688"/>
      <c r="L559" s="1688"/>
      <c r="M559" s="1687" t="s">
        <v>2428</v>
      </c>
      <c r="N559" s="1687"/>
      <c r="O559" s="1687"/>
      <c r="P559" s="1687"/>
      <c r="Q559" s="1471"/>
      <c r="R559" s="1472"/>
      <c r="S559" s="1473"/>
      <c r="T559" s="1471"/>
      <c r="U559" s="1472"/>
      <c r="V559" s="1473"/>
      <c r="W559" s="1474"/>
      <c r="X559" s="1475"/>
      <c r="Y559" s="1476"/>
      <c r="Z559" s="1452" t="s">
        <v>1290</v>
      </c>
      <c r="AA559" s="1452"/>
      <c r="AB559" s="1452"/>
      <c r="AC559" s="1452"/>
      <c r="AD559" s="1452"/>
      <c r="AE559" s="1762"/>
      <c r="AF559" s="1763"/>
      <c r="AG559" s="1763"/>
      <c r="AH559" s="1764"/>
      <c r="AI559" s="1607"/>
      <c r="AJ559" s="1608"/>
      <c r="AK559" s="1608"/>
      <c r="AL559" s="1609"/>
      <c r="AM559" s="1610">
        <v>3498651</v>
      </c>
      <c r="AN559" s="1611"/>
      <c r="AO559" s="1611"/>
      <c r="AP559" s="1611"/>
      <c r="AQ559" s="1611"/>
      <c r="AR559" s="1611"/>
      <c r="AS559" s="1612"/>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15" customHeight="1">
      <c r="B560" s="52" t="s">
        <v>463</v>
      </c>
      <c r="C560" s="1688" t="s">
        <v>2714</v>
      </c>
      <c r="D560" s="1688"/>
      <c r="E560" s="1688"/>
      <c r="F560" s="1688"/>
      <c r="G560" s="1688"/>
      <c r="H560" s="1688"/>
      <c r="I560" s="1688"/>
      <c r="J560" s="1688"/>
      <c r="K560" s="1688"/>
      <c r="L560" s="1688"/>
      <c r="M560" s="1687" t="s">
        <v>2423</v>
      </c>
      <c r="N560" s="1687"/>
      <c r="O560" s="1687"/>
      <c r="P560" s="1687"/>
      <c r="Q560" s="1471"/>
      <c r="R560" s="1472"/>
      <c r="S560" s="1473"/>
      <c r="T560" s="1471"/>
      <c r="U560" s="1472"/>
      <c r="V560" s="1473"/>
      <c r="W560" s="1474"/>
      <c r="X560" s="1475"/>
      <c r="Y560" s="1476"/>
      <c r="Z560" s="1452" t="s">
        <v>1290</v>
      </c>
      <c r="AA560" s="1452"/>
      <c r="AB560" s="1452"/>
      <c r="AC560" s="1452"/>
      <c r="AD560" s="1452"/>
      <c r="AE560" s="1762"/>
      <c r="AF560" s="1763"/>
      <c r="AG560" s="1763"/>
      <c r="AH560" s="1764"/>
      <c r="AI560" s="1607"/>
      <c r="AJ560" s="1608"/>
      <c r="AK560" s="1608"/>
      <c r="AL560" s="1609"/>
      <c r="AM560" s="1610">
        <f>AO641-(SUM(AM554:AS559))</f>
        <v>6981288.400000006</v>
      </c>
      <c r="AN560" s="1611"/>
      <c r="AO560" s="1611"/>
      <c r="AP560" s="1611"/>
      <c r="AQ560" s="1611"/>
      <c r="AR560" s="1611"/>
      <c r="AS560" s="161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52" t="s">
        <v>464</v>
      </c>
      <c r="C561" s="1688"/>
      <c r="D561" s="1688"/>
      <c r="E561" s="1688"/>
      <c r="F561" s="1688"/>
      <c r="G561" s="1688"/>
      <c r="H561" s="1688"/>
      <c r="I561" s="1688"/>
      <c r="J561" s="1688"/>
      <c r="K561" s="1688"/>
      <c r="L561" s="1688"/>
      <c r="M561" s="1687" t="s">
        <v>1290</v>
      </c>
      <c r="N561" s="1687"/>
      <c r="O561" s="1687"/>
      <c r="P561" s="1687"/>
      <c r="Q561" s="1471"/>
      <c r="R561" s="1472"/>
      <c r="S561" s="1473"/>
      <c r="T561" s="1471"/>
      <c r="U561" s="1472"/>
      <c r="V561" s="1473"/>
      <c r="W561" s="1474"/>
      <c r="X561" s="1475"/>
      <c r="Y561" s="1476"/>
      <c r="Z561" s="1452" t="s">
        <v>1290</v>
      </c>
      <c r="AA561" s="1452"/>
      <c r="AB561" s="1452"/>
      <c r="AC561" s="1452"/>
      <c r="AD561" s="1452"/>
      <c r="AE561" s="1762"/>
      <c r="AF561" s="1763"/>
      <c r="AG561" s="1763"/>
      <c r="AH561" s="1764"/>
      <c r="AI561" s="1607"/>
      <c r="AJ561" s="1608"/>
      <c r="AK561" s="1608"/>
      <c r="AL561" s="1609"/>
      <c r="AM561" s="1610"/>
      <c r="AN561" s="1611"/>
      <c r="AO561" s="1611"/>
      <c r="AP561" s="1611"/>
      <c r="AQ561" s="1611"/>
      <c r="AR561" s="1611"/>
      <c r="AS561" s="161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52" t="s">
        <v>469</v>
      </c>
      <c r="C562" s="1688"/>
      <c r="D562" s="1688"/>
      <c r="E562" s="1688"/>
      <c r="F562" s="1688"/>
      <c r="G562" s="1688"/>
      <c r="H562" s="1688"/>
      <c r="I562" s="1688"/>
      <c r="J562" s="1688"/>
      <c r="K562" s="1688"/>
      <c r="L562" s="1688"/>
      <c r="M562" s="1687" t="s">
        <v>1290</v>
      </c>
      <c r="N562" s="1687"/>
      <c r="O562" s="1687"/>
      <c r="P562" s="1687"/>
      <c r="Q562" s="1471"/>
      <c r="R562" s="1472"/>
      <c r="S562" s="1473"/>
      <c r="T562" s="1471"/>
      <c r="U562" s="1472"/>
      <c r="V562" s="1473"/>
      <c r="W562" s="1474"/>
      <c r="X562" s="1475"/>
      <c r="Y562" s="1476"/>
      <c r="Z562" s="1452" t="s">
        <v>1290</v>
      </c>
      <c r="AA562" s="1452"/>
      <c r="AB562" s="1452"/>
      <c r="AC562" s="1452"/>
      <c r="AD562" s="1452"/>
      <c r="AE562" s="1762"/>
      <c r="AF562" s="1763"/>
      <c r="AG562" s="1763"/>
      <c r="AH562" s="1764"/>
      <c r="AI562" s="1607"/>
      <c r="AJ562" s="1608"/>
      <c r="AK562" s="1608"/>
      <c r="AL562" s="1609"/>
      <c r="AM562" s="1610"/>
      <c r="AN562" s="1611"/>
      <c r="AO562" s="1611"/>
      <c r="AP562" s="1611"/>
      <c r="AQ562" s="1611"/>
      <c r="AR562" s="1611"/>
      <c r="AS562" s="161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52" t="s">
        <v>654</v>
      </c>
      <c r="C563" s="1688"/>
      <c r="D563" s="1688"/>
      <c r="E563" s="1688"/>
      <c r="F563" s="1688"/>
      <c r="G563" s="1688"/>
      <c r="H563" s="1688"/>
      <c r="I563" s="1688"/>
      <c r="J563" s="1688"/>
      <c r="K563" s="1688"/>
      <c r="L563" s="1688"/>
      <c r="M563" s="1687" t="s">
        <v>1290</v>
      </c>
      <c r="N563" s="1687"/>
      <c r="O563" s="1687"/>
      <c r="P563" s="1687"/>
      <c r="Q563" s="1471"/>
      <c r="R563" s="1472"/>
      <c r="S563" s="1473"/>
      <c r="T563" s="1471"/>
      <c r="U563" s="1472"/>
      <c r="V563" s="1473"/>
      <c r="W563" s="1474"/>
      <c r="X563" s="1475"/>
      <c r="Y563" s="1476"/>
      <c r="Z563" s="1452" t="s">
        <v>1290</v>
      </c>
      <c r="AA563" s="1452"/>
      <c r="AB563" s="1452"/>
      <c r="AC563" s="1452"/>
      <c r="AD563" s="1452"/>
      <c r="AE563" s="1762"/>
      <c r="AF563" s="1763"/>
      <c r="AG563" s="1763"/>
      <c r="AH563" s="1764"/>
      <c r="AI563" s="1607"/>
      <c r="AJ563" s="1608"/>
      <c r="AK563" s="1608"/>
      <c r="AL563" s="1609"/>
      <c r="AM563" s="1610"/>
      <c r="AN563" s="1611"/>
      <c r="AO563" s="1611"/>
      <c r="AP563" s="1611"/>
      <c r="AQ563" s="1611"/>
      <c r="AR563" s="1611"/>
      <c r="AS563" s="161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15" customHeight="1">
      <c r="B564" s="52" t="s">
        <v>363</v>
      </c>
      <c r="C564" s="1688"/>
      <c r="D564" s="1688"/>
      <c r="E564" s="1688"/>
      <c r="F564" s="1688"/>
      <c r="G564" s="1688"/>
      <c r="H564" s="1688"/>
      <c r="I564" s="1688"/>
      <c r="J564" s="1688"/>
      <c r="K564" s="1688"/>
      <c r="L564" s="1688"/>
      <c r="M564" s="1687" t="s">
        <v>1290</v>
      </c>
      <c r="N564" s="1687"/>
      <c r="O564" s="1687"/>
      <c r="P564" s="1687"/>
      <c r="Q564" s="1471"/>
      <c r="R564" s="1472"/>
      <c r="S564" s="1473"/>
      <c r="T564" s="1471"/>
      <c r="U564" s="1472"/>
      <c r="V564" s="1473"/>
      <c r="W564" s="1474"/>
      <c r="X564" s="1475"/>
      <c r="Y564" s="1476"/>
      <c r="Z564" s="1452" t="s">
        <v>1290</v>
      </c>
      <c r="AA564" s="1452"/>
      <c r="AB564" s="1452"/>
      <c r="AC564" s="1452"/>
      <c r="AD564" s="1452"/>
      <c r="AE564" s="1762"/>
      <c r="AF564" s="1763"/>
      <c r="AG564" s="1763"/>
      <c r="AH564" s="1764"/>
      <c r="AI564" s="1607"/>
      <c r="AJ564" s="1608"/>
      <c r="AK564" s="1608"/>
      <c r="AL564" s="1609"/>
      <c r="AM564" s="1610"/>
      <c r="AN564" s="1611"/>
      <c r="AO564" s="1611"/>
      <c r="AP564" s="1611"/>
      <c r="AQ564" s="1611"/>
      <c r="AR564" s="1611"/>
      <c r="AS564" s="161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15" customHeight="1">
      <c r="B565" s="52" t="s">
        <v>364</v>
      </c>
      <c r="C565" s="1688"/>
      <c r="D565" s="1688"/>
      <c r="E565" s="1688"/>
      <c r="F565" s="1688"/>
      <c r="G565" s="1688"/>
      <c r="H565" s="1688"/>
      <c r="I565" s="1688"/>
      <c r="J565" s="1688"/>
      <c r="K565" s="1688"/>
      <c r="L565" s="1688"/>
      <c r="M565" s="1687" t="s">
        <v>1290</v>
      </c>
      <c r="N565" s="1687"/>
      <c r="O565" s="1687"/>
      <c r="P565" s="1687"/>
      <c r="Q565" s="1471"/>
      <c r="R565" s="1472"/>
      <c r="S565" s="1473"/>
      <c r="T565" s="1471"/>
      <c r="U565" s="1472"/>
      <c r="V565" s="1473"/>
      <c r="W565" s="1474"/>
      <c r="X565" s="1475"/>
      <c r="Y565" s="1476"/>
      <c r="Z565" s="1452" t="s">
        <v>1290</v>
      </c>
      <c r="AA565" s="1452"/>
      <c r="AB565" s="1452"/>
      <c r="AC565" s="1452"/>
      <c r="AD565" s="1452"/>
      <c r="AE565" s="1762"/>
      <c r="AF565" s="1763"/>
      <c r="AG565" s="1763"/>
      <c r="AH565" s="1764"/>
      <c r="AI565" s="1607"/>
      <c r="AJ565" s="1608"/>
      <c r="AK565" s="1608"/>
      <c r="AL565" s="1609"/>
      <c r="AM565" s="1610"/>
      <c r="AN565" s="1611"/>
      <c r="AO565" s="1611"/>
      <c r="AP565" s="1611"/>
      <c r="AQ565" s="1611"/>
      <c r="AR565" s="1611"/>
      <c r="AS565" s="161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15" customHeight="1">
      <c r="B566" s="1458" t="s">
        <v>127</v>
      </c>
      <c r="C566" s="1459"/>
      <c r="D566" s="1459"/>
      <c r="E566" s="1459"/>
      <c r="F566" s="1459"/>
      <c r="G566" s="1459"/>
      <c r="H566" s="1459"/>
      <c r="I566" s="1459"/>
      <c r="J566" s="1459"/>
      <c r="K566" s="1459"/>
      <c r="L566" s="1459"/>
      <c r="M566" s="1459"/>
      <c r="N566" s="1459"/>
      <c r="O566" s="1459"/>
      <c r="P566" s="1459"/>
      <c r="Q566" s="1459"/>
      <c r="R566" s="1459"/>
      <c r="S566" s="1459"/>
      <c r="T566" s="1459"/>
      <c r="U566" s="1462"/>
      <c r="V566" s="1459"/>
      <c r="W566" s="1459"/>
      <c r="X566" s="1459"/>
      <c r="Y566" s="1459"/>
      <c r="Z566" s="1459"/>
      <c r="AA566" s="1459"/>
      <c r="AB566" s="1459"/>
      <c r="AC566" s="1459"/>
      <c r="AD566" s="1459"/>
      <c r="AE566" s="1459"/>
      <c r="AF566" s="1459"/>
      <c r="AG566" s="1459"/>
      <c r="AH566" s="1459"/>
      <c r="AI566" s="1459"/>
      <c r="AJ566" s="1459"/>
      <c r="AK566" s="1459"/>
      <c r="AL566" s="1460"/>
      <c r="AM566" s="1625">
        <f>SUM(AM554:AS565)</f>
        <v>66557707.400000006</v>
      </c>
      <c r="AN566" s="1626"/>
      <c r="AO566" s="1626"/>
      <c r="AP566" s="1626"/>
      <c r="AQ566" s="1626"/>
      <c r="AR566" s="1626"/>
      <c r="AS566" s="1627"/>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15" customHeight="1">
      <c r="A568" s="55" t="s">
        <v>112</v>
      </c>
      <c r="B568" t="s">
        <v>471</v>
      </c>
      <c r="G568" s="1464" t="str">
        <f>C554</f>
        <v>Citibank Tax Exempt Loan</v>
      </c>
      <c r="H568" s="1464"/>
      <c r="I568" s="1464"/>
      <c r="J568" s="1464"/>
      <c r="K568" s="1464"/>
      <c r="L568" s="1464"/>
      <c r="M568" s="1464"/>
      <c r="N568" s="1464"/>
      <c r="O568" s="1464"/>
      <c r="P568" s="1464"/>
      <c r="Q568" s="1464"/>
      <c r="R568" s="1464"/>
      <c r="S568" s="8"/>
      <c r="T568" s="55" t="s">
        <v>113</v>
      </c>
      <c r="U568" t="s">
        <v>471</v>
      </c>
      <c r="Z568" s="1464" t="str">
        <f>C555</f>
        <v>Citibank Taxable Loan</v>
      </c>
      <c r="AA568" s="1464"/>
      <c r="AB568" s="1464"/>
      <c r="AC568" s="1464"/>
      <c r="AD568" s="1464"/>
      <c r="AE568" s="1464"/>
      <c r="AF568" s="1464"/>
      <c r="AG568" s="1464"/>
      <c r="AH568" s="1464"/>
      <c r="AI568" s="1464"/>
      <c r="AJ568" s="1464"/>
      <c r="AK568" s="146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15" customHeight="1">
      <c r="A569" s="22"/>
      <c r="B569" t="s">
        <v>85</v>
      </c>
      <c r="G569" s="1368" t="s">
        <v>2742</v>
      </c>
      <c r="H569" s="1368"/>
      <c r="I569" s="1368"/>
      <c r="J569" s="1368"/>
      <c r="K569" s="1368"/>
      <c r="L569" s="1368"/>
      <c r="M569" s="1368"/>
      <c r="N569" s="1368"/>
      <c r="O569" s="1368"/>
      <c r="P569" s="1368"/>
      <c r="Q569" s="1368"/>
      <c r="R569" s="1368"/>
      <c r="S569" s="8"/>
      <c r="T569" s="22"/>
      <c r="U569" t="s">
        <v>85</v>
      </c>
      <c r="Z569" s="1368" t="s">
        <v>2742</v>
      </c>
      <c r="AA569" s="1368"/>
      <c r="AB569" s="1368"/>
      <c r="AC569" s="1368"/>
      <c r="AD569" s="1368"/>
      <c r="AE569" s="1368"/>
      <c r="AF569" s="1368"/>
      <c r="AG569" s="1368"/>
      <c r="AH569" s="1368"/>
      <c r="AI569" s="1368"/>
      <c r="AJ569" s="1368"/>
      <c r="AK569" s="136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15" customHeight="1">
      <c r="A570" s="22"/>
      <c r="B570" t="s">
        <v>588</v>
      </c>
      <c r="G570" s="1368" t="s">
        <v>2743</v>
      </c>
      <c r="H570" s="1368"/>
      <c r="I570" s="1368"/>
      <c r="J570" s="1368"/>
      <c r="K570" s="1368"/>
      <c r="L570" s="1368"/>
      <c r="M570" s="1368"/>
      <c r="N570" s="1368"/>
      <c r="O570" s="1368"/>
      <c r="P570" s="1368"/>
      <c r="Q570" s="1368"/>
      <c r="R570" s="1368"/>
      <c r="T570" s="22"/>
      <c r="U570" t="s">
        <v>588</v>
      </c>
      <c r="Z570" s="1438" t="s">
        <v>2743</v>
      </c>
      <c r="AA570" s="1438"/>
      <c r="AB570" s="1438"/>
      <c r="AC570" s="1438"/>
      <c r="AD570" s="1438"/>
      <c r="AE570" s="1438"/>
      <c r="AF570" s="1438"/>
      <c r="AG570" s="1438"/>
      <c r="AH570" s="1438"/>
      <c r="AI570" s="1438"/>
      <c r="AJ570" s="1438"/>
      <c r="AK570" s="143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15" customHeight="1">
      <c r="A571" s="22"/>
      <c r="B571" t="s">
        <v>17</v>
      </c>
      <c r="G571" s="1368" t="s">
        <v>2744</v>
      </c>
      <c r="H571" s="1368"/>
      <c r="I571" s="1368"/>
      <c r="J571" s="1368"/>
      <c r="K571" s="1368"/>
      <c r="L571" s="1368"/>
      <c r="M571" s="1368"/>
      <c r="N571" s="1368"/>
      <c r="O571" s="1368"/>
      <c r="P571" s="1368"/>
      <c r="Q571" s="1368"/>
      <c r="R571" s="1368"/>
      <c r="S571" s="8"/>
      <c r="T571" s="22"/>
      <c r="U571" t="s">
        <v>17</v>
      </c>
      <c r="Z571" s="1438" t="s">
        <v>2744</v>
      </c>
      <c r="AA571" s="1438"/>
      <c r="AB571" s="1438"/>
      <c r="AC571" s="1438"/>
      <c r="AD571" s="1438"/>
      <c r="AE571" s="1438"/>
      <c r="AF571" s="1438"/>
      <c r="AG571" s="1438"/>
      <c r="AH571" s="1438"/>
      <c r="AI571" s="1438"/>
      <c r="AJ571" s="1438"/>
      <c r="AK571" s="143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15" customHeight="1">
      <c r="A572" s="22"/>
      <c r="B572" t="s">
        <v>317</v>
      </c>
      <c r="G572" s="1388" t="s">
        <v>2745</v>
      </c>
      <c r="H572" s="1388"/>
      <c r="I572" s="1388"/>
      <c r="J572" s="1388"/>
      <c r="K572" s="1388"/>
      <c r="L572" s="1388"/>
      <c r="O572" s="33" t="s">
        <v>207</v>
      </c>
      <c r="P572" s="1451"/>
      <c r="Q572" s="1451"/>
      <c r="R572" s="1451"/>
      <c r="S572" s="10"/>
      <c r="T572" s="22"/>
      <c r="U572" t="s">
        <v>317</v>
      </c>
      <c r="Z572" s="1388" t="s">
        <v>2745</v>
      </c>
      <c r="AA572" s="1388"/>
      <c r="AB572" s="1388"/>
      <c r="AC572" s="1388"/>
      <c r="AD572" s="1388"/>
      <c r="AE572" s="1388"/>
      <c r="AH572" s="33" t="s">
        <v>207</v>
      </c>
      <c r="AI572" s="1451"/>
      <c r="AJ572" s="1451"/>
      <c r="AK572" s="145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15" customHeight="1">
      <c r="A573" s="22"/>
      <c r="B573" t="s">
        <v>18</v>
      </c>
      <c r="H573" s="1368" t="str">
        <f>M554</f>
        <v>Loan, Tax-Exempt</v>
      </c>
      <c r="I573" s="1368"/>
      <c r="J573" s="1368"/>
      <c r="K573" s="1368"/>
      <c r="L573" s="1368"/>
      <c r="M573" s="1368"/>
      <c r="N573" s="1368"/>
      <c r="O573" s="1368"/>
      <c r="P573" s="1368"/>
      <c r="Q573" s="1368"/>
      <c r="R573" s="1368"/>
      <c r="S573" s="8"/>
      <c r="T573" s="22"/>
      <c r="U573" t="s">
        <v>18</v>
      </c>
      <c r="AA573" s="1368" t="s">
        <v>2436</v>
      </c>
      <c r="AB573" s="1368"/>
      <c r="AC573" s="1368"/>
      <c r="AD573" s="1368"/>
      <c r="AE573" s="1368"/>
      <c r="AF573" s="1368"/>
      <c r="AG573" s="1368"/>
      <c r="AH573" s="1368"/>
      <c r="AI573" s="1368"/>
      <c r="AJ573" s="1368"/>
      <c r="AK573" s="136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15" customHeight="1">
      <c r="A574" s="22"/>
      <c r="B574" s="348" t="s">
        <v>1291</v>
      </c>
      <c r="H574" s="8"/>
      <c r="I574" s="8"/>
      <c r="J574" s="8"/>
      <c r="K574" s="8"/>
      <c r="L574" s="8"/>
      <c r="M574" s="1686"/>
      <c r="N574" s="1686"/>
      <c r="O574" s="1686"/>
      <c r="P574" s="1686"/>
      <c r="Q574" s="1686"/>
      <c r="R574" s="1686"/>
      <c r="S574" s="8"/>
      <c r="T574" s="22"/>
      <c r="U574" s="348" t="s">
        <v>1291</v>
      </c>
      <c r="AA574" s="8"/>
      <c r="AB574" s="8"/>
      <c r="AC574" s="8"/>
      <c r="AD574" s="8"/>
      <c r="AE574" s="8"/>
      <c r="AF574" s="1686"/>
      <c r="AG574" s="1686"/>
      <c r="AH574" s="1686"/>
      <c r="AI574" s="1686"/>
      <c r="AJ574" s="1686"/>
      <c r="AK574" s="168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15" customHeight="1">
      <c r="A575" s="22"/>
      <c r="B575" t="s">
        <v>20</v>
      </c>
      <c r="N575" s="1367" t="s">
        <v>553</v>
      </c>
      <c r="O575" s="1367"/>
      <c r="T575" s="22"/>
      <c r="U575" t="s">
        <v>20</v>
      </c>
      <c r="AG575" s="1367" t="s">
        <v>553</v>
      </c>
      <c r="AH575" s="1367"/>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1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15" customHeight="1">
      <c r="A577" s="55" t="s">
        <v>119</v>
      </c>
      <c r="B577" t="s">
        <v>471</v>
      </c>
      <c r="G577" s="1464" t="str">
        <f>C556</f>
        <v>City of San Diego Bridge To HOME</v>
      </c>
      <c r="H577" s="1464"/>
      <c r="I577" s="1464"/>
      <c r="J577" s="1464"/>
      <c r="K577" s="1464"/>
      <c r="L577" s="1464"/>
      <c r="M577" s="1464"/>
      <c r="N577" s="1464"/>
      <c r="O577" s="1464"/>
      <c r="P577" s="1464"/>
      <c r="Q577" s="1464"/>
      <c r="R577" s="1464"/>
      <c r="T577" s="55" t="s">
        <v>589</v>
      </c>
      <c r="U577" t="s">
        <v>471</v>
      </c>
      <c r="Z577" s="1464" t="str">
        <f>C557</f>
        <v>San Diego Housing Commission</v>
      </c>
      <c r="AA577" s="1464"/>
      <c r="AB577" s="1464"/>
      <c r="AC577" s="1464"/>
      <c r="AD577" s="1464"/>
      <c r="AE577" s="1464"/>
      <c r="AF577" s="1464"/>
      <c r="AG577" s="1464"/>
      <c r="AH577" s="1464"/>
      <c r="AI577" s="1464"/>
      <c r="AJ577" s="1464"/>
      <c r="AK577" s="146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15" customHeight="1">
      <c r="A578" s="22"/>
      <c r="B578" t="s">
        <v>85</v>
      </c>
      <c r="G578" s="1368" t="s">
        <v>2751</v>
      </c>
      <c r="H578" s="1368"/>
      <c r="I578" s="1368"/>
      <c r="J578" s="1368"/>
      <c r="K578" s="1368"/>
      <c r="L578" s="1368"/>
      <c r="M578" s="1368"/>
      <c r="N578" s="1368"/>
      <c r="O578" s="1368"/>
      <c r="P578" s="1368"/>
      <c r="Q578" s="1368"/>
      <c r="R578" s="1368"/>
      <c r="T578" s="22"/>
      <c r="U578" t="s">
        <v>85</v>
      </c>
      <c r="Z578" s="1368" t="s">
        <v>2728</v>
      </c>
      <c r="AA578" s="1368"/>
      <c r="AB578" s="1368"/>
      <c r="AC578" s="1368"/>
      <c r="AD578" s="1368"/>
      <c r="AE578" s="1368"/>
      <c r="AF578" s="1368"/>
      <c r="AG578" s="1368"/>
      <c r="AH578" s="1368"/>
      <c r="AI578" s="1368"/>
      <c r="AJ578" s="1368"/>
      <c r="AK578" s="1368"/>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15" customHeight="1">
      <c r="A579" s="22"/>
      <c r="B579" t="s">
        <v>588</v>
      </c>
      <c r="G579" s="1438" t="s">
        <v>2729</v>
      </c>
      <c r="H579" s="1438"/>
      <c r="I579" s="1438"/>
      <c r="J579" s="1438"/>
      <c r="K579" s="1438"/>
      <c r="L579" s="1438"/>
      <c r="M579" s="1438"/>
      <c r="N579" s="1438"/>
      <c r="O579" s="1438"/>
      <c r="P579" s="1438"/>
      <c r="Q579" s="1438"/>
      <c r="R579" s="1438"/>
      <c r="T579" s="22"/>
      <c r="U579" t="s">
        <v>588</v>
      </c>
      <c r="Z579" s="1438" t="s">
        <v>2729</v>
      </c>
      <c r="AA579" s="1438"/>
      <c r="AB579" s="1438"/>
      <c r="AC579" s="1438"/>
      <c r="AD579" s="1438"/>
      <c r="AE579" s="1438"/>
      <c r="AF579" s="1438"/>
      <c r="AG579" s="1438"/>
      <c r="AH579" s="1438"/>
      <c r="AI579" s="1438"/>
      <c r="AJ579" s="1438"/>
      <c r="AK579" s="143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15" customHeight="1">
      <c r="A580" s="22"/>
      <c r="B580" t="s">
        <v>17</v>
      </c>
      <c r="G580" s="1438" t="s">
        <v>2752</v>
      </c>
      <c r="H580" s="1438"/>
      <c r="I580" s="1438"/>
      <c r="J580" s="1438"/>
      <c r="K580" s="1438"/>
      <c r="L580" s="1438"/>
      <c r="M580" s="1438"/>
      <c r="N580" s="1438"/>
      <c r="O580" s="1438"/>
      <c r="P580" s="1438"/>
      <c r="Q580" s="1438"/>
      <c r="R580" s="1438"/>
      <c r="T580" s="22"/>
      <c r="U580" t="s">
        <v>17</v>
      </c>
      <c r="Z580" s="1438" t="s">
        <v>2746</v>
      </c>
      <c r="AA580" s="1438"/>
      <c r="AB580" s="1438"/>
      <c r="AC580" s="1438"/>
      <c r="AD580" s="1438"/>
      <c r="AE580" s="1438"/>
      <c r="AF580" s="1438"/>
      <c r="AG580" s="1438"/>
      <c r="AH580" s="1438"/>
      <c r="AI580" s="1438"/>
      <c r="AJ580" s="1438"/>
      <c r="AK580" s="143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15" customHeight="1">
      <c r="A581" s="22"/>
      <c r="B581" t="s">
        <v>317</v>
      </c>
      <c r="G581" s="1387" t="s">
        <v>2753</v>
      </c>
      <c r="H581" s="1388"/>
      <c r="I581" s="1388"/>
      <c r="J581" s="1388"/>
      <c r="K581" s="1388"/>
      <c r="L581" s="1388"/>
      <c r="O581" s="33" t="s">
        <v>207</v>
      </c>
      <c r="P581" s="1451"/>
      <c r="Q581" s="1451"/>
      <c r="R581" s="1451"/>
      <c r="T581" s="22"/>
      <c r="U581" t="s">
        <v>317</v>
      </c>
      <c r="Z581" s="1387" t="s">
        <v>2747</v>
      </c>
      <c r="AA581" s="1388"/>
      <c r="AB581" s="1388"/>
      <c r="AC581" s="1388"/>
      <c r="AD581" s="1388"/>
      <c r="AE581" s="1388"/>
      <c r="AH581" s="33" t="s">
        <v>207</v>
      </c>
      <c r="AI581" s="1451"/>
      <c r="AJ581" s="1451"/>
      <c r="AK581" s="145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15" customHeight="1">
      <c r="A582" s="22"/>
      <c r="B582" t="s">
        <v>18</v>
      </c>
      <c r="H582" s="1368" t="s">
        <v>2754</v>
      </c>
      <c r="I582" s="1368"/>
      <c r="J582" s="1368"/>
      <c r="K582" s="1368"/>
      <c r="L582" s="1368"/>
      <c r="M582" s="1368"/>
      <c r="N582" s="1368"/>
      <c r="O582" s="1368"/>
      <c r="P582" s="1368"/>
      <c r="Q582" s="1368"/>
      <c r="R582" s="1368"/>
      <c r="T582" s="22"/>
      <c r="U582" t="s">
        <v>18</v>
      </c>
      <c r="AA582" s="1368" t="s">
        <v>2754</v>
      </c>
      <c r="AB582" s="1368"/>
      <c r="AC582" s="1368"/>
      <c r="AD582" s="1368"/>
      <c r="AE582" s="1368"/>
      <c r="AF582" s="1368"/>
      <c r="AG582" s="1368"/>
      <c r="AH582" s="1368"/>
      <c r="AI582" s="1368"/>
      <c r="AJ582" s="1368"/>
      <c r="AK582" s="136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15" customHeight="1">
      <c r="A583" s="22"/>
      <c r="B583" t="s">
        <v>20</v>
      </c>
      <c r="N583" s="1367" t="s">
        <v>553</v>
      </c>
      <c r="O583" s="1367"/>
      <c r="T583" s="22"/>
      <c r="U583" t="s">
        <v>20</v>
      </c>
      <c r="AG583" s="1367" t="s">
        <v>553</v>
      </c>
      <c r="AH583" s="1367"/>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1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15" customHeight="1">
      <c r="A585" s="55" t="s">
        <v>772</v>
      </c>
      <c r="B585" t="s">
        <v>471</v>
      </c>
      <c r="G585" s="1464" t="str">
        <f>C558</f>
        <v>Federal LIHTC Equity</v>
      </c>
      <c r="H585" s="1464"/>
      <c r="I585" s="1464"/>
      <c r="J585" s="1464"/>
      <c r="K585" s="1464"/>
      <c r="L585" s="1464"/>
      <c r="M585" s="1464"/>
      <c r="N585" s="1464"/>
      <c r="O585" s="1464"/>
      <c r="P585" s="1464"/>
      <c r="Q585" s="1464"/>
      <c r="R585" s="1464"/>
      <c r="T585" s="55" t="s">
        <v>592</v>
      </c>
      <c r="U585" t="s">
        <v>471</v>
      </c>
      <c r="Z585" s="1464" t="str">
        <f>C559</f>
        <v>State LIHTC Equity</v>
      </c>
      <c r="AA585" s="1464"/>
      <c r="AB585" s="1464"/>
      <c r="AC585" s="1464"/>
      <c r="AD585" s="1464"/>
      <c r="AE585" s="1464"/>
      <c r="AF585" s="1464"/>
      <c r="AG585" s="1464"/>
      <c r="AH585" s="1464"/>
      <c r="AI585" s="1464"/>
      <c r="AJ585" s="1464"/>
      <c r="AK585" s="146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15" customHeight="1">
      <c r="A586" s="22"/>
      <c r="B586" t="s">
        <v>85</v>
      </c>
      <c r="G586" s="1368" t="s">
        <v>2767</v>
      </c>
      <c r="H586" s="1368"/>
      <c r="I586" s="1368"/>
      <c r="J586" s="1368"/>
      <c r="K586" s="1368"/>
      <c r="L586" s="1368"/>
      <c r="M586" s="1368"/>
      <c r="N586" s="1368"/>
      <c r="O586" s="1368"/>
      <c r="P586" s="1368"/>
      <c r="Q586" s="1368"/>
      <c r="R586" s="1368"/>
      <c r="T586" s="22"/>
      <c r="U586" t="s">
        <v>85</v>
      </c>
      <c r="Z586" s="1368" t="s">
        <v>2767</v>
      </c>
      <c r="AA586" s="1368"/>
      <c r="AB586" s="1368"/>
      <c r="AC586" s="1368"/>
      <c r="AD586" s="1368"/>
      <c r="AE586" s="1368"/>
      <c r="AF586" s="1368"/>
      <c r="AG586" s="1368"/>
      <c r="AH586" s="1368"/>
      <c r="AI586" s="1368"/>
      <c r="AJ586" s="1368"/>
      <c r="AK586" s="136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15" customHeight="1">
      <c r="A587" s="22"/>
      <c r="B587" t="s">
        <v>588</v>
      </c>
      <c r="G587" s="1368" t="s">
        <v>2768</v>
      </c>
      <c r="H587" s="1368"/>
      <c r="I587" s="1368"/>
      <c r="J587" s="1368"/>
      <c r="K587" s="1368"/>
      <c r="L587" s="1368"/>
      <c r="M587" s="1368"/>
      <c r="N587" s="1368"/>
      <c r="O587" s="1368"/>
      <c r="P587" s="1368"/>
      <c r="Q587" s="1368"/>
      <c r="R587" s="1368"/>
      <c r="T587" s="22"/>
      <c r="U587" t="s">
        <v>588</v>
      </c>
      <c r="Z587" s="1438" t="s">
        <v>2768</v>
      </c>
      <c r="AA587" s="1438"/>
      <c r="AB587" s="1438"/>
      <c r="AC587" s="1438"/>
      <c r="AD587" s="1438"/>
      <c r="AE587" s="1438"/>
      <c r="AF587" s="1438"/>
      <c r="AG587" s="1438"/>
      <c r="AH587" s="1438"/>
      <c r="AI587" s="1438"/>
      <c r="AJ587" s="1438"/>
      <c r="AK587" s="143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15" customHeight="1">
      <c r="A588" s="22"/>
      <c r="B588" t="s">
        <v>17</v>
      </c>
      <c r="G588" s="1368" t="s">
        <v>2769</v>
      </c>
      <c r="H588" s="1368"/>
      <c r="I588" s="1368"/>
      <c r="J588" s="1368"/>
      <c r="K588" s="1368"/>
      <c r="L588" s="1368"/>
      <c r="M588" s="1368"/>
      <c r="N588" s="1368"/>
      <c r="O588" s="1368"/>
      <c r="P588" s="1368"/>
      <c r="Q588" s="1368"/>
      <c r="R588" s="1368"/>
      <c r="T588" s="22"/>
      <c r="U588" t="s">
        <v>17</v>
      </c>
      <c r="Z588" s="1438" t="s">
        <v>2769</v>
      </c>
      <c r="AA588" s="1438"/>
      <c r="AB588" s="1438"/>
      <c r="AC588" s="1438"/>
      <c r="AD588" s="1438"/>
      <c r="AE588" s="1438"/>
      <c r="AF588" s="1438"/>
      <c r="AG588" s="1438"/>
      <c r="AH588" s="1438"/>
      <c r="AI588" s="1438"/>
      <c r="AJ588" s="1438"/>
      <c r="AK588" s="1438"/>
    </row>
    <row r="589" spans="1:110" ht="13.15" customHeight="1">
      <c r="A589" s="22"/>
      <c r="B589" t="s">
        <v>317</v>
      </c>
      <c r="G589" s="1388" t="s">
        <v>2772</v>
      </c>
      <c r="H589" s="1388"/>
      <c r="I589" s="1388"/>
      <c r="J589" s="1388"/>
      <c r="K589" s="1388"/>
      <c r="L589" s="1388"/>
      <c r="O589" s="33" t="s">
        <v>207</v>
      </c>
      <c r="P589" s="1451"/>
      <c r="Q589" s="1451"/>
      <c r="R589" s="1451"/>
      <c r="T589" s="22"/>
      <c r="U589" t="s">
        <v>317</v>
      </c>
      <c r="Z589" s="1388" t="s">
        <v>2772</v>
      </c>
      <c r="AA589" s="1388"/>
      <c r="AB589" s="1388"/>
      <c r="AC589" s="1388"/>
      <c r="AD589" s="1388"/>
      <c r="AE589" s="1388"/>
      <c r="AH589" s="33" t="s">
        <v>207</v>
      </c>
      <c r="AI589" s="1451"/>
      <c r="AJ589" s="1451"/>
      <c r="AK589" s="145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15" customHeight="1">
      <c r="A590" s="22"/>
      <c r="B590" t="s">
        <v>18</v>
      </c>
      <c r="H590" s="1368"/>
      <c r="I590" s="1368"/>
      <c r="J590" s="1368"/>
      <c r="K590" s="1368"/>
      <c r="L590" s="1368"/>
      <c r="M590" s="1368"/>
      <c r="N590" s="1368"/>
      <c r="O590" s="1368"/>
      <c r="P590" s="1368"/>
      <c r="Q590" s="1368"/>
      <c r="R590" s="1368"/>
      <c r="T590" s="22"/>
      <c r="U590" t="s">
        <v>18</v>
      </c>
      <c r="AA590" s="1368"/>
      <c r="AB590" s="1368"/>
      <c r="AC590" s="1368"/>
      <c r="AD590" s="1368"/>
      <c r="AE590" s="1368"/>
      <c r="AF590" s="1368"/>
      <c r="AG590" s="1368"/>
      <c r="AH590" s="1368"/>
      <c r="AI590" s="1368"/>
      <c r="AJ590" s="1368"/>
      <c r="AK590" s="136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15" customHeight="1">
      <c r="A591" s="22"/>
      <c r="B591" t="s">
        <v>20</v>
      </c>
      <c r="N591" s="1367" t="s">
        <v>553</v>
      </c>
      <c r="O591" s="1367"/>
      <c r="T591" s="22"/>
      <c r="U591" t="s">
        <v>20</v>
      </c>
      <c r="AG591" s="1367" t="s">
        <v>553</v>
      </c>
      <c r="AH591" s="1367"/>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1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15" customHeight="1">
      <c r="A593" s="55" t="s">
        <v>463</v>
      </c>
      <c r="B593" t="s">
        <v>471</v>
      </c>
      <c r="G593" s="1464" t="str">
        <f>C560</f>
        <v>Deferred Costs</v>
      </c>
      <c r="H593" s="1464"/>
      <c r="I593" s="1464"/>
      <c r="J593" s="1464"/>
      <c r="K593" s="1464"/>
      <c r="L593" s="1464"/>
      <c r="M593" s="1464"/>
      <c r="N593" s="1464"/>
      <c r="O593" s="1464"/>
      <c r="P593" s="1464"/>
      <c r="Q593" s="1464"/>
      <c r="R593" s="1464"/>
      <c r="T593" s="55" t="s">
        <v>464</v>
      </c>
      <c r="U593" t="s">
        <v>471</v>
      </c>
      <c r="Z593" s="1464">
        <f>C561</f>
        <v>0</v>
      </c>
      <c r="AA593" s="1464"/>
      <c r="AB593" s="1464"/>
      <c r="AC593" s="1464"/>
      <c r="AD593" s="1464"/>
      <c r="AE593" s="1464"/>
      <c r="AF593" s="1464"/>
      <c r="AG593" s="1464"/>
      <c r="AH593" s="1464"/>
      <c r="AI593" s="1464"/>
      <c r="AJ593" s="1464"/>
      <c r="AK593" s="146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15" customHeight="1">
      <c r="A594" s="22"/>
      <c r="B594" t="s">
        <v>85</v>
      </c>
      <c r="C594"/>
      <c r="D594"/>
      <c r="E594"/>
      <c r="F594"/>
      <c r="G594" s="1368" t="s">
        <v>2748</v>
      </c>
      <c r="H594" s="1368"/>
      <c r="I594" s="1368"/>
      <c r="J594" s="1368"/>
      <c r="K594" s="1368"/>
      <c r="L594" s="1368"/>
      <c r="M594" s="1368"/>
      <c r="N594" s="1368"/>
      <c r="O594" s="1368"/>
      <c r="P594" s="1368"/>
      <c r="Q594" s="1368"/>
      <c r="R594" s="1368"/>
      <c r="S594"/>
      <c r="T594" s="22"/>
      <c r="U594" t="s">
        <v>85</v>
      </c>
      <c r="V594"/>
      <c r="W594"/>
      <c r="X594"/>
      <c r="Y594"/>
      <c r="Z594" s="1368"/>
      <c r="AA594" s="1368"/>
      <c r="AB594" s="1368"/>
      <c r="AC594" s="1368"/>
      <c r="AD594" s="1368"/>
      <c r="AE594" s="1368"/>
      <c r="AF594" s="1368"/>
      <c r="AG594" s="1368"/>
      <c r="AH594" s="1368"/>
      <c r="AI594" s="1368"/>
      <c r="AJ594" s="1368"/>
      <c r="AK594" s="136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15" customHeight="1">
      <c r="A595" s="22"/>
      <c r="B595" t="s">
        <v>588</v>
      </c>
      <c r="C595"/>
      <c r="D595"/>
      <c r="E595"/>
      <c r="F595"/>
      <c r="G595" s="1368" t="s">
        <v>2749</v>
      </c>
      <c r="H595" s="1368"/>
      <c r="I595" s="1368"/>
      <c r="J595" s="1368"/>
      <c r="K595" s="1368"/>
      <c r="L595" s="1368"/>
      <c r="M595" s="1368"/>
      <c r="N595" s="1368"/>
      <c r="O595" s="1368"/>
      <c r="P595" s="1368"/>
      <c r="Q595" s="1368"/>
      <c r="R595" s="1368"/>
      <c r="S595"/>
      <c r="T595" s="22"/>
      <c r="U595" t="s">
        <v>588</v>
      </c>
      <c r="V595"/>
      <c r="W595"/>
      <c r="X595"/>
      <c r="Y595"/>
      <c r="Z595" s="1438"/>
      <c r="AA595" s="1438"/>
      <c r="AB595" s="1438"/>
      <c r="AC595" s="1438"/>
      <c r="AD595" s="1438"/>
      <c r="AE595" s="1438"/>
      <c r="AF595" s="1438"/>
      <c r="AG595" s="1438"/>
      <c r="AH595" s="1438"/>
      <c r="AI595" s="1438"/>
      <c r="AJ595" s="1438"/>
      <c r="AK595" s="143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15" customHeight="1">
      <c r="A596" s="22"/>
      <c r="B596" t="s">
        <v>17</v>
      </c>
      <c r="C596"/>
      <c r="D596"/>
      <c r="E596"/>
      <c r="F596"/>
      <c r="G596" s="1368" t="s">
        <v>2660</v>
      </c>
      <c r="H596" s="1368"/>
      <c r="I596" s="1368"/>
      <c r="J596" s="1368"/>
      <c r="K596" s="1368"/>
      <c r="L596" s="1368"/>
      <c r="M596" s="1368"/>
      <c r="N596" s="1368"/>
      <c r="O596" s="1368"/>
      <c r="P596" s="1368"/>
      <c r="Q596" s="1368"/>
      <c r="R596" s="1368"/>
      <c r="S596"/>
      <c r="T596" s="22"/>
      <c r="U596" t="s">
        <v>17</v>
      </c>
      <c r="V596"/>
      <c r="W596"/>
      <c r="X596"/>
      <c r="Y596"/>
      <c r="Z596" s="1438"/>
      <c r="AA596" s="1438"/>
      <c r="AB596" s="1438"/>
      <c r="AC596" s="1438"/>
      <c r="AD596" s="1438"/>
      <c r="AE596" s="1438"/>
      <c r="AF596" s="1438"/>
      <c r="AG596" s="1438"/>
      <c r="AH596" s="1438"/>
      <c r="AI596" s="1438"/>
      <c r="AJ596" s="1438"/>
      <c r="AK596" s="1438"/>
      <c r="AL596"/>
      <c r="AM596"/>
      <c r="AN596"/>
      <c r="AO596"/>
      <c r="AP596"/>
      <c r="AQ596"/>
      <c r="AR596"/>
      <c r="AS596"/>
      <c r="AT596"/>
      <c r="AU596"/>
      <c r="AV596"/>
      <c r="AW596"/>
      <c r="AX596"/>
      <c r="AY596"/>
      <c r="BA596" s="4" t="s">
        <v>325</v>
      </c>
      <c r="BB596" s="3"/>
      <c r="BC596" s="3"/>
      <c r="BD596" s="3"/>
      <c r="BE596" s="121" t="s">
        <v>482</v>
      </c>
      <c r="BF596" s="122"/>
      <c r="BG596" s="1500"/>
      <c r="BH596" s="1501"/>
      <c r="BI596" s="121" t="s">
        <v>483</v>
      </c>
      <c r="BJ596" s="122"/>
      <c r="BK596" s="1500"/>
      <c r="BL596" s="1501"/>
      <c r="BM596" s="3"/>
      <c r="BN596" s="1405" t="s">
        <v>641</v>
      </c>
      <c r="BO596" s="1406"/>
      <c r="BP596" s="1406"/>
      <c r="BQ596" s="1406"/>
      <c r="BR596" s="1407"/>
      <c r="BS596" s="1507" t="s">
        <v>326</v>
      </c>
      <c r="BT596" s="1507"/>
      <c r="BU596" s="1507"/>
      <c r="BV596" s="1507"/>
      <c r="BW596" s="1507"/>
      <c r="BX596" s="1507" t="s">
        <v>163</v>
      </c>
      <c r="BY596" s="1507"/>
      <c r="BZ596" s="1507"/>
      <c r="CA596" s="1507"/>
      <c r="CB596" s="1507"/>
      <c r="CC596" s="1507" t="s">
        <v>164</v>
      </c>
      <c r="CD596" s="1507"/>
      <c r="CE596" s="1507"/>
      <c r="CF596" s="1507"/>
      <c r="CG596" s="1507"/>
      <c r="CH596" s="1507" t="s">
        <v>468</v>
      </c>
      <c r="CI596" s="1507"/>
      <c r="CJ596" s="1507"/>
      <c r="CK596" s="1507"/>
      <c r="CL596" s="1507"/>
      <c r="CM596" s="1507" t="s">
        <v>30</v>
      </c>
      <c r="CN596" s="1507"/>
      <c r="CO596" s="1507"/>
      <c r="CP596" s="1507"/>
      <c r="CQ596" s="1507"/>
      <c r="CR596" s="89"/>
      <c r="CS596" s="1507" t="s">
        <v>641</v>
      </c>
      <c r="CT596" s="1507"/>
      <c r="CU596" s="1507"/>
      <c r="CV596" s="1507"/>
      <c r="CW596" s="1507"/>
      <c r="CX596" s="1507" t="s">
        <v>326</v>
      </c>
      <c r="CY596" s="1507"/>
      <c r="CZ596" s="1507"/>
      <c r="DA596" s="1507"/>
      <c r="DB596" s="1507"/>
      <c r="DC596" s="1507" t="s">
        <v>163</v>
      </c>
      <c r="DD596" s="1507"/>
      <c r="DE596" s="1507"/>
      <c r="DF596" s="1507"/>
      <c r="DG596" s="1507"/>
      <c r="DH596" s="1507" t="s">
        <v>164</v>
      </c>
      <c r="DI596" s="1507"/>
      <c r="DJ596" s="1507"/>
      <c r="DK596" s="1507"/>
      <c r="DL596" s="1507"/>
      <c r="DM596" s="1507" t="s">
        <v>468</v>
      </c>
      <c r="DN596" s="1507"/>
      <c r="DO596" s="1507"/>
      <c r="DP596" s="1507"/>
      <c r="DQ596" s="1507"/>
      <c r="DR596" s="1507" t="s">
        <v>30</v>
      </c>
      <c r="DS596" s="1507"/>
      <c r="DT596" s="1507"/>
      <c r="DU596" s="1507"/>
      <c r="DV596" s="1507"/>
      <c r="DX596" s="1507" t="s">
        <v>641</v>
      </c>
      <c r="DY596" s="1507"/>
      <c r="DZ596" s="1507"/>
      <c r="EA596" s="1507"/>
      <c r="EB596" s="1507"/>
      <c r="EC596" s="1507" t="s">
        <v>326</v>
      </c>
      <c r="ED596" s="1507"/>
      <c r="EE596" s="1507"/>
      <c r="EF596" s="1507"/>
      <c r="EG596" s="1507"/>
      <c r="EH596" s="1507" t="s">
        <v>163</v>
      </c>
      <c r="EI596" s="1507"/>
      <c r="EJ596" s="1507"/>
      <c r="EK596" s="1507"/>
      <c r="EL596" s="1507"/>
      <c r="EM596" s="1507" t="s">
        <v>164</v>
      </c>
      <c r="EN596" s="1507"/>
      <c r="EO596" s="1507"/>
      <c r="EP596" s="1507"/>
      <c r="EQ596" s="1507"/>
      <c r="ER596" s="1507" t="s">
        <v>468</v>
      </c>
      <c r="ES596" s="1507"/>
      <c r="ET596" s="1507"/>
      <c r="EU596" s="1507"/>
      <c r="EV596" s="1507"/>
      <c r="EW596" s="1507" t="s">
        <v>30</v>
      </c>
      <c r="EX596" s="1507"/>
      <c r="EY596" s="1507"/>
      <c r="EZ596" s="1507"/>
      <c r="FA596" s="1507"/>
    </row>
    <row r="597" spans="1:157" s="4" customFormat="1" ht="13.15" customHeight="1">
      <c r="A597" s="22"/>
      <c r="B597" t="s">
        <v>317</v>
      </c>
      <c r="C597"/>
      <c r="D597"/>
      <c r="E597"/>
      <c r="F597"/>
      <c r="G597" s="1388" t="s">
        <v>2661</v>
      </c>
      <c r="H597" s="1388"/>
      <c r="I597" s="1388"/>
      <c r="J597" s="1388"/>
      <c r="K597" s="1388"/>
      <c r="L597" s="1388"/>
      <c r="M597"/>
      <c r="N597"/>
      <c r="O597" s="33" t="s">
        <v>207</v>
      </c>
      <c r="P597" s="1451"/>
      <c r="Q597" s="1451"/>
      <c r="R597" s="1451"/>
      <c r="S597"/>
      <c r="T597" s="22"/>
      <c r="U597" t="s">
        <v>317</v>
      </c>
      <c r="V597"/>
      <c r="W597"/>
      <c r="X597"/>
      <c r="Y597"/>
      <c r="Z597" s="1388"/>
      <c r="AA597" s="1388"/>
      <c r="AB597" s="1388"/>
      <c r="AC597" s="1388"/>
      <c r="AD597" s="1388"/>
      <c r="AE597" s="1388"/>
      <c r="AF597"/>
      <c r="AG597"/>
      <c r="AH597" s="33" t="s">
        <v>207</v>
      </c>
      <c r="AI597" s="1451"/>
      <c r="AJ597" s="1451"/>
      <c r="AK597" s="1451"/>
      <c r="AL597"/>
      <c r="AM597"/>
      <c r="AN597"/>
      <c r="AO597"/>
      <c r="AP597"/>
      <c r="AQ597"/>
      <c r="AR597"/>
      <c r="AS597"/>
      <c r="AT597"/>
      <c r="AU597"/>
      <c r="AV597"/>
      <c r="AW597"/>
      <c r="AX597"/>
      <c r="AY597"/>
      <c r="BA597" s="4" t="s">
        <v>326</v>
      </c>
      <c r="BB597" s="3"/>
      <c r="BC597" s="3"/>
      <c r="BD597" s="3"/>
      <c r="BE597" s="1481">
        <f t="shared" ref="BE597:BE631" si="1">IF(AND(AC718&lt;=0.5,AC718&gt;=0.36),1,0)</f>
        <v>0</v>
      </c>
      <c r="BF597" s="1483"/>
      <c r="BG597" s="1500">
        <f t="shared" ref="BG597:BG631" si="2">IF(BE597=1,G718,0)</f>
        <v>0</v>
      </c>
      <c r="BH597" s="1501"/>
      <c r="BI597" s="1481">
        <f t="shared" ref="BI597:BI631" si="3">IF(AND(AC718&lt;=0.35,AC718&gt;0),1,0)</f>
        <v>1</v>
      </c>
      <c r="BJ597" s="1483"/>
      <c r="BK597" s="1500">
        <f t="shared" ref="BK597:BK631" si="4">IF(BI597=1,G718,0)</f>
        <v>7</v>
      </c>
      <c r="BL597" s="1501"/>
      <c r="BM597" s="3"/>
      <c r="BN597" s="1485">
        <f t="shared" ref="BN597:BN631" si="5">IF(B718="SRO/Studio",G718,0)</f>
        <v>0</v>
      </c>
      <c r="BO597" s="1486"/>
      <c r="BP597" s="1486"/>
      <c r="BQ597" s="1486"/>
      <c r="BR597" s="1487"/>
      <c r="BS597" s="1484">
        <f t="shared" ref="BS597:BS631" si="6">IF(B718="1 Bedroom",G718,0)</f>
        <v>7</v>
      </c>
      <c r="BT597" s="1484"/>
      <c r="BU597" s="1484"/>
      <c r="BV597" s="1484"/>
      <c r="BW597" s="1484"/>
      <c r="BX597" s="1484">
        <f t="shared" ref="BX597:BX631" si="7">IF(B718="2 Bedrooms",G718,0)</f>
        <v>0</v>
      </c>
      <c r="BY597" s="1484"/>
      <c r="BZ597" s="1484"/>
      <c r="CA597" s="1484"/>
      <c r="CB597" s="1484"/>
      <c r="CC597" s="1484">
        <f t="shared" ref="CC597:CC631" si="8">IF(B718="3 Bedrooms",G718,0)</f>
        <v>0</v>
      </c>
      <c r="CD597" s="1484"/>
      <c r="CE597" s="1484"/>
      <c r="CF597" s="1484"/>
      <c r="CG597" s="1484"/>
      <c r="CH597" s="1484">
        <f t="shared" ref="CH597:CH631" si="9">IF(B718="4 Bedrooms",G718,0)</f>
        <v>0</v>
      </c>
      <c r="CI597" s="1484"/>
      <c r="CJ597" s="1484"/>
      <c r="CK597" s="1484"/>
      <c r="CL597" s="1484"/>
      <c r="CM597" s="1484">
        <f t="shared" ref="CM597:CM631" si="10">IF(B718="5 Bedrooms",G718,0)</f>
        <v>0</v>
      </c>
      <c r="CN597" s="1484"/>
      <c r="CO597" s="1484"/>
      <c r="CP597" s="1484"/>
      <c r="CQ597" s="1484"/>
      <c r="CR597" s="6"/>
      <c r="CS597" s="1491">
        <f t="shared" ref="CS597:CS631" si="11">IF(AND(B718="SRO/Studio",AC718&lt;=0.3),G718,0)</f>
        <v>0</v>
      </c>
      <c r="CT597" s="1491"/>
      <c r="CU597" s="1491"/>
      <c r="CV597" s="1491"/>
      <c r="CW597" s="1491"/>
      <c r="CX597" s="1491">
        <f t="shared" ref="CX597:CX631" si="12">IF(AND(B718="1 Bedroom",AC718&lt;=0.3),G718,0)</f>
        <v>7</v>
      </c>
      <c r="CY597" s="1491"/>
      <c r="CZ597" s="1491"/>
      <c r="DA597" s="1491"/>
      <c r="DB597" s="1491"/>
      <c r="DC597" s="1491">
        <f t="shared" ref="DC597:DC631" si="13">IF(AND(B718="2 Bedrooms",AC718&lt;=0.3),G718,0)</f>
        <v>0</v>
      </c>
      <c r="DD597" s="1491"/>
      <c r="DE597" s="1491"/>
      <c r="DF597" s="1491"/>
      <c r="DG597" s="1491"/>
      <c r="DH597" s="1491">
        <f t="shared" ref="DH597:DH631" si="14">IF(AND(B718="3 Bedrooms",AC718&lt;=0.3),G718,0)</f>
        <v>0</v>
      </c>
      <c r="DI597" s="1491"/>
      <c r="DJ597" s="1491"/>
      <c r="DK597" s="1491"/>
      <c r="DL597" s="1491"/>
      <c r="DM597" s="1491">
        <f t="shared" ref="DM597:DM631" si="15">IF(AND(B718="4 Bedrooms",AC718&lt;=0.3),G718,0)</f>
        <v>0</v>
      </c>
      <c r="DN597" s="1491"/>
      <c r="DO597" s="1491"/>
      <c r="DP597" s="1491"/>
      <c r="DQ597" s="1491"/>
      <c r="DR597" s="1491">
        <f t="shared" ref="DR597:DR631" si="16">IF(AND(B718="5 Bedrooms",AC718&lt;=0.3),G718,0)</f>
        <v>0</v>
      </c>
      <c r="DS597" s="1491"/>
      <c r="DT597" s="1491"/>
      <c r="DU597" s="1491"/>
      <c r="DV597" s="1491"/>
      <c r="DX597" s="1481" t="str">
        <f t="shared" ref="DX597:DX631" si="17">IF(BN597&gt;0,O718,"")</f>
        <v/>
      </c>
      <c r="DY597" s="1482"/>
      <c r="DZ597" s="1482"/>
      <c r="EA597" s="1482"/>
      <c r="EB597" s="1483"/>
      <c r="EC597" s="1481">
        <f t="shared" ref="EC597:EC631" si="18">IF(BS597&gt;0,O718,"")</f>
        <v>768</v>
      </c>
      <c r="ED597" s="1482"/>
      <c r="EE597" s="1482"/>
      <c r="EF597" s="1482"/>
      <c r="EG597" s="1483"/>
      <c r="EH597" s="1481" t="str">
        <f t="shared" ref="EH597:EH631" si="19">IF(BX597&gt;0,O718,"")</f>
        <v/>
      </c>
      <c r="EI597" s="1482"/>
      <c r="EJ597" s="1482"/>
      <c r="EK597" s="1482"/>
      <c r="EL597" s="1483"/>
      <c r="EM597" s="1481" t="str">
        <f t="shared" ref="EM597:EM631" si="20">IF(CC597&gt;0,O718,"")</f>
        <v/>
      </c>
      <c r="EN597" s="1482"/>
      <c r="EO597" s="1482"/>
      <c r="EP597" s="1482"/>
      <c r="EQ597" s="1483"/>
      <c r="ER597" s="1481" t="str">
        <f t="shared" ref="ER597:ER631" si="21">IF(CH597&gt;0,O718,"")</f>
        <v/>
      </c>
      <c r="ES597" s="1482"/>
      <c r="ET597" s="1482"/>
      <c r="EU597" s="1482"/>
      <c r="EV597" s="1483"/>
      <c r="EW597" s="1481" t="str">
        <f t="shared" ref="EW597:EW631" si="22">IF(CM597&gt;0,O718,"")</f>
        <v/>
      </c>
      <c r="EX597" s="1482"/>
      <c r="EY597" s="1482"/>
      <c r="EZ597" s="1482"/>
      <c r="FA597" s="1483"/>
    </row>
    <row r="598" spans="1:157" s="4" customFormat="1" ht="13.15" customHeight="1">
      <c r="A598" s="22"/>
      <c r="B598" t="s">
        <v>18</v>
      </c>
      <c r="C598"/>
      <c r="D598"/>
      <c r="E598"/>
      <c r="F598"/>
      <c r="G598"/>
      <c r="H598" s="1368" t="s">
        <v>2750</v>
      </c>
      <c r="I598" s="1368"/>
      <c r="J598" s="1368"/>
      <c r="K598" s="1368"/>
      <c r="L598" s="1368"/>
      <c r="M598" s="1368"/>
      <c r="N598" s="1368"/>
      <c r="O598" s="1368"/>
      <c r="P598" s="1368"/>
      <c r="Q598" s="1368"/>
      <c r="R598" s="1368"/>
      <c r="S598"/>
      <c r="T598" s="22"/>
      <c r="U598" t="s">
        <v>18</v>
      </c>
      <c r="V598"/>
      <c r="W598"/>
      <c r="X598"/>
      <c r="Y598"/>
      <c r="Z598"/>
      <c r="AA598" s="1368"/>
      <c r="AB598" s="1368"/>
      <c r="AC598" s="1368"/>
      <c r="AD598" s="1368"/>
      <c r="AE598" s="1368"/>
      <c r="AF598" s="1368"/>
      <c r="AG598" s="1368"/>
      <c r="AH598" s="1368"/>
      <c r="AI598" s="1368"/>
      <c r="AJ598" s="1368"/>
      <c r="AK598" s="1368"/>
      <c r="AL598"/>
      <c r="AM598"/>
      <c r="AN598"/>
      <c r="AO598"/>
      <c r="AP598"/>
      <c r="AQ598"/>
      <c r="AR598"/>
      <c r="AS598"/>
      <c r="AT598"/>
      <c r="AU598"/>
      <c r="AV598"/>
      <c r="AW598"/>
      <c r="AX598"/>
      <c r="AY598"/>
      <c r="BA598" s="4" t="s">
        <v>163</v>
      </c>
      <c r="BB598" s="3"/>
      <c r="BC598" s="3"/>
      <c r="BD598" s="3"/>
      <c r="BE598" s="1481">
        <f t="shared" si="1"/>
        <v>1</v>
      </c>
      <c r="BF598" s="1483"/>
      <c r="BG598" s="1500">
        <f t="shared" si="2"/>
        <v>4</v>
      </c>
      <c r="BH598" s="1501"/>
      <c r="BI598" s="1481">
        <f t="shared" si="3"/>
        <v>0</v>
      </c>
      <c r="BJ598" s="1483"/>
      <c r="BK598" s="1500">
        <f t="shared" si="4"/>
        <v>0</v>
      </c>
      <c r="BL598" s="1501"/>
      <c r="BM598" s="3"/>
      <c r="BN598" s="1485">
        <f t="shared" si="5"/>
        <v>0</v>
      </c>
      <c r="BO598" s="1486"/>
      <c r="BP598" s="1486"/>
      <c r="BQ598" s="1486"/>
      <c r="BR598" s="1487"/>
      <c r="BS598" s="1484">
        <f t="shared" si="6"/>
        <v>4</v>
      </c>
      <c r="BT598" s="1484"/>
      <c r="BU598" s="1484"/>
      <c r="BV598" s="1484"/>
      <c r="BW598" s="1484"/>
      <c r="BX598" s="1484">
        <f t="shared" si="7"/>
        <v>0</v>
      </c>
      <c r="BY598" s="1484"/>
      <c r="BZ598" s="1484"/>
      <c r="CA598" s="1484"/>
      <c r="CB598" s="1484"/>
      <c r="CC598" s="1484">
        <f t="shared" si="8"/>
        <v>0</v>
      </c>
      <c r="CD598" s="1484"/>
      <c r="CE598" s="1484"/>
      <c r="CF598" s="1484"/>
      <c r="CG598" s="1484"/>
      <c r="CH598" s="1484">
        <f t="shared" si="9"/>
        <v>0</v>
      </c>
      <c r="CI598" s="1484"/>
      <c r="CJ598" s="1484"/>
      <c r="CK598" s="1484"/>
      <c r="CL598" s="1484"/>
      <c r="CM598" s="1484">
        <f t="shared" si="10"/>
        <v>0</v>
      </c>
      <c r="CN598" s="1484"/>
      <c r="CO598" s="1484"/>
      <c r="CP598" s="1484"/>
      <c r="CQ598" s="1484"/>
      <c r="CR598" s="6"/>
      <c r="CS598" s="1491">
        <f t="shared" si="11"/>
        <v>0</v>
      </c>
      <c r="CT598" s="1491"/>
      <c r="CU598" s="1491"/>
      <c r="CV598" s="1491"/>
      <c r="CW598" s="1491"/>
      <c r="CX598" s="1491">
        <f t="shared" si="12"/>
        <v>0</v>
      </c>
      <c r="CY598" s="1491"/>
      <c r="CZ598" s="1491"/>
      <c r="DA598" s="1491"/>
      <c r="DB598" s="1491"/>
      <c r="DC598" s="1491">
        <f t="shared" si="13"/>
        <v>0</v>
      </c>
      <c r="DD598" s="1491"/>
      <c r="DE598" s="1491"/>
      <c r="DF598" s="1491"/>
      <c r="DG598" s="1491"/>
      <c r="DH598" s="1491">
        <f t="shared" si="14"/>
        <v>0</v>
      </c>
      <c r="DI598" s="1491"/>
      <c r="DJ598" s="1491"/>
      <c r="DK598" s="1491"/>
      <c r="DL598" s="1491"/>
      <c r="DM598" s="1491">
        <f t="shared" si="15"/>
        <v>0</v>
      </c>
      <c r="DN598" s="1491"/>
      <c r="DO598" s="1491"/>
      <c r="DP598" s="1491"/>
      <c r="DQ598" s="1491"/>
      <c r="DR598" s="1491">
        <f t="shared" si="16"/>
        <v>0</v>
      </c>
      <c r="DS598" s="1491"/>
      <c r="DT598" s="1491"/>
      <c r="DU598" s="1491"/>
      <c r="DV598" s="1491"/>
      <c r="DX598" s="1481" t="str">
        <f t="shared" si="17"/>
        <v/>
      </c>
      <c r="DY598" s="1482"/>
      <c r="DZ598" s="1482"/>
      <c r="EA598" s="1482"/>
      <c r="EB598" s="1483"/>
      <c r="EC598" s="1481">
        <f t="shared" si="18"/>
        <v>1336</v>
      </c>
      <c r="ED598" s="1482"/>
      <c r="EE598" s="1482"/>
      <c r="EF598" s="1482"/>
      <c r="EG598" s="1483"/>
      <c r="EH598" s="1481" t="str">
        <f t="shared" si="19"/>
        <v/>
      </c>
      <c r="EI598" s="1482"/>
      <c r="EJ598" s="1482"/>
      <c r="EK598" s="1482"/>
      <c r="EL598" s="1483"/>
      <c r="EM598" s="1481" t="str">
        <f t="shared" si="20"/>
        <v/>
      </c>
      <c r="EN598" s="1482"/>
      <c r="EO598" s="1482"/>
      <c r="EP598" s="1482"/>
      <c r="EQ598" s="1483"/>
      <c r="ER598" s="1481" t="str">
        <f t="shared" si="21"/>
        <v/>
      </c>
      <c r="ES598" s="1482"/>
      <c r="ET598" s="1482"/>
      <c r="EU598" s="1482"/>
      <c r="EV598" s="1483"/>
      <c r="EW598" s="1481" t="str">
        <f t="shared" si="22"/>
        <v/>
      </c>
      <c r="EX598" s="1482"/>
      <c r="EY598" s="1482"/>
      <c r="EZ598" s="1482"/>
      <c r="FA598" s="1483"/>
    </row>
    <row r="599" spans="1:157" ht="13.15" customHeight="1">
      <c r="A599" s="22"/>
      <c r="B599" t="s">
        <v>20</v>
      </c>
      <c r="N599" s="1367" t="s">
        <v>553</v>
      </c>
      <c r="O599" s="1367"/>
      <c r="T599" s="22"/>
      <c r="U599" t="s">
        <v>20</v>
      </c>
      <c r="AG599" s="1367" t="s">
        <v>677</v>
      </c>
      <c r="AH599" s="1367"/>
      <c r="BA599" s="4" t="s">
        <v>164</v>
      </c>
      <c r="BB599" s="3"/>
      <c r="BC599" s="3"/>
      <c r="BD599" s="3"/>
      <c r="BE599" s="1481">
        <f t="shared" si="1"/>
        <v>0</v>
      </c>
      <c r="BF599" s="1483"/>
      <c r="BG599" s="1500">
        <f t="shared" si="2"/>
        <v>0</v>
      </c>
      <c r="BH599" s="1501"/>
      <c r="BI599" s="1481">
        <f t="shared" si="3"/>
        <v>0</v>
      </c>
      <c r="BJ599" s="1483"/>
      <c r="BK599" s="1500">
        <f t="shared" si="4"/>
        <v>0</v>
      </c>
      <c r="BL599" s="1501"/>
      <c r="BM599" s="3"/>
      <c r="BN599" s="1485">
        <f t="shared" si="5"/>
        <v>0</v>
      </c>
      <c r="BO599" s="1486"/>
      <c r="BP599" s="1486"/>
      <c r="BQ599" s="1486"/>
      <c r="BR599" s="1487"/>
      <c r="BS599" s="1484">
        <f t="shared" si="6"/>
        <v>20</v>
      </c>
      <c r="BT599" s="1484"/>
      <c r="BU599" s="1484"/>
      <c r="BV599" s="1484"/>
      <c r="BW599" s="1484"/>
      <c r="BX599" s="1484">
        <f t="shared" si="7"/>
        <v>0</v>
      </c>
      <c r="BY599" s="1484"/>
      <c r="BZ599" s="1484"/>
      <c r="CA599" s="1484"/>
      <c r="CB599" s="1484"/>
      <c r="CC599" s="1484">
        <f t="shared" si="8"/>
        <v>0</v>
      </c>
      <c r="CD599" s="1484"/>
      <c r="CE599" s="1484"/>
      <c r="CF599" s="1484"/>
      <c r="CG599" s="1484"/>
      <c r="CH599" s="1484">
        <f t="shared" si="9"/>
        <v>0</v>
      </c>
      <c r="CI599" s="1484"/>
      <c r="CJ599" s="1484"/>
      <c r="CK599" s="1484"/>
      <c r="CL599" s="1484"/>
      <c r="CM599" s="1484">
        <f t="shared" si="10"/>
        <v>0</v>
      </c>
      <c r="CN599" s="1484"/>
      <c r="CO599" s="1484"/>
      <c r="CP599" s="1484"/>
      <c r="CQ599" s="1484"/>
      <c r="CR599" s="6"/>
      <c r="CS599" s="1491">
        <f t="shared" si="11"/>
        <v>0</v>
      </c>
      <c r="CT599" s="1491"/>
      <c r="CU599" s="1491"/>
      <c r="CV599" s="1491"/>
      <c r="CW599" s="1491"/>
      <c r="CX599" s="1491">
        <f t="shared" si="12"/>
        <v>0</v>
      </c>
      <c r="CY599" s="1491"/>
      <c r="CZ599" s="1491"/>
      <c r="DA599" s="1491"/>
      <c r="DB599" s="1491"/>
      <c r="DC599" s="1491">
        <f t="shared" si="13"/>
        <v>0</v>
      </c>
      <c r="DD599" s="1491"/>
      <c r="DE599" s="1491"/>
      <c r="DF599" s="1491"/>
      <c r="DG599" s="1491"/>
      <c r="DH599" s="1491">
        <f t="shared" si="14"/>
        <v>0</v>
      </c>
      <c r="DI599" s="1491"/>
      <c r="DJ599" s="1491"/>
      <c r="DK599" s="1491"/>
      <c r="DL599" s="1491"/>
      <c r="DM599" s="1491">
        <f t="shared" si="15"/>
        <v>0</v>
      </c>
      <c r="DN599" s="1491"/>
      <c r="DO599" s="1491"/>
      <c r="DP599" s="1491"/>
      <c r="DQ599" s="1491"/>
      <c r="DR599" s="1491">
        <f t="shared" si="16"/>
        <v>0</v>
      </c>
      <c r="DS599" s="1491"/>
      <c r="DT599" s="1491"/>
      <c r="DU599" s="1491"/>
      <c r="DV599" s="1491"/>
      <c r="DX599" s="1481" t="str">
        <f t="shared" si="17"/>
        <v/>
      </c>
      <c r="DY599" s="1482"/>
      <c r="DZ599" s="1482"/>
      <c r="EA599" s="1482"/>
      <c r="EB599" s="1483"/>
      <c r="EC599" s="1481">
        <f t="shared" si="18"/>
        <v>1620</v>
      </c>
      <c r="ED599" s="1482"/>
      <c r="EE599" s="1482"/>
      <c r="EF599" s="1482"/>
      <c r="EG599" s="1483"/>
      <c r="EH599" s="1481" t="str">
        <f t="shared" si="19"/>
        <v/>
      </c>
      <c r="EI599" s="1482"/>
      <c r="EJ599" s="1482"/>
      <c r="EK599" s="1482"/>
      <c r="EL599" s="1483"/>
      <c r="EM599" s="1481" t="str">
        <f t="shared" si="20"/>
        <v/>
      </c>
      <c r="EN599" s="1482"/>
      <c r="EO599" s="1482"/>
      <c r="EP599" s="1482"/>
      <c r="EQ599" s="1483"/>
      <c r="ER599" s="1481" t="str">
        <f t="shared" si="21"/>
        <v/>
      </c>
      <c r="ES599" s="1482"/>
      <c r="ET599" s="1482"/>
      <c r="EU599" s="1482"/>
      <c r="EV599" s="1483"/>
      <c r="EW599" s="1481" t="str">
        <f t="shared" si="22"/>
        <v/>
      </c>
      <c r="EX599" s="1482"/>
      <c r="EY599" s="1482"/>
      <c r="EZ599" s="1482"/>
      <c r="FA599" s="1483"/>
    </row>
    <row r="600" spans="1:157" ht="13.15" customHeight="1">
      <c r="A600" s="22"/>
      <c r="T600" s="22"/>
      <c r="BA600" s="4" t="s">
        <v>165</v>
      </c>
      <c r="BB600" s="3"/>
      <c r="BC600" s="3"/>
      <c r="BD600" s="3"/>
      <c r="BE600" s="1481">
        <f t="shared" si="1"/>
        <v>0</v>
      </c>
      <c r="BF600" s="1483"/>
      <c r="BG600" s="1500">
        <f t="shared" si="2"/>
        <v>0</v>
      </c>
      <c r="BH600" s="1501"/>
      <c r="BI600" s="1481">
        <f t="shared" si="3"/>
        <v>0</v>
      </c>
      <c r="BJ600" s="1483"/>
      <c r="BK600" s="1500">
        <f t="shared" si="4"/>
        <v>0</v>
      </c>
      <c r="BL600" s="1501"/>
      <c r="BM600" s="3"/>
      <c r="BN600" s="1485">
        <f t="shared" si="5"/>
        <v>0</v>
      </c>
      <c r="BO600" s="1486"/>
      <c r="BP600" s="1486"/>
      <c r="BQ600" s="1486"/>
      <c r="BR600" s="1487"/>
      <c r="BS600" s="1484">
        <f t="shared" si="6"/>
        <v>4</v>
      </c>
      <c r="BT600" s="1484"/>
      <c r="BU600" s="1484"/>
      <c r="BV600" s="1484"/>
      <c r="BW600" s="1484"/>
      <c r="BX600" s="1484">
        <f t="shared" si="7"/>
        <v>0</v>
      </c>
      <c r="BY600" s="1484"/>
      <c r="BZ600" s="1484"/>
      <c r="CA600" s="1484"/>
      <c r="CB600" s="1484"/>
      <c r="CC600" s="1484">
        <f t="shared" si="8"/>
        <v>0</v>
      </c>
      <c r="CD600" s="1484"/>
      <c r="CE600" s="1484"/>
      <c r="CF600" s="1484"/>
      <c r="CG600" s="1484"/>
      <c r="CH600" s="1484">
        <f t="shared" si="9"/>
        <v>0</v>
      </c>
      <c r="CI600" s="1484"/>
      <c r="CJ600" s="1484"/>
      <c r="CK600" s="1484"/>
      <c r="CL600" s="1484"/>
      <c r="CM600" s="1484">
        <f t="shared" si="10"/>
        <v>0</v>
      </c>
      <c r="CN600" s="1484"/>
      <c r="CO600" s="1484"/>
      <c r="CP600" s="1484"/>
      <c r="CQ600" s="1484"/>
      <c r="CR600" s="6"/>
      <c r="CS600" s="1491">
        <f t="shared" si="11"/>
        <v>0</v>
      </c>
      <c r="CT600" s="1491"/>
      <c r="CU600" s="1491"/>
      <c r="CV600" s="1491"/>
      <c r="CW600" s="1491"/>
      <c r="CX600" s="1491">
        <f t="shared" si="12"/>
        <v>0</v>
      </c>
      <c r="CY600" s="1491"/>
      <c r="CZ600" s="1491"/>
      <c r="DA600" s="1491"/>
      <c r="DB600" s="1491"/>
      <c r="DC600" s="1491">
        <f t="shared" si="13"/>
        <v>0</v>
      </c>
      <c r="DD600" s="1491"/>
      <c r="DE600" s="1491"/>
      <c r="DF600" s="1491"/>
      <c r="DG600" s="1491"/>
      <c r="DH600" s="1491">
        <f t="shared" si="14"/>
        <v>0</v>
      </c>
      <c r="DI600" s="1491"/>
      <c r="DJ600" s="1491"/>
      <c r="DK600" s="1491"/>
      <c r="DL600" s="1491"/>
      <c r="DM600" s="1491">
        <f t="shared" si="15"/>
        <v>0</v>
      </c>
      <c r="DN600" s="1491"/>
      <c r="DO600" s="1491"/>
      <c r="DP600" s="1491"/>
      <c r="DQ600" s="1491"/>
      <c r="DR600" s="1491">
        <f t="shared" si="16"/>
        <v>0</v>
      </c>
      <c r="DS600" s="1491"/>
      <c r="DT600" s="1491"/>
      <c r="DU600" s="1491"/>
      <c r="DV600" s="1491"/>
      <c r="DX600" s="1481" t="str">
        <f t="shared" si="17"/>
        <v/>
      </c>
      <c r="DY600" s="1482"/>
      <c r="DZ600" s="1482"/>
      <c r="EA600" s="1482"/>
      <c r="EB600" s="1483"/>
      <c r="EC600" s="1481">
        <f t="shared" si="18"/>
        <v>1904</v>
      </c>
      <c r="ED600" s="1482"/>
      <c r="EE600" s="1482"/>
      <c r="EF600" s="1482"/>
      <c r="EG600" s="1483"/>
      <c r="EH600" s="1481" t="str">
        <f t="shared" si="19"/>
        <v/>
      </c>
      <c r="EI600" s="1482"/>
      <c r="EJ600" s="1482"/>
      <c r="EK600" s="1482"/>
      <c r="EL600" s="1483"/>
      <c r="EM600" s="1481" t="str">
        <f t="shared" si="20"/>
        <v/>
      </c>
      <c r="EN600" s="1482"/>
      <c r="EO600" s="1482"/>
      <c r="EP600" s="1482"/>
      <c r="EQ600" s="1483"/>
      <c r="ER600" s="1481" t="str">
        <f t="shared" si="21"/>
        <v/>
      </c>
      <c r="ES600" s="1482"/>
      <c r="ET600" s="1482"/>
      <c r="EU600" s="1482"/>
      <c r="EV600" s="1483"/>
      <c r="EW600" s="1481" t="str">
        <f t="shared" si="22"/>
        <v/>
      </c>
      <c r="EX600" s="1482"/>
      <c r="EY600" s="1482"/>
      <c r="EZ600" s="1482"/>
      <c r="FA600" s="1483"/>
    </row>
    <row r="601" spans="1:157" ht="13.15" customHeight="1">
      <c r="A601" s="55" t="s">
        <v>469</v>
      </c>
      <c r="B601" t="s">
        <v>471</v>
      </c>
      <c r="G601" s="1464">
        <f>C562</f>
        <v>0</v>
      </c>
      <c r="H601" s="1464"/>
      <c r="I601" s="1464"/>
      <c r="J601" s="1464"/>
      <c r="K601" s="1464"/>
      <c r="L601" s="1464"/>
      <c r="M601" s="1464"/>
      <c r="N601" s="1464"/>
      <c r="O601" s="1464"/>
      <c r="P601" s="1464"/>
      <c r="Q601" s="1464"/>
      <c r="R601" s="1464"/>
      <c r="T601" s="55" t="s">
        <v>654</v>
      </c>
      <c r="U601" t="s">
        <v>471</v>
      </c>
      <c r="Z601" s="1464">
        <f>C563</f>
        <v>0</v>
      </c>
      <c r="AA601" s="1464"/>
      <c r="AB601" s="1464"/>
      <c r="AC601" s="1464"/>
      <c r="AD601" s="1464"/>
      <c r="AE601" s="1464"/>
      <c r="AF601" s="1464"/>
      <c r="AG601" s="1464"/>
      <c r="AH601" s="1464"/>
      <c r="AI601" s="1464"/>
      <c r="AJ601" s="1464"/>
      <c r="AK601" s="1464"/>
      <c r="BA601" s="4" t="s">
        <v>30</v>
      </c>
      <c r="BB601" s="3"/>
      <c r="BC601" s="3"/>
      <c r="BD601" s="3"/>
      <c r="BE601" s="1481">
        <f t="shared" si="1"/>
        <v>0</v>
      </c>
      <c r="BF601" s="1483"/>
      <c r="BG601" s="1500">
        <f t="shared" si="2"/>
        <v>0</v>
      </c>
      <c r="BH601" s="1501"/>
      <c r="BI601" s="1481">
        <f t="shared" si="3"/>
        <v>1</v>
      </c>
      <c r="BJ601" s="1483"/>
      <c r="BK601" s="1500">
        <f t="shared" si="4"/>
        <v>4</v>
      </c>
      <c r="BL601" s="1501"/>
      <c r="BM601" s="3"/>
      <c r="BN601" s="1485">
        <f t="shared" si="5"/>
        <v>0</v>
      </c>
      <c r="BO601" s="1486"/>
      <c r="BP601" s="1486"/>
      <c r="BQ601" s="1486"/>
      <c r="BR601" s="1487"/>
      <c r="BS601" s="1484">
        <f t="shared" si="6"/>
        <v>0</v>
      </c>
      <c r="BT601" s="1484"/>
      <c r="BU601" s="1484"/>
      <c r="BV601" s="1484"/>
      <c r="BW601" s="1484"/>
      <c r="BX601" s="1484">
        <f t="shared" si="7"/>
        <v>4</v>
      </c>
      <c r="BY601" s="1484"/>
      <c r="BZ601" s="1484"/>
      <c r="CA601" s="1484"/>
      <c r="CB601" s="1484"/>
      <c r="CC601" s="1484">
        <f t="shared" si="8"/>
        <v>0</v>
      </c>
      <c r="CD601" s="1484"/>
      <c r="CE601" s="1484"/>
      <c r="CF601" s="1484"/>
      <c r="CG601" s="1484"/>
      <c r="CH601" s="1484">
        <f t="shared" si="9"/>
        <v>0</v>
      </c>
      <c r="CI601" s="1484"/>
      <c r="CJ601" s="1484"/>
      <c r="CK601" s="1484"/>
      <c r="CL601" s="1484"/>
      <c r="CM601" s="1484">
        <f t="shared" si="10"/>
        <v>0</v>
      </c>
      <c r="CN601" s="1484"/>
      <c r="CO601" s="1484"/>
      <c r="CP601" s="1484"/>
      <c r="CQ601" s="1484"/>
      <c r="CR601" s="6"/>
      <c r="CS601" s="1491">
        <f t="shared" si="11"/>
        <v>0</v>
      </c>
      <c r="CT601" s="1491"/>
      <c r="CU601" s="1491"/>
      <c r="CV601" s="1491"/>
      <c r="CW601" s="1491"/>
      <c r="CX601" s="1491">
        <f t="shared" si="12"/>
        <v>0</v>
      </c>
      <c r="CY601" s="1491"/>
      <c r="CZ601" s="1491"/>
      <c r="DA601" s="1491"/>
      <c r="DB601" s="1491"/>
      <c r="DC601" s="1491">
        <f t="shared" si="13"/>
        <v>4</v>
      </c>
      <c r="DD601" s="1491"/>
      <c r="DE601" s="1491"/>
      <c r="DF601" s="1491"/>
      <c r="DG601" s="1491"/>
      <c r="DH601" s="1491">
        <f t="shared" si="14"/>
        <v>0</v>
      </c>
      <c r="DI601" s="1491"/>
      <c r="DJ601" s="1491"/>
      <c r="DK601" s="1491"/>
      <c r="DL601" s="1491"/>
      <c r="DM601" s="1491">
        <f t="shared" si="15"/>
        <v>0</v>
      </c>
      <c r="DN601" s="1491"/>
      <c r="DO601" s="1491"/>
      <c r="DP601" s="1491"/>
      <c r="DQ601" s="1491"/>
      <c r="DR601" s="1491">
        <f t="shared" si="16"/>
        <v>0</v>
      </c>
      <c r="DS601" s="1491"/>
      <c r="DT601" s="1491"/>
      <c r="DU601" s="1491"/>
      <c r="DV601" s="1491"/>
      <c r="DX601" s="1481" t="str">
        <f t="shared" si="17"/>
        <v/>
      </c>
      <c r="DY601" s="1482"/>
      <c r="DZ601" s="1482"/>
      <c r="EA601" s="1482"/>
      <c r="EB601" s="1483"/>
      <c r="EC601" s="1481" t="str">
        <f t="shared" si="18"/>
        <v/>
      </c>
      <c r="ED601" s="1482"/>
      <c r="EE601" s="1482"/>
      <c r="EF601" s="1482"/>
      <c r="EG601" s="1483"/>
      <c r="EH601" s="1481">
        <f t="shared" si="19"/>
        <v>912</v>
      </c>
      <c r="EI601" s="1482"/>
      <c r="EJ601" s="1482"/>
      <c r="EK601" s="1482"/>
      <c r="EL601" s="1483"/>
      <c r="EM601" s="1481" t="str">
        <f t="shared" si="20"/>
        <v/>
      </c>
      <c r="EN601" s="1482"/>
      <c r="EO601" s="1482"/>
      <c r="EP601" s="1482"/>
      <c r="EQ601" s="1483"/>
      <c r="ER601" s="1481" t="str">
        <f t="shared" si="21"/>
        <v/>
      </c>
      <c r="ES601" s="1482"/>
      <c r="ET601" s="1482"/>
      <c r="EU601" s="1482"/>
      <c r="EV601" s="1483"/>
      <c r="EW601" s="1481" t="str">
        <f t="shared" si="22"/>
        <v/>
      </c>
      <c r="EX601" s="1482"/>
      <c r="EY601" s="1482"/>
      <c r="EZ601" s="1482"/>
      <c r="FA601" s="1483"/>
    </row>
    <row r="602" spans="1:157" ht="13.15" customHeight="1">
      <c r="A602" s="22"/>
      <c r="B602" t="s">
        <v>85</v>
      </c>
      <c r="G602" s="1368"/>
      <c r="H602" s="1368"/>
      <c r="I602" s="1368"/>
      <c r="J602" s="1368"/>
      <c r="K602" s="1368"/>
      <c r="L602" s="1368"/>
      <c r="M602" s="1368"/>
      <c r="N602" s="1368"/>
      <c r="O602" s="1368"/>
      <c r="P602" s="1368"/>
      <c r="Q602" s="1368"/>
      <c r="R602" s="1368"/>
      <c r="T602" s="22"/>
      <c r="U602" t="s">
        <v>85</v>
      </c>
      <c r="Z602" s="1368"/>
      <c r="AA602" s="1368"/>
      <c r="AB602" s="1368"/>
      <c r="AC602" s="1368"/>
      <c r="AD602" s="1368"/>
      <c r="AE602" s="1368"/>
      <c r="AF602" s="1368"/>
      <c r="AG602" s="1368"/>
      <c r="AH602" s="1368"/>
      <c r="AI602" s="1368"/>
      <c r="AJ602" s="1368"/>
      <c r="AK602" s="1368"/>
      <c r="AZ602" s="3"/>
      <c r="BA602" s="3"/>
      <c r="BB602" s="3"/>
      <c r="BC602" s="3"/>
      <c r="BD602" s="3"/>
      <c r="BE602" s="1481">
        <f t="shared" si="1"/>
        <v>1</v>
      </c>
      <c r="BF602" s="1483"/>
      <c r="BG602" s="1500">
        <f t="shared" si="2"/>
        <v>3</v>
      </c>
      <c r="BH602" s="1501"/>
      <c r="BI602" s="1481">
        <f t="shared" si="3"/>
        <v>0</v>
      </c>
      <c r="BJ602" s="1483"/>
      <c r="BK602" s="1500">
        <f t="shared" si="4"/>
        <v>0</v>
      </c>
      <c r="BL602" s="1501"/>
      <c r="BM602" s="3"/>
      <c r="BN602" s="1485">
        <f t="shared" si="5"/>
        <v>0</v>
      </c>
      <c r="BO602" s="1486"/>
      <c r="BP602" s="1486"/>
      <c r="BQ602" s="1486"/>
      <c r="BR602" s="1487"/>
      <c r="BS602" s="1484">
        <f t="shared" si="6"/>
        <v>0</v>
      </c>
      <c r="BT602" s="1484"/>
      <c r="BU602" s="1484"/>
      <c r="BV602" s="1484"/>
      <c r="BW602" s="1484"/>
      <c r="BX602" s="1484">
        <f t="shared" si="7"/>
        <v>3</v>
      </c>
      <c r="BY602" s="1484"/>
      <c r="BZ602" s="1484"/>
      <c r="CA602" s="1484"/>
      <c r="CB602" s="1484"/>
      <c r="CC602" s="1484">
        <f t="shared" si="8"/>
        <v>0</v>
      </c>
      <c r="CD602" s="1484"/>
      <c r="CE602" s="1484"/>
      <c r="CF602" s="1484"/>
      <c r="CG602" s="1484"/>
      <c r="CH602" s="1484">
        <f t="shared" si="9"/>
        <v>0</v>
      </c>
      <c r="CI602" s="1484"/>
      <c r="CJ602" s="1484"/>
      <c r="CK602" s="1484"/>
      <c r="CL602" s="1484"/>
      <c r="CM602" s="1484">
        <f t="shared" si="10"/>
        <v>0</v>
      </c>
      <c r="CN602" s="1484"/>
      <c r="CO602" s="1484"/>
      <c r="CP602" s="1484"/>
      <c r="CQ602" s="1484"/>
      <c r="CR602" s="6"/>
      <c r="CS602" s="1491">
        <f t="shared" si="11"/>
        <v>0</v>
      </c>
      <c r="CT602" s="1491"/>
      <c r="CU602" s="1491"/>
      <c r="CV602" s="1491"/>
      <c r="CW602" s="1491"/>
      <c r="CX602" s="1491">
        <f t="shared" si="12"/>
        <v>0</v>
      </c>
      <c r="CY602" s="1491"/>
      <c r="CZ602" s="1491"/>
      <c r="DA602" s="1491"/>
      <c r="DB602" s="1491"/>
      <c r="DC602" s="1491">
        <f t="shared" si="13"/>
        <v>0</v>
      </c>
      <c r="DD602" s="1491"/>
      <c r="DE602" s="1491"/>
      <c r="DF602" s="1491"/>
      <c r="DG602" s="1491"/>
      <c r="DH602" s="1491">
        <f t="shared" si="14"/>
        <v>0</v>
      </c>
      <c r="DI602" s="1491"/>
      <c r="DJ602" s="1491"/>
      <c r="DK602" s="1491"/>
      <c r="DL602" s="1491"/>
      <c r="DM602" s="1491">
        <f t="shared" si="15"/>
        <v>0</v>
      </c>
      <c r="DN602" s="1491"/>
      <c r="DO602" s="1491"/>
      <c r="DP602" s="1491"/>
      <c r="DQ602" s="1491"/>
      <c r="DR602" s="1491">
        <f t="shared" si="16"/>
        <v>0</v>
      </c>
      <c r="DS602" s="1491"/>
      <c r="DT602" s="1491"/>
      <c r="DU602" s="1491"/>
      <c r="DV602" s="1491"/>
      <c r="DX602" s="1481" t="str">
        <f t="shared" si="17"/>
        <v/>
      </c>
      <c r="DY602" s="1482"/>
      <c r="DZ602" s="1482"/>
      <c r="EA602" s="1482"/>
      <c r="EB602" s="1483"/>
      <c r="EC602" s="1481" t="str">
        <f t="shared" si="18"/>
        <v/>
      </c>
      <c r="ED602" s="1482"/>
      <c r="EE602" s="1482"/>
      <c r="EF602" s="1482"/>
      <c r="EG602" s="1483"/>
      <c r="EH602" s="1481">
        <f t="shared" si="19"/>
        <v>1594</v>
      </c>
      <c r="EI602" s="1482"/>
      <c r="EJ602" s="1482"/>
      <c r="EK602" s="1482"/>
      <c r="EL602" s="1483"/>
      <c r="EM602" s="1481" t="str">
        <f t="shared" si="20"/>
        <v/>
      </c>
      <c r="EN602" s="1482"/>
      <c r="EO602" s="1482"/>
      <c r="EP602" s="1482"/>
      <c r="EQ602" s="1483"/>
      <c r="ER602" s="1481" t="str">
        <f t="shared" si="21"/>
        <v/>
      </c>
      <c r="ES602" s="1482"/>
      <c r="ET602" s="1482"/>
      <c r="EU602" s="1482"/>
      <c r="EV602" s="1483"/>
      <c r="EW602" s="1481" t="str">
        <f t="shared" si="22"/>
        <v/>
      </c>
      <c r="EX602" s="1482"/>
      <c r="EY602" s="1482"/>
      <c r="EZ602" s="1482"/>
      <c r="FA602" s="1483"/>
    </row>
    <row r="603" spans="1:157" ht="13.15" customHeight="1">
      <c r="A603" s="22"/>
      <c r="B603" t="s">
        <v>588</v>
      </c>
      <c r="G603" s="1368"/>
      <c r="H603" s="1368"/>
      <c r="I603" s="1368"/>
      <c r="J603" s="1368"/>
      <c r="K603" s="1368"/>
      <c r="L603" s="1368"/>
      <c r="M603" s="1368"/>
      <c r="N603" s="1368"/>
      <c r="O603" s="1368"/>
      <c r="P603" s="1368"/>
      <c r="Q603" s="1368"/>
      <c r="R603" s="1368"/>
      <c r="T603" s="22"/>
      <c r="U603" t="s">
        <v>588</v>
      </c>
      <c r="Z603" s="1438"/>
      <c r="AA603" s="1438"/>
      <c r="AB603" s="1438"/>
      <c r="AC603" s="1438"/>
      <c r="AD603" s="1438"/>
      <c r="AE603" s="1438"/>
      <c r="AF603" s="1438"/>
      <c r="AG603" s="1438"/>
      <c r="AH603" s="1438"/>
      <c r="AI603" s="1438"/>
      <c r="AJ603" s="1438"/>
      <c r="AK603" s="1438"/>
      <c r="AZ603" s="3"/>
      <c r="BA603" s="3"/>
      <c r="BB603" s="3"/>
      <c r="BC603" s="3"/>
      <c r="BD603" s="3"/>
      <c r="BE603" s="1481">
        <f t="shared" si="1"/>
        <v>0</v>
      </c>
      <c r="BF603" s="1483"/>
      <c r="BG603" s="1500">
        <f t="shared" si="2"/>
        <v>0</v>
      </c>
      <c r="BH603" s="1501"/>
      <c r="BI603" s="1481">
        <f t="shared" si="3"/>
        <v>0</v>
      </c>
      <c r="BJ603" s="1483"/>
      <c r="BK603" s="1500">
        <f t="shared" si="4"/>
        <v>0</v>
      </c>
      <c r="BL603" s="1501"/>
      <c r="BM603" s="3"/>
      <c r="BN603" s="1485">
        <f t="shared" si="5"/>
        <v>0</v>
      </c>
      <c r="BO603" s="1486"/>
      <c r="BP603" s="1486"/>
      <c r="BQ603" s="1486"/>
      <c r="BR603" s="1487"/>
      <c r="BS603" s="1484">
        <f t="shared" si="6"/>
        <v>0</v>
      </c>
      <c r="BT603" s="1484"/>
      <c r="BU603" s="1484"/>
      <c r="BV603" s="1484"/>
      <c r="BW603" s="1484"/>
      <c r="BX603" s="1484">
        <f t="shared" si="7"/>
        <v>10</v>
      </c>
      <c r="BY603" s="1484"/>
      <c r="BZ603" s="1484"/>
      <c r="CA603" s="1484"/>
      <c r="CB603" s="1484"/>
      <c r="CC603" s="1484">
        <f t="shared" si="8"/>
        <v>0</v>
      </c>
      <c r="CD603" s="1484"/>
      <c r="CE603" s="1484"/>
      <c r="CF603" s="1484"/>
      <c r="CG603" s="1484"/>
      <c r="CH603" s="1484">
        <f t="shared" si="9"/>
        <v>0</v>
      </c>
      <c r="CI603" s="1484"/>
      <c r="CJ603" s="1484"/>
      <c r="CK603" s="1484"/>
      <c r="CL603" s="1484"/>
      <c r="CM603" s="1484">
        <f t="shared" si="10"/>
        <v>0</v>
      </c>
      <c r="CN603" s="1484"/>
      <c r="CO603" s="1484"/>
      <c r="CP603" s="1484"/>
      <c r="CQ603" s="1484"/>
      <c r="CR603" s="6"/>
      <c r="CS603" s="1491">
        <f t="shared" si="11"/>
        <v>0</v>
      </c>
      <c r="CT603" s="1491"/>
      <c r="CU603" s="1491"/>
      <c r="CV603" s="1491"/>
      <c r="CW603" s="1491"/>
      <c r="CX603" s="1491">
        <f t="shared" si="12"/>
        <v>0</v>
      </c>
      <c r="CY603" s="1491"/>
      <c r="CZ603" s="1491"/>
      <c r="DA603" s="1491"/>
      <c r="DB603" s="1491"/>
      <c r="DC603" s="1491">
        <f t="shared" si="13"/>
        <v>0</v>
      </c>
      <c r="DD603" s="1491"/>
      <c r="DE603" s="1491"/>
      <c r="DF603" s="1491"/>
      <c r="DG603" s="1491"/>
      <c r="DH603" s="1491">
        <f t="shared" si="14"/>
        <v>0</v>
      </c>
      <c r="DI603" s="1491"/>
      <c r="DJ603" s="1491"/>
      <c r="DK603" s="1491"/>
      <c r="DL603" s="1491"/>
      <c r="DM603" s="1491">
        <f t="shared" si="15"/>
        <v>0</v>
      </c>
      <c r="DN603" s="1491"/>
      <c r="DO603" s="1491"/>
      <c r="DP603" s="1491"/>
      <c r="DQ603" s="1491"/>
      <c r="DR603" s="1491">
        <f t="shared" si="16"/>
        <v>0</v>
      </c>
      <c r="DS603" s="1491"/>
      <c r="DT603" s="1491"/>
      <c r="DU603" s="1491"/>
      <c r="DV603" s="1491"/>
      <c r="DX603" s="1481" t="str">
        <f t="shared" si="17"/>
        <v/>
      </c>
      <c r="DY603" s="1482"/>
      <c r="DZ603" s="1482"/>
      <c r="EA603" s="1482"/>
      <c r="EB603" s="1483"/>
      <c r="EC603" s="1481" t="str">
        <f t="shared" si="18"/>
        <v/>
      </c>
      <c r="ED603" s="1482"/>
      <c r="EE603" s="1482"/>
      <c r="EF603" s="1482"/>
      <c r="EG603" s="1483"/>
      <c r="EH603" s="1481">
        <f t="shared" si="19"/>
        <v>1935</v>
      </c>
      <c r="EI603" s="1482"/>
      <c r="EJ603" s="1482"/>
      <c r="EK603" s="1482"/>
      <c r="EL603" s="1483"/>
      <c r="EM603" s="1481" t="str">
        <f t="shared" si="20"/>
        <v/>
      </c>
      <c r="EN603" s="1482"/>
      <c r="EO603" s="1482"/>
      <c r="EP603" s="1482"/>
      <c r="EQ603" s="1483"/>
      <c r="ER603" s="1481" t="str">
        <f t="shared" si="21"/>
        <v/>
      </c>
      <c r="ES603" s="1482"/>
      <c r="ET603" s="1482"/>
      <c r="EU603" s="1482"/>
      <c r="EV603" s="1483"/>
      <c r="EW603" s="1481" t="str">
        <f t="shared" si="22"/>
        <v/>
      </c>
      <c r="EX603" s="1482"/>
      <c r="EY603" s="1482"/>
      <c r="EZ603" s="1482"/>
      <c r="FA603" s="1483"/>
    </row>
    <row r="604" spans="1:157" ht="13.15" customHeight="1">
      <c r="A604" s="22"/>
      <c r="B604" t="s">
        <v>17</v>
      </c>
      <c r="G604" s="1368"/>
      <c r="H604" s="1368"/>
      <c r="I604" s="1368"/>
      <c r="J604" s="1368"/>
      <c r="K604" s="1368"/>
      <c r="L604" s="1368"/>
      <c r="M604" s="1368"/>
      <c r="N604" s="1368"/>
      <c r="O604" s="1368"/>
      <c r="P604" s="1368"/>
      <c r="Q604" s="1368"/>
      <c r="R604" s="1368"/>
      <c r="T604" s="22"/>
      <c r="U604" t="s">
        <v>17</v>
      </c>
      <c r="Z604" s="1438"/>
      <c r="AA604" s="1438"/>
      <c r="AB604" s="1438"/>
      <c r="AC604" s="1438"/>
      <c r="AD604" s="1438"/>
      <c r="AE604" s="1438"/>
      <c r="AF604" s="1438"/>
      <c r="AG604" s="1438"/>
      <c r="AH604" s="1438"/>
      <c r="AI604" s="1438"/>
      <c r="AJ604" s="1438"/>
      <c r="AK604" s="1438"/>
      <c r="AZ604" s="3"/>
      <c r="BA604" s="3"/>
      <c r="BB604" s="3"/>
      <c r="BC604" s="3"/>
      <c r="BD604" s="3"/>
      <c r="BE604" s="1481">
        <f t="shared" si="1"/>
        <v>0</v>
      </c>
      <c r="BF604" s="1483"/>
      <c r="BG604" s="1500">
        <f t="shared" si="2"/>
        <v>0</v>
      </c>
      <c r="BH604" s="1501"/>
      <c r="BI604" s="1481">
        <f t="shared" si="3"/>
        <v>0</v>
      </c>
      <c r="BJ604" s="1483"/>
      <c r="BK604" s="1500">
        <f t="shared" si="4"/>
        <v>0</v>
      </c>
      <c r="BL604" s="1501"/>
      <c r="BM604" s="3"/>
      <c r="BN604" s="1485">
        <f t="shared" si="5"/>
        <v>0</v>
      </c>
      <c r="BO604" s="1486"/>
      <c r="BP604" s="1486"/>
      <c r="BQ604" s="1486"/>
      <c r="BR604" s="1487"/>
      <c r="BS604" s="1484">
        <f t="shared" si="6"/>
        <v>0</v>
      </c>
      <c r="BT604" s="1484"/>
      <c r="BU604" s="1484"/>
      <c r="BV604" s="1484"/>
      <c r="BW604" s="1484"/>
      <c r="BX604" s="1484">
        <f t="shared" si="7"/>
        <v>11</v>
      </c>
      <c r="BY604" s="1484"/>
      <c r="BZ604" s="1484"/>
      <c r="CA604" s="1484"/>
      <c r="CB604" s="1484"/>
      <c r="CC604" s="1484">
        <f t="shared" si="8"/>
        <v>0</v>
      </c>
      <c r="CD604" s="1484"/>
      <c r="CE604" s="1484"/>
      <c r="CF604" s="1484"/>
      <c r="CG604" s="1484"/>
      <c r="CH604" s="1484">
        <f t="shared" si="9"/>
        <v>0</v>
      </c>
      <c r="CI604" s="1484"/>
      <c r="CJ604" s="1484"/>
      <c r="CK604" s="1484"/>
      <c r="CL604" s="1484"/>
      <c r="CM604" s="1484">
        <f t="shared" si="10"/>
        <v>0</v>
      </c>
      <c r="CN604" s="1484"/>
      <c r="CO604" s="1484"/>
      <c r="CP604" s="1484"/>
      <c r="CQ604" s="1484"/>
      <c r="CR604" s="6"/>
      <c r="CS604" s="1491">
        <f t="shared" si="11"/>
        <v>0</v>
      </c>
      <c r="CT604" s="1491"/>
      <c r="CU604" s="1491"/>
      <c r="CV604" s="1491"/>
      <c r="CW604" s="1491"/>
      <c r="CX604" s="1491">
        <f t="shared" si="12"/>
        <v>0</v>
      </c>
      <c r="CY604" s="1491"/>
      <c r="CZ604" s="1491"/>
      <c r="DA604" s="1491"/>
      <c r="DB604" s="1491"/>
      <c r="DC604" s="1491">
        <f t="shared" si="13"/>
        <v>0</v>
      </c>
      <c r="DD604" s="1491"/>
      <c r="DE604" s="1491"/>
      <c r="DF604" s="1491"/>
      <c r="DG604" s="1491"/>
      <c r="DH604" s="1491">
        <f t="shared" si="14"/>
        <v>0</v>
      </c>
      <c r="DI604" s="1491"/>
      <c r="DJ604" s="1491"/>
      <c r="DK604" s="1491"/>
      <c r="DL604" s="1491"/>
      <c r="DM604" s="1491">
        <f t="shared" si="15"/>
        <v>0</v>
      </c>
      <c r="DN604" s="1491"/>
      <c r="DO604" s="1491"/>
      <c r="DP604" s="1491"/>
      <c r="DQ604" s="1491"/>
      <c r="DR604" s="1491">
        <f t="shared" si="16"/>
        <v>0</v>
      </c>
      <c r="DS604" s="1491"/>
      <c r="DT604" s="1491"/>
      <c r="DU604" s="1491"/>
      <c r="DV604" s="1491"/>
      <c r="DX604" s="1481" t="str">
        <f t="shared" si="17"/>
        <v/>
      </c>
      <c r="DY604" s="1482"/>
      <c r="DZ604" s="1482"/>
      <c r="EA604" s="1482"/>
      <c r="EB604" s="1483"/>
      <c r="EC604" s="1481" t="str">
        <f t="shared" si="18"/>
        <v/>
      </c>
      <c r="ED604" s="1482"/>
      <c r="EE604" s="1482"/>
      <c r="EF604" s="1482"/>
      <c r="EG604" s="1483"/>
      <c r="EH604" s="1481">
        <f t="shared" si="19"/>
        <v>2276</v>
      </c>
      <c r="EI604" s="1482"/>
      <c r="EJ604" s="1482"/>
      <c r="EK604" s="1482"/>
      <c r="EL604" s="1483"/>
      <c r="EM604" s="1481" t="str">
        <f t="shared" si="20"/>
        <v/>
      </c>
      <c r="EN604" s="1482"/>
      <c r="EO604" s="1482"/>
      <c r="EP604" s="1482"/>
      <c r="EQ604" s="1483"/>
      <c r="ER604" s="1481" t="str">
        <f t="shared" si="21"/>
        <v/>
      </c>
      <c r="ES604" s="1482"/>
      <c r="ET604" s="1482"/>
      <c r="EU604" s="1482"/>
      <c r="EV604" s="1483"/>
      <c r="EW604" s="1481" t="str">
        <f t="shared" si="22"/>
        <v/>
      </c>
      <c r="EX604" s="1482"/>
      <c r="EY604" s="1482"/>
      <c r="EZ604" s="1482"/>
      <c r="FA604" s="1483"/>
    </row>
    <row r="605" spans="1:157" s="4" customFormat="1" ht="13.15" customHeight="1">
      <c r="A605" s="22"/>
      <c r="B605" t="s">
        <v>317</v>
      </c>
      <c r="C605"/>
      <c r="D605"/>
      <c r="E605"/>
      <c r="F605"/>
      <c r="G605" s="1388"/>
      <c r="H605" s="1388"/>
      <c r="I605" s="1388"/>
      <c r="J605" s="1388"/>
      <c r="K605" s="1388"/>
      <c r="L605" s="1388"/>
      <c r="M605"/>
      <c r="N605"/>
      <c r="O605" s="33" t="s">
        <v>207</v>
      </c>
      <c r="P605" s="1451"/>
      <c r="Q605" s="1451"/>
      <c r="R605" s="1451"/>
      <c r="S605"/>
      <c r="T605" s="22"/>
      <c r="U605" t="s">
        <v>317</v>
      </c>
      <c r="V605"/>
      <c r="W605"/>
      <c r="X605"/>
      <c r="Y605"/>
      <c r="Z605" s="1388"/>
      <c r="AA605" s="1388"/>
      <c r="AB605" s="1388"/>
      <c r="AC605" s="1388"/>
      <c r="AD605" s="1388"/>
      <c r="AE605" s="1388"/>
      <c r="AF605"/>
      <c r="AG605"/>
      <c r="AH605" s="33" t="s">
        <v>207</v>
      </c>
      <c r="AI605" s="1451"/>
      <c r="AJ605" s="1451"/>
      <c r="AK605" s="1451"/>
      <c r="AL605"/>
      <c r="AM605"/>
      <c r="AN605"/>
      <c r="AO605"/>
      <c r="AP605"/>
      <c r="AQ605"/>
      <c r="AR605"/>
      <c r="AS605"/>
      <c r="AT605"/>
      <c r="AU605"/>
      <c r="AV605"/>
      <c r="AW605"/>
      <c r="AX605"/>
      <c r="AY605"/>
      <c r="AZ605" s="3"/>
      <c r="BA605" s="3"/>
      <c r="BB605" s="3"/>
      <c r="BC605" s="3"/>
      <c r="BD605" s="3"/>
      <c r="BE605" s="1481">
        <f t="shared" si="1"/>
        <v>0</v>
      </c>
      <c r="BF605" s="1483"/>
      <c r="BG605" s="1500">
        <f t="shared" si="2"/>
        <v>0</v>
      </c>
      <c r="BH605" s="1501"/>
      <c r="BI605" s="1481">
        <f t="shared" si="3"/>
        <v>1</v>
      </c>
      <c r="BJ605" s="1483"/>
      <c r="BK605" s="1500">
        <f t="shared" si="4"/>
        <v>4</v>
      </c>
      <c r="BL605" s="1501"/>
      <c r="BM605" s="3"/>
      <c r="BN605" s="1485">
        <f t="shared" si="5"/>
        <v>0</v>
      </c>
      <c r="BO605" s="1486"/>
      <c r="BP605" s="1486"/>
      <c r="BQ605" s="1486"/>
      <c r="BR605" s="1487"/>
      <c r="BS605" s="1484">
        <f t="shared" si="6"/>
        <v>0</v>
      </c>
      <c r="BT605" s="1484"/>
      <c r="BU605" s="1484"/>
      <c r="BV605" s="1484"/>
      <c r="BW605" s="1484"/>
      <c r="BX605" s="1484">
        <f t="shared" si="7"/>
        <v>0</v>
      </c>
      <c r="BY605" s="1484"/>
      <c r="BZ605" s="1484"/>
      <c r="CA605" s="1484"/>
      <c r="CB605" s="1484"/>
      <c r="CC605" s="1484">
        <f t="shared" si="8"/>
        <v>4</v>
      </c>
      <c r="CD605" s="1484"/>
      <c r="CE605" s="1484"/>
      <c r="CF605" s="1484"/>
      <c r="CG605" s="1484"/>
      <c r="CH605" s="1484">
        <f t="shared" si="9"/>
        <v>0</v>
      </c>
      <c r="CI605" s="1484"/>
      <c r="CJ605" s="1484"/>
      <c r="CK605" s="1484"/>
      <c r="CL605" s="1484"/>
      <c r="CM605" s="1484">
        <f t="shared" si="10"/>
        <v>0</v>
      </c>
      <c r="CN605" s="1484"/>
      <c r="CO605" s="1484"/>
      <c r="CP605" s="1484"/>
      <c r="CQ605" s="1484"/>
      <c r="CR605" s="6"/>
      <c r="CS605" s="1491">
        <f t="shared" si="11"/>
        <v>0</v>
      </c>
      <c r="CT605" s="1491"/>
      <c r="CU605" s="1491"/>
      <c r="CV605" s="1491"/>
      <c r="CW605" s="1491"/>
      <c r="CX605" s="1491">
        <f t="shared" si="12"/>
        <v>0</v>
      </c>
      <c r="CY605" s="1491"/>
      <c r="CZ605" s="1491"/>
      <c r="DA605" s="1491"/>
      <c r="DB605" s="1491"/>
      <c r="DC605" s="1491">
        <f t="shared" si="13"/>
        <v>0</v>
      </c>
      <c r="DD605" s="1491"/>
      <c r="DE605" s="1491"/>
      <c r="DF605" s="1491"/>
      <c r="DG605" s="1491"/>
      <c r="DH605" s="1491">
        <f t="shared" si="14"/>
        <v>4</v>
      </c>
      <c r="DI605" s="1491"/>
      <c r="DJ605" s="1491"/>
      <c r="DK605" s="1491"/>
      <c r="DL605" s="1491"/>
      <c r="DM605" s="1491">
        <f t="shared" si="15"/>
        <v>0</v>
      </c>
      <c r="DN605" s="1491"/>
      <c r="DO605" s="1491"/>
      <c r="DP605" s="1491"/>
      <c r="DQ605" s="1491"/>
      <c r="DR605" s="1491">
        <f t="shared" si="16"/>
        <v>0</v>
      </c>
      <c r="DS605" s="1491"/>
      <c r="DT605" s="1491"/>
      <c r="DU605" s="1491"/>
      <c r="DV605" s="1491"/>
      <c r="DX605" s="1481" t="str">
        <f t="shared" si="17"/>
        <v/>
      </c>
      <c r="DY605" s="1482"/>
      <c r="DZ605" s="1482"/>
      <c r="EA605" s="1482"/>
      <c r="EB605" s="1483"/>
      <c r="EC605" s="1481" t="str">
        <f t="shared" si="18"/>
        <v/>
      </c>
      <c r="ED605" s="1482"/>
      <c r="EE605" s="1482"/>
      <c r="EF605" s="1482"/>
      <c r="EG605" s="1483"/>
      <c r="EH605" s="1481" t="str">
        <f t="shared" si="19"/>
        <v/>
      </c>
      <c r="EI605" s="1482"/>
      <c r="EJ605" s="1482"/>
      <c r="EK605" s="1482"/>
      <c r="EL605" s="1483"/>
      <c r="EM605" s="1481">
        <f t="shared" si="20"/>
        <v>1037</v>
      </c>
      <c r="EN605" s="1482"/>
      <c r="EO605" s="1482"/>
      <c r="EP605" s="1482"/>
      <c r="EQ605" s="1483"/>
      <c r="ER605" s="1481" t="str">
        <f t="shared" si="21"/>
        <v/>
      </c>
      <c r="ES605" s="1482"/>
      <c r="ET605" s="1482"/>
      <c r="EU605" s="1482"/>
      <c r="EV605" s="1483"/>
      <c r="EW605" s="1481" t="str">
        <f t="shared" si="22"/>
        <v/>
      </c>
      <c r="EX605" s="1482"/>
      <c r="EY605" s="1482"/>
      <c r="EZ605" s="1482"/>
      <c r="FA605" s="1483"/>
    </row>
    <row r="606" spans="1:157" s="4" customFormat="1" ht="13.15" customHeight="1">
      <c r="A606" s="22"/>
      <c r="B606" t="s">
        <v>18</v>
      </c>
      <c r="C606"/>
      <c r="D606"/>
      <c r="E606"/>
      <c r="F606"/>
      <c r="G606"/>
      <c r="H606" s="1368"/>
      <c r="I606" s="1368"/>
      <c r="J606" s="1368"/>
      <c r="K606" s="1368"/>
      <c r="L606" s="1368"/>
      <c r="M606" s="1368"/>
      <c r="N606" s="1368"/>
      <c r="O606" s="1368"/>
      <c r="P606" s="1368"/>
      <c r="Q606" s="1368"/>
      <c r="R606" s="1368"/>
      <c r="S606"/>
      <c r="T606" s="22"/>
      <c r="U606" t="s">
        <v>18</v>
      </c>
      <c r="V606"/>
      <c r="W606"/>
      <c r="X606"/>
      <c r="Y606"/>
      <c r="Z606"/>
      <c r="AA606" s="1368"/>
      <c r="AB606" s="1368"/>
      <c r="AC606" s="1368"/>
      <c r="AD606" s="1368"/>
      <c r="AE606" s="1368"/>
      <c r="AF606" s="1368"/>
      <c r="AG606" s="1368"/>
      <c r="AH606" s="1368"/>
      <c r="AI606" s="1368"/>
      <c r="AJ606" s="1368"/>
      <c r="AK606" s="1368"/>
      <c r="AL606"/>
      <c r="AM606"/>
      <c r="AN606"/>
      <c r="AO606"/>
      <c r="AP606"/>
      <c r="AQ606"/>
      <c r="AR606"/>
      <c r="AS606"/>
      <c r="AT606"/>
      <c r="AU606"/>
      <c r="AV606"/>
      <c r="AW606"/>
      <c r="AX606"/>
      <c r="AY606"/>
      <c r="AZ606" s="3"/>
      <c r="BA606" s="3"/>
      <c r="BB606" s="3"/>
      <c r="BC606" s="3"/>
      <c r="BD606" s="3"/>
      <c r="BE606" s="1481">
        <f t="shared" si="1"/>
        <v>1</v>
      </c>
      <c r="BF606" s="1483"/>
      <c r="BG606" s="1500">
        <f t="shared" si="2"/>
        <v>4</v>
      </c>
      <c r="BH606" s="1501"/>
      <c r="BI606" s="1481">
        <f t="shared" si="3"/>
        <v>0</v>
      </c>
      <c r="BJ606" s="1483"/>
      <c r="BK606" s="1500">
        <f t="shared" si="4"/>
        <v>0</v>
      </c>
      <c r="BL606" s="1501"/>
      <c r="BM606" s="3"/>
      <c r="BN606" s="1485">
        <f t="shared" si="5"/>
        <v>0</v>
      </c>
      <c r="BO606" s="1486"/>
      <c r="BP606" s="1486"/>
      <c r="BQ606" s="1486"/>
      <c r="BR606" s="1487"/>
      <c r="BS606" s="1484">
        <f t="shared" si="6"/>
        <v>0</v>
      </c>
      <c r="BT606" s="1484"/>
      <c r="BU606" s="1484"/>
      <c r="BV606" s="1484"/>
      <c r="BW606" s="1484"/>
      <c r="BX606" s="1484">
        <f t="shared" si="7"/>
        <v>0</v>
      </c>
      <c r="BY606" s="1484"/>
      <c r="BZ606" s="1484"/>
      <c r="CA606" s="1484"/>
      <c r="CB606" s="1484"/>
      <c r="CC606" s="1484">
        <f t="shared" si="8"/>
        <v>4</v>
      </c>
      <c r="CD606" s="1484"/>
      <c r="CE606" s="1484"/>
      <c r="CF606" s="1484"/>
      <c r="CG606" s="1484"/>
      <c r="CH606" s="1484">
        <f t="shared" si="9"/>
        <v>0</v>
      </c>
      <c r="CI606" s="1484"/>
      <c r="CJ606" s="1484"/>
      <c r="CK606" s="1484"/>
      <c r="CL606" s="1484"/>
      <c r="CM606" s="1484">
        <f t="shared" si="10"/>
        <v>0</v>
      </c>
      <c r="CN606" s="1484"/>
      <c r="CO606" s="1484"/>
      <c r="CP606" s="1484"/>
      <c r="CQ606" s="1484"/>
      <c r="CR606" s="6"/>
      <c r="CS606" s="1491">
        <f t="shared" si="11"/>
        <v>0</v>
      </c>
      <c r="CT606" s="1491"/>
      <c r="CU606" s="1491"/>
      <c r="CV606" s="1491"/>
      <c r="CW606" s="1491"/>
      <c r="CX606" s="1491">
        <f t="shared" si="12"/>
        <v>0</v>
      </c>
      <c r="CY606" s="1491"/>
      <c r="CZ606" s="1491"/>
      <c r="DA606" s="1491"/>
      <c r="DB606" s="1491"/>
      <c r="DC606" s="1491">
        <f t="shared" si="13"/>
        <v>0</v>
      </c>
      <c r="DD606" s="1491"/>
      <c r="DE606" s="1491"/>
      <c r="DF606" s="1491"/>
      <c r="DG606" s="1491"/>
      <c r="DH606" s="1491">
        <f t="shared" si="14"/>
        <v>0</v>
      </c>
      <c r="DI606" s="1491"/>
      <c r="DJ606" s="1491"/>
      <c r="DK606" s="1491"/>
      <c r="DL606" s="1491"/>
      <c r="DM606" s="1491">
        <f t="shared" si="15"/>
        <v>0</v>
      </c>
      <c r="DN606" s="1491"/>
      <c r="DO606" s="1491"/>
      <c r="DP606" s="1491"/>
      <c r="DQ606" s="1491"/>
      <c r="DR606" s="1491">
        <f t="shared" si="16"/>
        <v>0</v>
      </c>
      <c r="DS606" s="1491"/>
      <c r="DT606" s="1491"/>
      <c r="DU606" s="1491"/>
      <c r="DV606" s="1491"/>
      <c r="DX606" s="1481" t="str">
        <f t="shared" si="17"/>
        <v/>
      </c>
      <c r="DY606" s="1482"/>
      <c r="DZ606" s="1482"/>
      <c r="EA606" s="1482"/>
      <c r="EB606" s="1483"/>
      <c r="EC606" s="1481" t="str">
        <f t="shared" si="18"/>
        <v/>
      </c>
      <c r="ED606" s="1482"/>
      <c r="EE606" s="1482"/>
      <c r="EF606" s="1482"/>
      <c r="EG606" s="1483"/>
      <c r="EH606" s="1481" t="str">
        <f t="shared" si="19"/>
        <v/>
      </c>
      <c r="EI606" s="1482"/>
      <c r="EJ606" s="1482"/>
      <c r="EK606" s="1482"/>
      <c r="EL606" s="1483"/>
      <c r="EM606" s="1481">
        <f t="shared" si="20"/>
        <v>1825</v>
      </c>
      <c r="EN606" s="1482"/>
      <c r="EO606" s="1482"/>
      <c r="EP606" s="1482"/>
      <c r="EQ606" s="1483"/>
      <c r="ER606" s="1481" t="str">
        <f t="shared" si="21"/>
        <v/>
      </c>
      <c r="ES606" s="1482"/>
      <c r="ET606" s="1482"/>
      <c r="EU606" s="1482"/>
      <c r="EV606" s="1483"/>
      <c r="EW606" s="1481" t="str">
        <f t="shared" si="22"/>
        <v/>
      </c>
      <c r="EX606" s="1482"/>
      <c r="EY606" s="1482"/>
      <c r="EZ606" s="1482"/>
      <c r="FA606" s="1483"/>
    </row>
    <row r="607" spans="1:157" s="4" customFormat="1" ht="13.15" customHeight="1">
      <c r="A607" s="22"/>
      <c r="B607" t="s">
        <v>20</v>
      </c>
      <c r="C607"/>
      <c r="D607"/>
      <c r="E607"/>
      <c r="F607"/>
      <c r="G607"/>
      <c r="H607"/>
      <c r="I607"/>
      <c r="J607"/>
      <c r="K607"/>
      <c r="L607"/>
      <c r="M607"/>
      <c r="N607" s="1367" t="s">
        <v>677</v>
      </c>
      <c r="O607" s="1367"/>
      <c r="P607"/>
      <c r="Q607"/>
      <c r="R607"/>
      <c r="S607"/>
      <c r="T607" s="22"/>
      <c r="U607" t="s">
        <v>20</v>
      </c>
      <c r="V607"/>
      <c r="W607"/>
      <c r="X607"/>
      <c r="Y607"/>
      <c r="Z607"/>
      <c r="AA607"/>
      <c r="AB607"/>
      <c r="AC607"/>
      <c r="AD607"/>
      <c r="AE607"/>
      <c r="AF607"/>
      <c r="AG607" s="1367" t="s">
        <v>677</v>
      </c>
      <c r="AH607" s="1367"/>
      <c r="AI607"/>
      <c r="AJ607"/>
      <c r="AK607"/>
      <c r="AL607"/>
      <c r="AM607"/>
      <c r="AN607"/>
      <c r="AO607"/>
      <c r="AP607"/>
      <c r="AQ607"/>
      <c r="AR607"/>
      <c r="AS607"/>
      <c r="AT607"/>
      <c r="AU607"/>
      <c r="AV607"/>
      <c r="AW607"/>
      <c r="AX607"/>
      <c r="AY607"/>
      <c r="AZ607" s="3"/>
      <c r="BA607" s="3"/>
      <c r="BB607" s="3"/>
      <c r="BC607" s="3"/>
      <c r="BD607" s="3"/>
      <c r="BE607" s="1481">
        <f t="shared" si="1"/>
        <v>0</v>
      </c>
      <c r="BF607" s="1483"/>
      <c r="BG607" s="1500">
        <f t="shared" si="2"/>
        <v>0</v>
      </c>
      <c r="BH607" s="1501"/>
      <c r="BI607" s="1481">
        <f t="shared" si="3"/>
        <v>0</v>
      </c>
      <c r="BJ607" s="1483"/>
      <c r="BK607" s="1500">
        <f t="shared" si="4"/>
        <v>0</v>
      </c>
      <c r="BL607" s="1501"/>
      <c r="BM607" s="3"/>
      <c r="BN607" s="1485">
        <f t="shared" si="5"/>
        <v>0</v>
      </c>
      <c r="BO607" s="1486"/>
      <c r="BP607" s="1486"/>
      <c r="BQ607" s="1486"/>
      <c r="BR607" s="1487"/>
      <c r="BS607" s="1484">
        <f t="shared" si="6"/>
        <v>0</v>
      </c>
      <c r="BT607" s="1484"/>
      <c r="BU607" s="1484"/>
      <c r="BV607" s="1484"/>
      <c r="BW607" s="1484"/>
      <c r="BX607" s="1484">
        <f t="shared" si="7"/>
        <v>0</v>
      </c>
      <c r="BY607" s="1484"/>
      <c r="BZ607" s="1484"/>
      <c r="CA607" s="1484"/>
      <c r="CB607" s="1484"/>
      <c r="CC607" s="1484">
        <f t="shared" si="8"/>
        <v>10</v>
      </c>
      <c r="CD607" s="1484"/>
      <c r="CE607" s="1484"/>
      <c r="CF607" s="1484"/>
      <c r="CG607" s="1484"/>
      <c r="CH607" s="1484">
        <f t="shared" si="9"/>
        <v>0</v>
      </c>
      <c r="CI607" s="1484"/>
      <c r="CJ607" s="1484"/>
      <c r="CK607" s="1484"/>
      <c r="CL607" s="1484"/>
      <c r="CM607" s="1484">
        <f t="shared" si="10"/>
        <v>0</v>
      </c>
      <c r="CN607" s="1484"/>
      <c r="CO607" s="1484"/>
      <c r="CP607" s="1484"/>
      <c r="CQ607" s="1484"/>
      <c r="CR607" s="6"/>
      <c r="CS607" s="1491">
        <f t="shared" si="11"/>
        <v>0</v>
      </c>
      <c r="CT607" s="1491"/>
      <c r="CU607" s="1491"/>
      <c r="CV607" s="1491"/>
      <c r="CW607" s="1491"/>
      <c r="CX607" s="1491">
        <f t="shared" si="12"/>
        <v>0</v>
      </c>
      <c r="CY607" s="1491"/>
      <c r="CZ607" s="1491"/>
      <c r="DA607" s="1491"/>
      <c r="DB607" s="1491"/>
      <c r="DC607" s="1491">
        <f t="shared" si="13"/>
        <v>0</v>
      </c>
      <c r="DD607" s="1491"/>
      <c r="DE607" s="1491"/>
      <c r="DF607" s="1491"/>
      <c r="DG607" s="1491"/>
      <c r="DH607" s="1491">
        <f t="shared" si="14"/>
        <v>0</v>
      </c>
      <c r="DI607" s="1491"/>
      <c r="DJ607" s="1491"/>
      <c r="DK607" s="1491"/>
      <c r="DL607" s="1491"/>
      <c r="DM607" s="1491">
        <f t="shared" si="15"/>
        <v>0</v>
      </c>
      <c r="DN607" s="1491"/>
      <c r="DO607" s="1491"/>
      <c r="DP607" s="1491"/>
      <c r="DQ607" s="1491"/>
      <c r="DR607" s="1491">
        <f t="shared" si="16"/>
        <v>0</v>
      </c>
      <c r="DS607" s="1491"/>
      <c r="DT607" s="1491"/>
      <c r="DU607" s="1491"/>
      <c r="DV607" s="1491"/>
      <c r="DX607" s="1481" t="str">
        <f t="shared" si="17"/>
        <v/>
      </c>
      <c r="DY607" s="1482"/>
      <c r="DZ607" s="1482"/>
      <c r="EA607" s="1482"/>
      <c r="EB607" s="1483"/>
      <c r="EC607" s="1481" t="str">
        <f t="shared" si="18"/>
        <v/>
      </c>
      <c r="ED607" s="1482"/>
      <c r="EE607" s="1482"/>
      <c r="EF607" s="1482"/>
      <c r="EG607" s="1483"/>
      <c r="EH607" s="1481" t="str">
        <f t="shared" si="19"/>
        <v/>
      </c>
      <c r="EI607" s="1482"/>
      <c r="EJ607" s="1482"/>
      <c r="EK607" s="1482"/>
      <c r="EL607" s="1483"/>
      <c r="EM607" s="1481">
        <f t="shared" si="20"/>
        <v>2219</v>
      </c>
      <c r="EN607" s="1482"/>
      <c r="EO607" s="1482"/>
      <c r="EP607" s="1482"/>
      <c r="EQ607" s="1483"/>
      <c r="ER607" s="1481" t="str">
        <f t="shared" si="21"/>
        <v/>
      </c>
      <c r="ES607" s="1482"/>
      <c r="ET607" s="1482"/>
      <c r="EU607" s="1482"/>
      <c r="EV607" s="1483"/>
      <c r="EW607" s="1481" t="str">
        <f t="shared" si="22"/>
        <v/>
      </c>
      <c r="EX607" s="1482"/>
      <c r="EY607" s="1482"/>
      <c r="EZ607" s="1482"/>
      <c r="FA607" s="1483"/>
    </row>
    <row r="608" spans="1:157" ht="13.15" customHeight="1">
      <c r="A608" s="22"/>
      <c r="T608" s="22"/>
      <c r="AZ608" s="3"/>
      <c r="BA608" s="3"/>
      <c r="BB608" s="3"/>
      <c r="BC608" s="3"/>
      <c r="BD608" s="3"/>
      <c r="BE608" s="1481">
        <f t="shared" si="1"/>
        <v>0</v>
      </c>
      <c r="BF608" s="1483"/>
      <c r="BG608" s="1500">
        <f t="shared" si="2"/>
        <v>0</v>
      </c>
      <c r="BH608" s="1501"/>
      <c r="BI608" s="1481">
        <f t="shared" si="3"/>
        <v>0</v>
      </c>
      <c r="BJ608" s="1483"/>
      <c r="BK608" s="1500">
        <f t="shared" si="4"/>
        <v>0</v>
      </c>
      <c r="BL608" s="1501"/>
      <c r="BM608" s="3"/>
      <c r="BN608" s="1485">
        <f t="shared" si="5"/>
        <v>0</v>
      </c>
      <c r="BO608" s="1486"/>
      <c r="BP608" s="1486"/>
      <c r="BQ608" s="1486"/>
      <c r="BR608" s="1487"/>
      <c r="BS608" s="1484">
        <f t="shared" si="6"/>
        <v>0</v>
      </c>
      <c r="BT608" s="1484"/>
      <c r="BU608" s="1484"/>
      <c r="BV608" s="1484"/>
      <c r="BW608" s="1484"/>
      <c r="BX608" s="1484">
        <f t="shared" si="7"/>
        <v>0</v>
      </c>
      <c r="BY608" s="1484"/>
      <c r="BZ608" s="1484"/>
      <c r="CA608" s="1484"/>
      <c r="CB608" s="1484"/>
      <c r="CC608" s="1484">
        <f t="shared" si="8"/>
        <v>16</v>
      </c>
      <c r="CD608" s="1484"/>
      <c r="CE608" s="1484"/>
      <c r="CF608" s="1484"/>
      <c r="CG608" s="1484"/>
      <c r="CH608" s="1484">
        <f t="shared" si="9"/>
        <v>0</v>
      </c>
      <c r="CI608" s="1484"/>
      <c r="CJ608" s="1484"/>
      <c r="CK608" s="1484"/>
      <c r="CL608" s="1484"/>
      <c r="CM608" s="1484">
        <f t="shared" si="10"/>
        <v>0</v>
      </c>
      <c r="CN608" s="1484"/>
      <c r="CO608" s="1484"/>
      <c r="CP608" s="1484"/>
      <c r="CQ608" s="1484"/>
      <c r="CR608" s="6"/>
      <c r="CS608" s="1491">
        <f t="shared" si="11"/>
        <v>0</v>
      </c>
      <c r="CT608" s="1491"/>
      <c r="CU608" s="1491"/>
      <c r="CV608" s="1491"/>
      <c r="CW608" s="1491"/>
      <c r="CX608" s="1491">
        <f t="shared" si="12"/>
        <v>0</v>
      </c>
      <c r="CY608" s="1491"/>
      <c r="CZ608" s="1491"/>
      <c r="DA608" s="1491"/>
      <c r="DB608" s="1491"/>
      <c r="DC608" s="1491">
        <f t="shared" si="13"/>
        <v>0</v>
      </c>
      <c r="DD608" s="1491"/>
      <c r="DE608" s="1491"/>
      <c r="DF608" s="1491"/>
      <c r="DG608" s="1491"/>
      <c r="DH608" s="1491">
        <f t="shared" si="14"/>
        <v>0</v>
      </c>
      <c r="DI608" s="1491"/>
      <c r="DJ608" s="1491"/>
      <c r="DK608" s="1491"/>
      <c r="DL608" s="1491"/>
      <c r="DM608" s="1491">
        <f t="shared" si="15"/>
        <v>0</v>
      </c>
      <c r="DN608" s="1491"/>
      <c r="DO608" s="1491"/>
      <c r="DP608" s="1491"/>
      <c r="DQ608" s="1491"/>
      <c r="DR608" s="1491">
        <f t="shared" si="16"/>
        <v>0</v>
      </c>
      <c r="DS608" s="1491"/>
      <c r="DT608" s="1491"/>
      <c r="DU608" s="1491"/>
      <c r="DV608" s="1491"/>
      <c r="DX608" s="1481" t="str">
        <f t="shared" si="17"/>
        <v/>
      </c>
      <c r="DY608" s="1482"/>
      <c r="DZ608" s="1482"/>
      <c r="EA608" s="1482"/>
      <c r="EB608" s="1483"/>
      <c r="EC608" s="1481" t="str">
        <f t="shared" si="18"/>
        <v/>
      </c>
      <c r="ED608" s="1482"/>
      <c r="EE608" s="1482"/>
      <c r="EF608" s="1482"/>
      <c r="EG608" s="1483"/>
      <c r="EH608" s="1481" t="str">
        <f t="shared" si="19"/>
        <v/>
      </c>
      <c r="EI608" s="1482"/>
      <c r="EJ608" s="1482"/>
      <c r="EK608" s="1482"/>
      <c r="EL608" s="1483"/>
      <c r="EM608" s="1481">
        <f t="shared" si="20"/>
        <v>2613</v>
      </c>
      <c r="EN608" s="1482"/>
      <c r="EO608" s="1482"/>
      <c r="EP608" s="1482"/>
      <c r="EQ608" s="1483"/>
      <c r="ER608" s="1481" t="str">
        <f t="shared" si="21"/>
        <v/>
      </c>
      <c r="ES608" s="1482"/>
      <c r="ET608" s="1482"/>
      <c r="EU608" s="1482"/>
      <c r="EV608" s="1483"/>
      <c r="EW608" s="1481" t="str">
        <f t="shared" si="22"/>
        <v/>
      </c>
      <c r="EX608" s="1482"/>
      <c r="EY608" s="1482"/>
      <c r="EZ608" s="1482"/>
      <c r="FA608" s="1483"/>
    </row>
    <row r="609" spans="1:157" ht="13.15" customHeight="1">
      <c r="A609" s="55" t="s">
        <v>363</v>
      </c>
      <c r="B609" t="s">
        <v>471</v>
      </c>
      <c r="G609" s="1464">
        <f>C564</f>
        <v>0</v>
      </c>
      <c r="H609" s="1464"/>
      <c r="I609" s="1464"/>
      <c r="J609" s="1464"/>
      <c r="K609" s="1464"/>
      <c r="L609" s="1464"/>
      <c r="M609" s="1464"/>
      <c r="N609" s="1464"/>
      <c r="O609" s="1464"/>
      <c r="P609" s="1464"/>
      <c r="Q609" s="1464"/>
      <c r="R609" s="1464"/>
      <c r="T609" s="55" t="s">
        <v>364</v>
      </c>
      <c r="U609" t="s">
        <v>471</v>
      </c>
      <c r="Z609" s="1464">
        <f>C565</f>
        <v>0</v>
      </c>
      <c r="AA609" s="1464"/>
      <c r="AB609" s="1464"/>
      <c r="AC609" s="1464"/>
      <c r="AD609" s="1464"/>
      <c r="AE609" s="1464"/>
      <c r="AF609" s="1464"/>
      <c r="AG609" s="1464"/>
      <c r="AH609" s="1464"/>
      <c r="AI609" s="1464"/>
      <c r="AJ609" s="1464"/>
      <c r="AK609" s="1464"/>
      <c r="AZ609" s="3"/>
      <c r="BA609" s="3"/>
      <c r="BB609" s="3"/>
      <c r="BC609" s="3"/>
      <c r="BD609" s="3"/>
      <c r="BE609" s="1481">
        <f t="shared" si="1"/>
        <v>0</v>
      </c>
      <c r="BF609" s="1483"/>
      <c r="BG609" s="1500">
        <f t="shared" si="2"/>
        <v>0</v>
      </c>
      <c r="BH609" s="1501"/>
      <c r="BI609" s="1481">
        <f t="shared" si="3"/>
        <v>0</v>
      </c>
      <c r="BJ609" s="1483"/>
      <c r="BK609" s="1500">
        <f t="shared" si="4"/>
        <v>0</v>
      </c>
      <c r="BL609" s="1501"/>
      <c r="BM609" s="3"/>
      <c r="BN609" s="1485">
        <f t="shared" si="5"/>
        <v>0</v>
      </c>
      <c r="BO609" s="1486"/>
      <c r="BP609" s="1486"/>
      <c r="BQ609" s="1486"/>
      <c r="BR609" s="1487"/>
      <c r="BS609" s="1484">
        <f t="shared" si="6"/>
        <v>0</v>
      </c>
      <c r="BT609" s="1484"/>
      <c r="BU609" s="1484"/>
      <c r="BV609" s="1484"/>
      <c r="BW609" s="1484"/>
      <c r="BX609" s="1484">
        <f t="shared" si="7"/>
        <v>0</v>
      </c>
      <c r="BY609" s="1484"/>
      <c r="BZ609" s="1484"/>
      <c r="CA609" s="1484"/>
      <c r="CB609" s="1484"/>
      <c r="CC609" s="1484">
        <f t="shared" si="8"/>
        <v>0</v>
      </c>
      <c r="CD609" s="1484"/>
      <c r="CE609" s="1484"/>
      <c r="CF609" s="1484"/>
      <c r="CG609" s="1484"/>
      <c r="CH609" s="1484">
        <f t="shared" si="9"/>
        <v>0</v>
      </c>
      <c r="CI609" s="1484"/>
      <c r="CJ609" s="1484"/>
      <c r="CK609" s="1484"/>
      <c r="CL609" s="1484"/>
      <c r="CM609" s="1484">
        <f t="shared" si="10"/>
        <v>0</v>
      </c>
      <c r="CN609" s="1484"/>
      <c r="CO609" s="1484"/>
      <c r="CP609" s="1484"/>
      <c r="CQ609" s="1484"/>
      <c r="CR609" s="6"/>
      <c r="CS609" s="1491">
        <f t="shared" si="11"/>
        <v>0</v>
      </c>
      <c r="CT609" s="1491"/>
      <c r="CU609" s="1491"/>
      <c r="CV609" s="1491"/>
      <c r="CW609" s="1491"/>
      <c r="CX609" s="1491">
        <f t="shared" si="12"/>
        <v>0</v>
      </c>
      <c r="CY609" s="1491"/>
      <c r="CZ609" s="1491"/>
      <c r="DA609" s="1491"/>
      <c r="DB609" s="1491"/>
      <c r="DC609" s="1491">
        <f t="shared" si="13"/>
        <v>0</v>
      </c>
      <c r="DD609" s="1491"/>
      <c r="DE609" s="1491"/>
      <c r="DF609" s="1491"/>
      <c r="DG609" s="1491"/>
      <c r="DH609" s="1491">
        <f t="shared" si="14"/>
        <v>0</v>
      </c>
      <c r="DI609" s="1491"/>
      <c r="DJ609" s="1491"/>
      <c r="DK609" s="1491"/>
      <c r="DL609" s="1491"/>
      <c r="DM609" s="1491">
        <f t="shared" si="15"/>
        <v>0</v>
      </c>
      <c r="DN609" s="1491"/>
      <c r="DO609" s="1491"/>
      <c r="DP609" s="1491"/>
      <c r="DQ609" s="1491"/>
      <c r="DR609" s="1491">
        <f t="shared" si="16"/>
        <v>0</v>
      </c>
      <c r="DS609" s="1491"/>
      <c r="DT609" s="1491"/>
      <c r="DU609" s="1491"/>
      <c r="DV609" s="1491"/>
      <c r="DX609" s="1481" t="str">
        <f t="shared" si="17"/>
        <v/>
      </c>
      <c r="DY609" s="1482"/>
      <c r="DZ609" s="1482"/>
      <c r="EA609" s="1482"/>
      <c r="EB609" s="1483"/>
      <c r="EC609" s="1481" t="str">
        <f t="shared" si="18"/>
        <v/>
      </c>
      <c r="ED609" s="1482"/>
      <c r="EE609" s="1482"/>
      <c r="EF609" s="1482"/>
      <c r="EG609" s="1483"/>
      <c r="EH609" s="1481" t="str">
        <f t="shared" si="19"/>
        <v/>
      </c>
      <c r="EI609" s="1482"/>
      <c r="EJ609" s="1482"/>
      <c r="EK609" s="1482"/>
      <c r="EL609" s="1483"/>
      <c r="EM609" s="1481" t="str">
        <f t="shared" si="20"/>
        <v/>
      </c>
      <c r="EN609" s="1482"/>
      <c r="EO609" s="1482"/>
      <c r="EP609" s="1482"/>
      <c r="EQ609" s="1483"/>
      <c r="ER609" s="1481" t="str">
        <f t="shared" si="21"/>
        <v/>
      </c>
      <c r="ES609" s="1482"/>
      <c r="ET609" s="1482"/>
      <c r="EU609" s="1482"/>
      <c r="EV609" s="1483"/>
      <c r="EW609" s="1481" t="str">
        <f t="shared" si="22"/>
        <v/>
      </c>
      <c r="EX609" s="1482"/>
      <c r="EY609" s="1482"/>
      <c r="EZ609" s="1482"/>
      <c r="FA609" s="1483"/>
    </row>
    <row r="610" spans="1:157" ht="13.15" customHeight="1">
      <c r="B610" t="s">
        <v>85</v>
      </c>
      <c r="G610" s="1368"/>
      <c r="H610" s="1368"/>
      <c r="I610" s="1368"/>
      <c r="J610" s="1368"/>
      <c r="K610" s="1368"/>
      <c r="L610" s="1368"/>
      <c r="M610" s="1368"/>
      <c r="N610" s="1368"/>
      <c r="O610" s="1368"/>
      <c r="P610" s="1368"/>
      <c r="Q610" s="1368"/>
      <c r="R610" s="1368"/>
      <c r="U610" t="s">
        <v>85</v>
      </c>
      <c r="Z610" s="1368"/>
      <c r="AA610" s="1368"/>
      <c r="AB610" s="1368"/>
      <c r="AC610" s="1368"/>
      <c r="AD610" s="1368"/>
      <c r="AE610" s="1368"/>
      <c r="AF610" s="1368"/>
      <c r="AG610" s="1368"/>
      <c r="AH610" s="1368"/>
      <c r="AI610" s="1368"/>
      <c r="AJ610" s="1368"/>
      <c r="AK610" s="1368"/>
      <c r="AZ610" s="3"/>
      <c r="BA610" s="3"/>
      <c r="BB610" s="3"/>
      <c r="BC610" s="3"/>
      <c r="BD610" s="3"/>
      <c r="BE610" s="1481">
        <f t="shared" si="1"/>
        <v>0</v>
      </c>
      <c r="BF610" s="1483"/>
      <c r="BG610" s="1500">
        <f t="shared" si="2"/>
        <v>0</v>
      </c>
      <c r="BH610" s="1501"/>
      <c r="BI610" s="1481">
        <f t="shared" si="3"/>
        <v>0</v>
      </c>
      <c r="BJ610" s="1483"/>
      <c r="BK610" s="1500">
        <f t="shared" si="4"/>
        <v>0</v>
      </c>
      <c r="BL610" s="1501"/>
      <c r="BM610" s="3"/>
      <c r="BN610" s="1485">
        <f t="shared" si="5"/>
        <v>0</v>
      </c>
      <c r="BO610" s="1486"/>
      <c r="BP610" s="1486"/>
      <c r="BQ610" s="1486"/>
      <c r="BR610" s="1487"/>
      <c r="BS610" s="1484">
        <f t="shared" si="6"/>
        <v>0</v>
      </c>
      <c r="BT610" s="1484"/>
      <c r="BU610" s="1484"/>
      <c r="BV610" s="1484"/>
      <c r="BW610" s="1484"/>
      <c r="BX610" s="1484">
        <f t="shared" si="7"/>
        <v>0</v>
      </c>
      <c r="BY610" s="1484"/>
      <c r="BZ610" s="1484"/>
      <c r="CA610" s="1484"/>
      <c r="CB610" s="1484"/>
      <c r="CC610" s="1484">
        <f t="shared" si="8"/>
        <v>0</v>
      </c>
      <c r="CD610" s="1484"/>
      <c r="CE610" s="1484"/>
      <c r="CF610" s="1484"/>
      <c r="CG610" s="1484"/>
      <c r="CH610" s="1484">
        <f t="shared" si="9"/>
        <v>0</v>
      </c>
      <c r="CI610" s="1484"/>
      <c r="CJ610" s="1484"/>
      <c r="CK610" s="1484"/>
      <c r="CL610" s="1484"/>
      <c r="CM610" s="1484">
        <f t="shared" si="10"/>
        <v>0</v>
      </c>
      <c r="CN610" s="1484"/>
      <c r="CO610" s="1484"/>
      <c r="CP610" s="1484"/>
      <c r="CQ610" s="1484"/>
      <c r="CR610" s="6"/>
      <c r="CS610" s="1491">
        <f t="shared" si="11"/>
        <v>0</v>
      </c>
      <c r="CT610" s="1491"/>
      <c r="CU610" s="1491"/>
      <c r="CV610" s="1491"/>
      <c r="CW610" s="1491"/>
      <c r="CX610" s="1491">
        <f t="shared" si="12"/>
        <v>0</v>
      </c>
      <c r="CY610" s="1491"/>
      <c r="CZ610" s="1491"/>
      <c r="DA610" s="1491"/>
      <c r="DB610" s="1491"/>
      <c r="DC610" s="1491">
        <f t="shared" si="13"/>
        <v>0</v>
      </c>
      <c r="DD610" s="1491"/>
      <c r="DE610" s="1491"/>
      <c r="DF610" s="1491"/>
      <c r="DG610" s="1491"/>
      <c r="DH610" s="1491">
        <f t="shared" si="14"/>
        <v>0</v>
      </c>
      <c r="DI610" s="1491"/>
      <c r="DJ610" s="1491"/>
      <c r="DK610" s="1491"/>
      <c r="DL610" s="1491"/>
      <c r="DM610" s="1491">
        <f t="shared" si="15"/>
        <v>0</v>
      </c>
      <c r="DN610" s="1491"/>
      <c r="DO610" s="1491"/>
      <c r="DP610" s="1491"/>
      <c r="DQ610" s="1491"/>
      <c r="DR610" s="1491">
        <f t="shared" si="16"/>
        <v>0</v>
      </c>
      <c r="DS610" s="1491"/>
      <c r="DT610" s="1491"/>
      <c r="DU610" s="1491"/>
      <c r="DV610" s="1491"/>
      <c r="DX610" s="1481" t="str">
        <f t="shared" si="17"/>
        <v/>
      </c>
      <c r="DY610" s="1482"/>
      <c r="DZ610" s="1482"/>
      <c r="EA610" s="1482"/>
      <c r="EB610" s="1483"/>
      <c r="EC610" s="1481" t="str">
        <f t="shared" si="18"/>
        <v/>
      </c>
      <c r="ED610" s="1482"/>
      <c r="EE610" s="1482"/>
      <c r="EF610" s="1482"/>
      <c r="EG610" s="1483"/>
      <c r="EH610" s="1481" t="str">
        <f t="shared" si="19"/>
        <v/>
      </c>
      <c r="EI610" s="1482"/>
      <c r="EJ610" s="1482"/>
      <c r="EK610" s="1482"/>
      <c r="EL610" s="1483"/>
      <c r="EM610" s="1481" t="str">
        <f t="shared" si="20"/>
        <v/>
      </c>
      <c r="EN610" s="1482"/>
      <c r="EO610" s="1482"/>
      <c r="EP610" s="1482"/>
      <c r="EQ610" s="1483"/>
      <c r="ER610" s="1481" t="str">
        <f t="shared" si="21"/>
        <v/>
      </c>
      <c r="ES610" s="1482"/>
      <c r="ET610" s="1482"/>
      <c r="EU610" s="1482"/>
      <c r="EV610" s="1483"/>
      <c r="EW610" s="1481" t="str">
        <f t="shared" si="22"/>
        <v/>
      </c>
      <c r="EX610" s="1482"/>
      <c r="EY610" s="1482"/>
      <c r="EZ610" s="1482"/>
      <c r="FA610" s="1483"/>
    </row>
    <row r="611" spans="1:157" ht="13.15" customHeight="1">
      <c r="B611" t="s">
        <v>588</v>
      </c>
      <c r="G611" s="1368"/>
      <c r="H611" s="1368"/>
      <c r="I611" s="1368"/>
      <c r="J611" s="1368"/>
      <c r="K611" s="1368"/>
      <c r="L611" s="1368"/>
      <c r="M611" s="1368"/>
      <c r="N611" s="1368"/>
      <c r="O611" s="1368"/>
      <c r="P611" s="1368"/>
      <c r="Q611" s="1368"/>
      <c r="R611" s="1368"/>
      <c r="U611" t="s">
        <v>588</v>
      </c>
      <c r="Z611" s="1438"/>
      <c r="AA611" s="1438"/>
      <c r="AB611" s="1438"/>
      <c r="AC611" s="1438"/>
      <c r="AD611" s="1438"/>
      <c r="AE611" s="1438"/>
      <c r="AF611" s="1438"/>
      <c r="AG611" s="1438"/>
      <c r="AH611" s="1438"/>
      <c r="AI611" s="1438"/>
      <c r="AJ611" s="1438"/>
      <c r="AK611" s="1438"/>
      <c r="AZ611" s="3"/>
      <c r="BA611" s="3"/>
      <c r="BB611" s="3"/>
      <c r="BC611" s="3"/>
      <c r="BD611" s="3"/>
      <c r="BE611" s="1481">
        <f t="shared" si="1"/>
        <v>0</v>
      </c>
      <c r="BF611" s="1483"/>
      <c r="BG611" s="1500">
        <f t="shared" si="2"/>
        <v>0</v>
      </c>
      <c r="BH611" s="1501"/>
      <c r="BI611" s="1481">
        <f t="shared" si="3"/>
        <v>0</v>
      </c>
      <c r="BJ611" s="1483"/>
      <c r="BK611" s="1500">
        <f t="shared" si="4"/>
        <v>0</v>
      </c>
      <c r="BL611" s="1501"/>
      <c r="BM611" s="3"/>
      <c r="BN611" s="1485">
        <f t="shared" si="5"/>
        <v>0</v>
      </c>
      <c r="BO611" s="1486"/>
      <c r="BP611" s="1486"/>
      <c r="BQ611" s="1486"/>
      <c r="BR611" s="1487"/>
      <c r="BS611" s="1484">
        <f t="shared" si="6"/>
        <v>0</v>
      </c>
      <c r="BT611" s="1484"/>
      <c r="BU611" s="1484"/>
      <c r="BV611" s="1484"/>
      <c r="BW611" s="1484"/>
      <c r="BX611" s="1484">
        <f t="shared" si="7"/>
        <v>0</v>
      </c>
      <c r="BY611" s="1484"/>
      <c r="BZ611" s="1484"/>
      <c r="CA611" s="1484"/>
      <c r="CB611" s="1484"/>
      <c r="CC611" s="1484">
        <f t="shared" si="8"/>
        <v>0</v>
      </c>
      <c r="CD611" s="1484"/>
      <c r="CE611" s="1484"/>
      <c r="CF611" s="1484"/>
      <c r="CG611" s="1484"/>
      <c r="CH611" s="1484">
        <f t="shared" si="9"/>
        <v>0</v>
      </c>
      <c r="CI611" s="1484"/>
      <c r="CJ611" s="1484"/>
      <c r="CK611" s="1484"/>
      <c r="CL611" s="1484"/>
      <c r="CM611" s="1484">
        <f t="shared" si="10"/>
        <v>0</v>
      </c>
      <c r="CN611" s="1484"/>
      <c r="CO611" s="1484"/>
      <c r="CP611" s="1484"/>
      <c r="CQ611" s="1484"/>
      <c r="CR611" s="6"/>
      <c r="CS611" s="1491">
        <f t="shared" si="11"/>
        <v>0</v>
      </c>
      <c r="CT611" s="1491"/>
      <c r="CU611" s="1491"/>
      <c r="CV611" s="1491"/>
      <c r="CW611" s="1491"/>
      <c r="CX611" s="1491">
        <f t="shared" si="12"/>
        <v>0</v>
      </c>
      <c r="CY611" s="1491"/>
      <c r="CZ611" s="1491"/>
      <c r="DA611" s="1491"/>
      <c r="DB611" s="1491"/>
      <c r="DC611" s="1491">
        <f t="shared" si="13"/>
        <v>0</v>
      </c>
      <c r="DD611" s="1491"/>
      <c r="DE611" s="1491"/>
      <c r="DF611" s="1491"/>
      <c r="DG611" s="1491"/>
      <c r="DH611" s="1491">
        <f t="shared" si="14"/>
        <v>0</v>
      </c>
      <c r="DI611" s="1491"/>
      <c r="DJ611" s="1491"/>
      <c r="DK611" s="1491"/>
      <c r="DL611" s="1491"/>
      <c r="DM611" s="1491">
        <f t="shared" si="15"/>
        <v>0</v>
      </c>
      <c r="DN611" s="1491"/>
      <c r="DO611" s="1491"/>
      <c r="DP611" s="1491"/>
      <c r="DQ611" s="1491"/>
      <c r="DR611" s="1491">
        <f t="shared" si="16"/>
        <v>0</v>
      </c>
      <c r="DS611" s="1491"/>
      <c r="DT611" s="1491"/>
      <c r="DU611" s="1491"/>
      <c r="DV611" s="1491"/>
      <c r="DX611" s="1481" t="str">
        <f t="shared" si="17"/>
        <v/>
      </c>
      <c r="DY611" s="1482"/>
      <c r="DZ611" s="1482"/>
      <c r="EA611" s="1482"/>
      <c r="EB611" s="1483"/>
      <c r="EC611" s="1481" t="str">
        <f t="shared" si="18"/>
        <v/>
      </c>
      <c r="ED611" s="1482"/>
      <c r="EE611" s="1482"/>
      <c r="EF611" s="1482"/>
      <c r="EG611" s="1483"/>
      <c r="EH611" s="1481" t="str">
        <f t="shared" si="19"/>
        <v/>
      </c>
      <c r="EI611" s="1482"/>
      <c r="EJ611" s="1482"/>
      <c r="EK611" s="1482"/>
      <c r="EL611" s="1483"/>
      <c r="EM611" s="1481" t="str">
        <f t="shared" si="20"/>
        <v/>
      </c>
      <c r="EN611" s="1482"/>
      <c r="EO611" s="1482"/>
      <c r="EP611" s="1482"/>
      <c r="EQ611" s="1483"/>
      <c r="ER611" s="1481" t="str">
        <f t="shared" si="21"/>
        <v/>
      </c>
      <c r="ES611" s="1482"/>
      <c r="ET611" s="1482"/>
      <c r="EU611" s="1482"/>
      <c r="EV611" s="1483"/>
      <c r="EW611" s="1481" t="str">
        <f t="shared" si="22"/>
        <v/>
      </c>
      <c r="EX611" s="1482"/>
      <c r="EY611" s="1482"/>
      <c r="EZ611" s="1482"/>
      <c r="FA611" s="1483"/>
    </row>
    <row r="612" spans="1:157" ht="13.15" customHeight="1">
      <c r="B612" t="s">
        <v>17</v>
      </c>
      <c r="G612" s="1368"/>
      <c r="H612" s="1368"/>
      <c r="I612" s="1368"/>
      <c r="J612" s="1368"/>
      <c r="K612" s="1368"/>
      <c r="L612" s="1368"/>
      <c r="M612" s="1368"/>
      <c r="N612" s="1368"/>
      <c r="O612" s="1368"/>
      <c r="P612" s="1368"/>
      <c r="Q612" s="1368"/>
      <c r="R612" s="1368"/>
      <c r="U612" t="s">
        <v>17</v>
      </c>
      <c r="Z612" s="1438"/>
      <c r="AA612" s="1438"/>
      <c r="AB612" s="1438"/>
      <c r="AC612" s="1438"/>
      <c r="AD612" s="1438"/>
      <c r="AE612" s="1438"/>
      <c r="AF612" s="1438"/>
      <c r="AG612" s="1438"/>
      <c r="AH612" s="1438"/>
      <c r="AI612" s="1438"/>
      <c r="AJ612" s="1438"/>
      <c r="AK612" s="1438"/>
      <c r="AZ612" s="3"/>
      <c r="BA612" s="3"/>
      <c r="BB612" s="3"/>
      <c r="BC612" s="3"/>
      <c r="BD612" s="3"/>
      <c r="BE612" s="1481">
        <f t="shared" si="1"/>
        <v>0</v>
      </c>
      <c r="BF612" s="1483"/>
      <c r="BG612" s="1500">
        <f t="shared" si="2"/>
        <v>0</v>
      </c>
      <c r="BH612" s="1501"/>
      <c r="BI612" s="1481">
        <f t="shared" si="3"/>
        <v>0</v>
      </c>
      <c r="BJ612" s="1483"/>
      <c r="BK612" s="1500">
        <f t="shared" si="4"/>
        <v>0</v>
      </c>
      <c r="BL612" s="1501"/>
      <c r="BM612" s="3"/>
      <c r="BN612" s="1485">
        <f t="shared" si="5"/>
        <v>0</v>
      </c>
      <c r="BO612" s="1486"/>
      <c r="BP612" s="1486"/>
      <c r="BQ612" s="1486"/>
      <c r="BR612" s="1487"/>
      <c r="BS612" s="1484">
        <f t="shared" si="6"/>
        <v>0</v>
      </c>
      <c r="BT612" s="1484"/>
      <c r="BU612" s="1484"/>
      <c r="BV612" s="1484"/>
      <c r="BW612" s="1484"/>
      <c r="BX612" s="1484">
        <f t="shared" si="7"/>
        <v>0</v>
      </c>
      <c r="BY612" s="1484"/>
      <c r="BZ612" s="1484"/>
      <c r="CA612" s="1484"/>
      <c r="CB612" s="1484"/>
      <c r="CC612" s="1484">
        <f t="shared" si="8"/>
        <v>0</v>
      </c>
      <c r="CD612" s="1484"/>
      <c r="CE612" s="1484"/>
      <c r="CF612" s="1484"/>
      <c r="CG612" s="1484"/>
      <c r="CH612" s="1484">
        <f t="shared" si="9"/>
        <v>0</v>
      </c>
      <c r="CI612" s="1484"/>
      <c r="CJ612" s="1484"/>
      <c r="CK612" s="1484"/>
      <c r="CL612" s="1484"/>
      <c r="CM612" s="1484">
        <f t="shared" si="10"/>
        <v>0</v>
      </c>
      <c r="CN612" s="1484"/>
      <c r="CO612" s="1484"/>
      <c r="CP612" s="1484"/>
      <c r="CQ612" s="1484"/>
      <c r="CR612" s="6"/>
      <c r="CS612" s="1491">
        <f t="shared" si="11"/>
        <v>0</v>
      </c>
      <c r="CT612" s="1491"/>
      <c r="CU612" s="1491"/>
      <c r="CV612" s="1491"/>
      <c r="CW612" s="1491"/>
      <c r="CX612" s="1491">
        <f t="shared" si="12"/>
        <v>0</v>
      </c>
      <c r="CY612" s="1491"/>
      <c r="CZ612" s="1491"/>
      <c r="DA612" s="1491"/>
      <c r="DB612" s="1491"/>
      <c r="DC612" s="1491">
        <f t="shared" si="13"/>
        <v>0</v>
      </c>
      <c r="DD612" s="1491"/>
      <c r="DE612" s="1491"/>
      <c r="DF612" s="1491"/>
      <c r="DG612" s="1491"/>
      <c r="DH612" s="1491">
        <f t="shared" si="14"/>
        <v>0</v>
      </c>
      <c r="DI612" s="1491"/>
      <c r="DJ612" s="1491"/>
      <c r="DK612" s="1491"/>
      <c r="DL612" s="1491"/>
      <c r="DM612" s="1491">
        <f t="shared" si="15"/>
        <v>0</v>
      </c>
      <c r="DN612" s="1491"/>
      <c r="DO612" s="1491"/>
      <c r="DP612" s="1491"/>
      <c r="DQ612" s="1491"/>
      <c r="DR612" s="1491">
        <f t="shared" si="16"/>
        <v>0</v>
      </c>
      <c r="DS612" s="1491"/>
      <c r="DT612" s="1491"/>
      <c r="DU612" s="1491"/>
      <c r="DV612" s="1491"/>
      <c r="DX612" s="1481" t="str">
        <f t="shared" si="17"/>
        <v/>
      </c>
      <c r="DY612" s="1482"/>
      <c r="DZ612" s="1482"/>
      <c r="EA612" s="1482"/>
      <c r="EB612" s="1483"/>
      <c r="EC612" s="1481" t="str">
        <f t="shared" si="18"/>
        <v/>
      </c>
      <c r="ED612" s="1482"/>
      <c r="EE612" s="1482"/>
      <c r="EF612" s="1482"/>
      <c r="EG612" s="1483"/>
      <c r="EH612" s="1481" t="str">
        <f t="shared" si="19"/>
        <v/>
      </c>
      <c r="EI612" s="1482"/>
      <c r="EJ612" s="1482"/>
      <c r="EK612" s="1482"/>
      <c r="EL612" s="1483"/>
      <c r="EM612" s="1481" t="str">
        <f t="shared" si="20"/>
        <v/>
      </c>
      <c r="EN612" s="1482"/>
      <c r="EO612" s="1482"/>
      <c r="EP612" s="1482"/>
      <c r="EQ612" s="1483"/>
      <c r="ER612" s="1481" t="str">
        <f t="shared" si="21"/>
        <v/>
      </c>
      <c r="ES612" s="1482"/>
      <c r="ET612" s="1482"/>
      <c r="EU612" s="1482"/>
      <c r="EV612" s="1483"/>
      <c r="EW612" s="1481" t="str">
        <f t="shared" si="22"/>
        <v/>
      </c>
      <c r="EX612" s="1482"/>
      <c r="EY612" s="1482"/>
      <c r="EZ612" s="1482"/>
      <c r="FA612" s="1483"/>
    </row>
    <row r="613" spans="1:157" ht="13.15" customHeight="1">
      <c r="B613" t="s">
        <v>317</v>
      </c>
      <c r="G613" s="1388"/>
      <c r="H613" s="1388"/>
      <c r="I613" s="1388"/>
      <c r="J613" s="1388"/>
      <c r="K613" s="1388"/>
      <c r="L613" s="1388"/>
      <c r="O613" s="33" t="s">
        <v>207</v>
      </c>
      <c r="P613" s="1451"/>
      <c r="Q613" s="1451"/>
      <c r="R613" s="1451"/>
      <c r="U613" t="s">
        <v>317</v>
      </c>
      <c r="Z613" s="1388"/>
      <c r="AA613" s="1388"/>
      <c r="AB613" s="1388"/>
      <c r="AC613" s="1388"/>
      <c r="AD613" s="1388"/>
      <c r="AE613" s="1388"/>
      <c r="AH613" s="33" t="s">
        <v>207</v>
      </c>
      <c r="AI613" s="1451"/>
      <c r="AJ613" s="1451"/>
      <c r="AK613" s="1451"/>
      <c r="AZ613" s="3"/>
      <c r="BA613" s="3"/>
      <c r="BB613" s="3"/>
      <c r="BC613" s="3"/>
      <c r="BD613" s="3"/>
      <c r="BE613" s="1481">
        <f t="shared" si="1"/>
        <v>0</v>
      </c>
      <c r="BF613" s="1483"/>
      <c r="BG613" s="1500">
        <f t="shared" si="2"/>
        <v>0</v>
      </c>
      <c r="BH613" s="1501"/>
      <c r="BI613" s="1481">
        <f t="shared" si="3"/>
        <v>0</v>
      </c>
      <c r="BJ613" s="1483"/>
      <c r="BK613" s="1500">
        <f t="shared" si="4"/>
        <v>0</v>
      </c>
      <c r="BL613" s="1501"/>
      <c r="BM613" s="3"/>
      <c r="BN613" s="1485">
        <f t="shared" si="5"/>
        <v>0</v>
      </c>
      <c r="BO613" s="1486"/>
      <c r="BP613" s="1486"/>
      <c r="BQ613" s="1486"/>
      <c r="BR613" s="1487"/>
      <c r="BS613" s="1484">
        <f t="shared" si="6"/>
        <v>0</v>
      </c>
      <c r="BT613" s="1484"/>
      <c r="BU613" s="1484"/>
      <c r="BV613" s="1484"/>
      <c r="BW613" s="1484"/>
      <c r="BX613" s="1484">
        <f t="shared" si="7"/>
        <v>0</v>
      </c>
      <c r="BY613" s="1484"/>
      <c r="BZ613" s="1484"/>
      <c r="CA613" s="1484"/>
      <c r="CB613" s="1484"/>
      <c r="CC613" s="1484">
        <f t="shared" si="8"/>
        <v>0</v>
      </c>
      <c r="CD613" s="1484"/>
      <c r="CE613" s="1484"/>
      <c r="CF613" s="1484"/>
      <c r="CG613" s="1484"/>
      <c r="CH613" s="1484">
        <f t="shared" si="9"/>
        <v>0</v>
      </c>
      <c r="CI613" s="1484"/>
      <c r="CJ613" s="1484"/>
      <c r="CK613" s="1484"/>
      <c r="CL613" s="1484"/>
      <c r="CM613" s="1484">
        <f t="shared" si="10"/>
        <v>0</v>
      </c>
      <c r="CN613" s="1484"/>
      <c r="CO613" s="1484"/>
      <c r="CP613" s="1484"/>
      <c r="CQ613" s="1484"/>
      <c r="CR613" s="6"/>
      <c r="CS613" s="1491">
        <f t="shared" si="11"/>
        <v>0</v>
      </c>
      <c r="CT613" s="1491"/>
      <c r="CU613" s="1491"/>
      <c r="CV613" s="1491"/>
      <c r="CW613" s="1491"/>
      <c r="CX613" s="1491">
        <f t="shared" si="12"/>
        <v>0</v>
      </c>
      <c r="CY613" s="1491"/>
      <c r="CZ613" s="1491"/>
      <c r="DA613" s="1491"/>
      <c r="DB613" s="1491"/>
      <c r="DC613" s="1491">
        <f t="shared" si="13"/>
        <v>0</v>
      </c>
      <c r="DD613" s="1491"/>
      <c r="DE613" s="1491"/>
      <c r="DF613" s="1491"/>
      <c r="DG613" s="1491"/>
      <c r="DH613" s="1491">
        <f t="shared" si="14"/>
        <v>0</v>
      </c>
      <c r="DI613" s="1491"/>
      <c r="DJ613" s="1491"/>
      <c r="DK613" s="1491"/>
      <c r="DL613" s="1491"/>
      <c r="DM613" s="1491">
        <f t="shared" si="15"/>
        <v>0</v>
      </c>
      <c r="DN613" s="1491"/>
      <c r="DO613" s="1491"/>
      <c r="DP613" s="1491"/>
      <c r="DQ613" s="1491"/>
      <c r="DR613" s="1491">
        <f t="shared" si="16"/>
        <v>0</v>
      </c>
      <c r="DS613" s="1491"/>
      <c r="DT613" s="1491"/>
      <c r="DU613" s="1491"/>
      <c r="DV613" s="1491"/>
      <c r="DX613" s="1481" t="str">
        <f t="shared" si="17"/>
        <v/>
      </c>
      <c r="DY613" s="1482"/>
      <c r="DZ613" s="1482"/>
      <c r="EA613" s="1482"/>
      <c r="EB613" s="1483"/>
      <c r="EC613" s="1481" t="str">
        <f t="shared" si="18"/>
        <v/>
      </c>
      <c r="ED613" s="1482"/>
      <c r="EE613" s="1482"/>
      <c r="EF613" s="1482"/>
      <c r="EG613" s="1483"/>
      <c r="EH613" s="1481" t="str">
        <f t="shared" si="19"/>
        <v/>
      </c>
      <c r="EI613" s="1482"/>
      <c r="EJ613" s="1482"/>
      <c r="EK613" s="1482"/>
      <c r="EL613" s="1483"/>
      <c r="EM613" s="1481" t="str">
        <f t="shared" si="20"/>
        <v/>
      </c>
      <c r="EN613" s="1482"/>
      <c r="EO613" s="1482"/>
      <c r="EP613" s="1482"/>
      <c r="EQ613" s="1483"/>
      <c r="ER613" s="1481" t="str">
        <f t="shared" si="21"/>
        <v/>
      </c>
      <c r="ES613" s="1482"/>
      <c r="ET613" s="1482"/>
      <c r="EU613" s="1482"/>
      <c r="EV613" s="1483"/>
      <c r="EW613" s="1481" t="str">
        <f t="shared" si="22"/>
        <v/>
      </c>
      <c r="EX613" s="1482"/>
      <c r="EY613" s="1482"/>
      <c r="EZ613" s="1482"/>
      <c r="FA613" s="1483"/>
    </row>
    <row r="614" spans="1:157" ht="13.15" customHeight="1">
      <c r="B614" t="s">
        <v>18</v>
      </c>
      <c r="H614" s="1368"/>
      <c r="I614" s="1368"/>
      <c r="J614" s="1368"/>
      <c r="K614" s="1368"/>
      <c r="L614" s="1368"/>
      <c r="M614" s="1368"/>
      <c r="N614" s="1368"/>
      <c r="O614" s="1368"/>
      <c r="P614" s="1368"/>
      <c r="Q614" s="1368"/>
      <c r="R614" s="1368"/>
      <c r="U614" t="s">
        <v>18</v>
      </c>
      <c r="AA614" s="1368"/>
      <c r="AB614" s="1368"/>
      <c r="AC614" s="1368"/>
      <c r="AD614" s="1368"/>
      <c r="AE614" s="1368"/>
      <c r="AF614" s="1368"/>
      <c r="AG614" s="1368"/>
      <c r="AH614" s="1368"/>
      <c r="AI614" s="1368"/>
      <c r="AJ614" s="1368"/>
      <c r="AK614" s="1368"/>
      <c r="AU614" s="934"/>
      <c r="AV614" s="934"/>
      <c r="AW614" s="934"/>
      <c r="AX614" s="934"/>
      <c r="AY614" s="934"/>
      <c r="AZ614" s="3"/>
      <c r="BA614" s="3"/>
      <c r="BB614" s="3"/>
      <c r="BC614" s="3"/>
      <c r="BD614" s="3"/>
      <c r="BE614" s="1481">
        <f t="shared" si="1"/>
        <v>0</v>
      </c>
      <c r="BF614" s="1483"/>
      <c r="BG614" s="1500">
        <f t="shared" si="2"/>
        <v>0</v>
      </c>
      <c r="BH614" s="1501"/>
      <c r="BI614" s="1481">
        <f t="shared" si="3"/>
        <v>0</v>
      </c>
      <c r="BJ614" s="1483"/>
      <c r="BK614" s="1500">
        <f t="shared" si="4"/>
        <v>0</v>
      </c>
      <c r="BL614" s="1501"/>
      <c r="BM614" s="3"/>
      <c r="BN614" s="1485">
        <f t="shared" si="5"/>
        <v>0</v>
      </c>
      <c r="BO614" s="1486"/>
      <c r="BP614" s="1486"/>
      <c r="BQ614" s="1486"/>
      <c r="BR614" s="1487"/>
      <c r="BS614" s="1484">
        <f t="shared" si="6"/>
        <v>0</v>
      </c>
      <c r="BT614" s="1484"/>
      <c r="BU614" s="1484"/>
      <c r="BV614" s="1484"/>
      <c r="BW614" s="1484"/>
      <c r="BX614" s="1484">
        <f t="shared" si="7"/>
        <v>0</v>
      </c>
      <c r="BY614" s="1484"/>
      <c r="BZ614" s="1484"/>
      <c r="CA614" s="1484"/>
      <c r="CB614" s="1484"/>
      <c r="CC614" s="1484">
        <f t="shared" si="8"/>
        <v>0</v>
      </c>
      <c r="CD614" s="1484"/>
      <c r="CE614" s="1484"/>
      <c r="CF614" s="1484"/>
      <c r="CG614" s="1484"/>
      <c r="CH614" s="1484">
        <f t="shared" si="9"/>
        <v>0</v>
      </c>
      <c r="CI614" s="1484"/>
      <c r="CJ614" s="1484"/>
      <c r="CK614" s="1484"/>
      <c r="CL614" s="1484"/>
      <c r="CM614" s="1484">
        <f t="shared" si="10"/>
        <v>0</v>
      </c>
      <c r="CN614" s="1484"/>
      <c r="CO614" s="1484"/>
      <c r="CP614" s="1484"/>
      <c r="CQ614" s="1484"/>
      <c r="CR614" s="6"/>
      <c r="CS614" s="1491">
        <f t="shared" si="11"/>
        <v>0</v>
      </c>
      <c r="CT614" s="1491"/>
      <c r="CU614" s="1491"/>
      <c r="CV614" s="1491"/>
      <c r="CW614" s="1491"/>
      <c r="CX614" s="1491">
        <f t="shared" si="12"/>
        <v>0</v>
      </c>
      <c r="CY614" s="1491"/>
      <c r="CZ614" s="1491"/>
      <c r="DA614" s="1491"/>
      <c r="DB614" s="1491"/>
      <c r="DC614" s="1491">
        <f t="shared" si="13"/>
        <v>0</v>
      </c>
      <c r="DD614" s="1491"/>
      <c r="DE614" s="1491"/>
      <c r="DF614" s="1491"/>
      <c r="DG614" s="1491"/>
      <c r="DH614" s="1491">
        <f t="shared" si="14"/>
        <v>0</v>
      </c>
      <c r="DI614" s="1491"/>
      <c r="DJ614" s="1491"/>
      <c r="DK614" s="1491"/>
      <c r="DL614" s="1491"/>
      <c r="DM614" s="1491">
        <f t="shared" si="15"/>
        <v>0</v>
      </c>
      <c r="DN614" s="1491"/>
      <c r="DO614" s="1491"/>
      <c r="DP614" s="1491"/>
      <c r="DQ614" s="1491"/>
      <c r="DR614" s="1491">
        <f t="shared" si="16"/>
        <v>0</v>
      </c>
      <c r="DS614" s="1491"/>
      <c r="DT614" s="1491"/>
      <c r="DU614" s="1491"/>
      <c r="DV614" s="1491"/>
      <c r="DX614" s="1481" t="str">
        <f t="shared" si="17"/>
        <v/>
      </c>
      <c r="DY614" s="1482"/>
      <c r="DZ614" s="1482"/>
      <c r="EA614" s="1482"/>
      <c r="EB614" s="1483"/>
      <c r="EC614" s="1481" t="str">
        <f t="shared" si="18"/>
        <v/>
      </c>
      <c r="ED614" s="1482"/>
      <c r="EE614" s="1482"/>
      <c r="EF614" s="1482"/>
      <c r="EG614" s="1483"/>
      <c r="EH614" s="1481" t="str">
        <f t="shared" si="19"/>
        <v/>
      </c>
      <c r="EI614" s="1482"/>
      <c r="EJ614" s="1482"/>
      <c r="EK614" s="1482"/>
      <c r="EL614" s="1483"/>
      <c r="EM614" s="1481" t="str">
        <f t="shared" si="20"/>
        <v/>
      </c>
      <c r="EN614" s="1482"/>
      <c r="EO614" s="1482"/>
      <c r="EP614" s="1482"/>
      <c r="EQ614" s="1483"/>
      <c r="ER614" s="1481" t="str">
        <f t="shared" si="21"/>
        <v/>
      </c>
      <c r="ES614" s="1482"/>
      <c r="ET614" s="1482"/>
      <c r="EU614" s="1482"/>
      <c r="EV614" s="1483"/>
      <c r="EW614" s="1481" t="str">
        <f t="shared" si="22"/>
        <v/>
      </c>
      <c r="EX614" s="1482"/>
      <c r="EY614" s="1482"/>
      <c r="EZ614" s="1482"/>
      <c r="FA614" s="1483"/>
    </row>
    <row r="615" spans="1:157" ht="13.15" customHeight="1">
      <c r="B615" t="s">
        <v>20</v>
      </c>
      <c r="N615" s="1367" t="s">
        <v>677</v>
      </c>
      <c r="O615" s="1367"/>
      <c r="U615" t="s">
        <v>20</v>
      </c>
      <c r="AG615" s="1367" t="s">
        <v>677</v>
      </c>
      <c r="AH615" s="1367"/>
      <c r="AU615" s="934"/>
      <c r="AV615" s="934"/>
      <c r="AW615" s="934"/>
      <c r="AX615" s="934"/>
      <c r="AY615" s="934"/>
      <c r="AZ615" s="3"/>
      <c r="BA615" s="3"/>
      <c r="BB615" s="3"/>
      <c r="BC615" s="3"/>
      <c r="BD615" s="3"/>
      <c r="BE615" s="1481">
        <f t="shared" si="1"/>
        <v>0</v>
      </c>
      <c r="BF615" s="1483"/>
      <c r="BG615" s="1500">
        <f t="shared" si="2"/>
        <v>0</v>
      </c>
      <c r="BH615" s="1501"/>
      <c r="BI615" s="1481">
        <f t="shared" si="3"/>
        <v>0</v>
      </c>
      <c r="BJ615" s="1483"/>
      <c r="BK615" s="1500">
        <f t="shared" si="4"/>
        <v>0</v>
      </c>
      <c r="BL615" s="1501"/>
      <c r="BM615" s="3"/>
      <c r="BN615" s="1485">
        <f t="shared" si="5"/>
        <v>0</v>
      </c>
      <c r="BO615" s="1486"/>
      <c r="BP615" s="1486"/>
      <c r="BQ615" s="1486"/>
      <c r="BR615" s="1487"/>
      <c r="BS615" s="1484">
        <f t="shared" si="6"/>
        <v>0</v>
      </c>
      <c r="BT615" s="1484"/>
      <c r="BU615" s="1484"/>
      <c r="BV615" s="1484"/>
      <c r="BW615" s="1484"/>
      <c r="BX615" s="1484">
        <f t="shared" si="7"/>
        <v>0</v>
      </c>
      <c r="BY615" s="1484"/>
      <c r="BZ615" s="1484"/>
      <c r="CA615" s="1484"/>
      <c r="CB615" s="1484"/>
      <c r="CC615" s="1484">
        <f t="shared" si="8"/>
        <v>0</v>
      </c>
      <c r="CD615" s="1484"/>
      <c r="CE615" s="1484"/>
      <c r="CF615" s="1484"/>
      <c r="CG615" s="1484"/>
      <c r="CH615" s="1484">
        <f t="shared" si="9"/>
        <v>0</v>
      </c>
      <c r="CI615" s="1484"/>
      <c r="CJ615" s="1484"/>
      <c r="CK615" s="1484"/>
      <c r="CL615" s="1484"/>
      <c r="CM615" s="1484">
        <f t="shared" si="10"/>
        <v>0</v>
      </c>
      <c r="CN615" s="1484"/>
      <c r="CO615" s="1484"/>
      <c r="CP615" s="1484"/>
      <c r="CQ615" s="1484"/>
      <c r="CR615" s="6"/>
      <c r="CS615" s="1491">
        <f t="shared" si="11"/>
        <v>0</v>
      </c>
      <c r="CT615" s="1491"/>
      <c r="CU615" s="1491"/>
      <c r="CV615" s="1491"/>
      <c r="CW615" s="1491"/>
      <c r="CX615" s="1491">
        <f t="shared" si="12"/>
        <v>0</v>
      </c>
      <c r="CY615" s="1491"/>
      <c r="CZ615" s="1491"/>
      <c r="DA615" s="1491"/>
      <c r="DB615" s="1491"/>
      <c r="DC615" s="1491">
        <f t="shared" si="13"/>
        <v>0</v>
      </c>
      <c r="DD615" s="1491"/>
      <c r="DE615" s="1491"/>
      <c r="DF615" s="1491"/>
      <c r="DG615" s="1491"/>
      <c r="DH615" s="1491">
        <f t="shared" si="14"/>
        <v>0</v>
      </c>
      <c r="DI615" s="1491"/>
      <c r="DJ615" s="1491"/>
      <c r="DK615" s="1491"/>
      <c r="DL615" s="1491"/>
      <c r="DM615" s="1491">
        <f t="shared" si="15"/>
        <v>0</v>
      </c>
      <c r="DN615" s="1491"/>
      <c r="DO615" s="1491"/>
      <c r="DP615" s="1491"/>
      <c r="DQ615" s="1491"/>
      <c r="DR615" s="1491">
        <f t="shared" si="16"/>
        <v>0</v>
      </c>
      <c r="DS615" s="1491"/>
      <c r="DT615" s="1491"/>
      <c r="DU615" s="1491"/>
      <c r="DV615" s="1491"/>
      <c r="DX615" s="1481" t="str">
        <f t="shared" si="17"/>
        <v/>
      </c>
      <c r="DY615" s="1482"/>
      <c r="DZ615" s="1482"/>
      <c r="EA615" s="1482"/>
      <c r="EB615" s="1483"/>
      <c r="EC615" s="1481" t="str">
        <f t="shared" si="18"/>
        <v/>
      </c>
      <c r="ED615" s="1482"/>
      <c r="EE615" s="1482"/>
      <c r="EF615" s="1482"/>
      <c r="EG615" s="1483"/>
      <c r="EH615" s="1481" t="str">
        <f t="shared" si="19"/>
        <v/>
      </c>
      <c r="EI615" s="1482"/>
      <c r="EJ615" s="1482"/>
      <c r="EK615" s="1482"/>
      <c r="EL615" s="1483"/>
      <c r="EM615" s="1481" t="str">
        <f t="shared" si="20"/>
        <v/>
      </c>
      <c r="EN615" s="1482"/>
      <c r="EO615" s="1482"/>
      <c r="EP615" s="1482"/>
      <c r="EQ615" s="1483"/>
      <c r="ER615" s="1481" t="str">
        <f t="shared" si="21"/>
        <v/>
      </c>
      <c r="ES615" s="1482"/>
      <c r="ET615" s="1482"/>
      <c r="EU615" s="1482"/>
      <c r="EV615" s="1483"/>
      <c r="EW615" s="1481" t="str">
        <f t="shared" si="22"/>
        <v/>
      </c>
      <c r="EX615" s="1482"/>
      <c r="EY615" s="1482"/>
      <c r="EZ615" s="1482"/>
      <c r="FA615" s="1483"/>
    </row>
    <row r="616" spans="1:157" ht="13.15" customHeight="1">
      <c r="AZ616" s="3"/>
      <c r="BA616" s="3"/>
      <c r="BB616" s="3"/>
      <c r="BC616" s="3"/>
      <c r="BD616" s="3"/>
      <c r="BE616" s="1481">
        <f t="shared" si="1"/>
        <v>0</v>
      </c>
      <c r="BF616" s="1483"/>
      <c r="BG616" s="1500">
        <f t="shared" si="2"/>
        <v>0</v>
      </c>
      <c r="BH616" s="1501"/>
      <c r="BI616" s="1481">
        <f t="shared" si="3"/>
        <v>0</v>
      </c>
      <c r="BJ616" s="1483"/>
      <c r="BK616" s="1500">
        <f t="shared" si="4"/>
        <v>0</v>
      </c>
      <c r="BL616" s="1501"/>
      <c r="BM616" s="3"/>
      <c r="BN616" s="1485">
        <f t="shared" si="5"/>
        <v>0</v>
      </c>
      <c r="BO616" s="1486"/>
      <c r="BP616" s="1486"/>
      <c r="BQ616" s="1486"/>
      <c r="BR616" s="1487"/>
      <c r="BS616" s="1484">
        <f t="shared" si="6"/>
        <v>0</v>
      </c>
      <c r="BT616" s="1484"/>
      <c r="BU616" s="1484"/>
      <c r="BV616" s="1484"/>
      <c r="BW616" s="1484"/>
      <c r="BX616" s="1484">
        <f t="shared" si="7"/>
        <v>0</v>
      </c>
      <c r="BY616" s="1484"/>
      <c r="BZ616" s="1484"/>
      <c r="CA616" s="1484"/>
      <c r="CB616" s="1484"/>
      <c r="CC616" s="1484">
        <f t="shared" si="8"/>
        <v>0</v>
      </c>
      <c r="CD616" s="1484"/>
      <c r="CE616" s="1484"/>
      <c r="CF616" s="1484"/>
      <c r="CG616" s="1484"/>
      <c r="CH616" s="1484">
        <f t="shared" si="9"/>
        <v>0</v>
      </c>
      <c r="CI616" s="1484"/>
      <c r="CJ616" s="1484"/>
      <c r="CK616" s="1484"/>
      <c r="CL616" s="1484"/>
      <c r="CM616" s="1484">
        <f t="shared" si="10"/>
        <v>0</v>
      </c>
      <c r="CN616" s="1484"/>
      <c r="CO616" s="1484"/>
      <c r="CP616" s="1484"/>
      <c r="CQ616" s="1484"/>
      <c r="CR616" s="6"/>
      <c r="CS616" s="1491">
        <f t="shared" si="11"/>
        <v>0</v>
      </c>
      <c r="CT616" s="1491"/>
      <c r="CU616" s="1491"/>
      <c r="CV616" s="1491"/>
      <c r="CW616" s="1491"/>
      <c r="CX616" s="1491">
        <f t="shared" si="12"/>
        <v>0</v>
      </c>
      <c r="CY616" s="1491"/>
      <c r="CZ616" s="1491"/>
      <c r="DA616" s="1491"/>
      <c r="DB616" s="1491"/>
      <c r="DC616" s="1491">
        <f t="shared" si="13"/>
        <v>0</v>
      </c>
      <c r="DD616" s="1491"/>
      <c r="DE616" s="1491"/>
      <c r="DF616" s="1491"/>
      <c r="DG616" s="1491"/>
      <c r="DH616" s="1491">
        <f t="shared" si="14"/>
        <v>0</v>
      </c>
      <c r="DI616" s="1491"/>
      <c r="DJ616" s="1491"/>
      <c r="DK616" s="1491"/>
      <c r="DL616" s="1491"/>
      <c r="DM616" s="1491">
        <f t="shared" si="15"/>
        <v>0</v>
      </c>
      <c r="DN616" s="1491"/>
      <c r="DO616" s="1491"/>
      <c r="DP616" s="1491"/>
      <c r="DQ616" s="1491"/>
      <c r="DR616" s="1491">
        <f t="shared" si="16"/>
        <v>0</v>
      </c>
      <c r="DS616" s="1491"/>
      <c r="DT616" s="1491"/>
      <c r="DU616" s="1491"/>
      <c r="DV616" s="1491"/>
      <c r="DX616" s="1481" t="str">
        <f t="shared" si="17"/>
        <v/>
      </c>
      <c r="DY616" s="1482"/>
      <c r="DZ616" s="1482"/>
      <c r="EA616" s="1482"/>
      <c r="EB616" s="1483"/>
      <c r="EC616" s="1481" t="str">
        <f t="shared" si="18"/>
        <v/>
      </c>
      <c r="ED616" s="1482"/>
      <c r="EE616" s="1482"/>
      <c r="EF616" s="1482"/>
      <c r="EG616" s="1483"/>
      <c r="EH616" s="1481" t="str">
        <f t="shared" si="19"/>
        <v/>
      </c>
      <c r="EI616" s="1482"/>
      <c r="EJ616" s="1482"/>
      <c r="EK616" s="1482"/>
      <c r="EL616" s="1483"/>
      <c r="EM616" s="1481" t="str">
        <f t="shared" si="20"/>
        <v/>
      </c>
      <c r="EN616" s="1482"/>
      <c r="EO616" s="1482"/>
      <c r="EP616" s="1482"/>
      <c r="EQ616" s="1483"/>
      <c r="ER616" s="1481" t="str">
        <f t="shared" si="21"/>
        <v/>
      </c>
      <c r="ES616" s="1482"/>
      <c r="ET616" s="1482"/>
      <c r="EU616" s="1482"/>
      <c r="EV616" s="1483"/>
      <c r="EW616" s="1481" t="str">
        <f t="shared" si="22"/>
        <v/>
      </c>
      <c r="EX616" s="1482"/>
      <c r="EY616" s="1482"/>
      <c r="EZ616" s="1482"/>
      <c r="FA616" s="1483"/>
    </row>
    <row r="617" spans="1:157" ht="13.15" customHeight="1">
      <c r="A617" s="1266" t="s">
        <v>552</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c r="BD617" s="3"/>
      <c r="BE617" s="1481">
        <f t="shared" si="1"/>
        <v>0</v>
      </c>
      <c r="BF617" s="1483"/>
      <c r="BG617" s="1500">
        <f t="shared" si="2"/>
        <v>0</v>
      </c>
      <c r="BH617" s="1501"/>
      <c r="BI617" s="1481">
        <f t="shared" si="3"/>
        <v>0</v>
      </c>
      <c r="BJ617" s="1483"/>
      <c r="BK617" s="1500">
        <f t="shared" si="4"/>
        <v>0</v>
      </c>
      <c r="BL617" s="1501"/>
      <c r="BM617" s="3"/>
      <c r="BN617" s="1485">
        <f t="shared" si="5"/>
        <v>0</v>
      </c>
      <c r="BO617" s="1486"/>
      <c r="BP617" s="1486"/>
      <c r="BQ617" s="1486"/>
      <c r="BR617" s="1487"/>
      <c r="BS617" s="1484">
        <f t="shared" si="6"/>
        <v>0</v>
      </c>
      <c r="BT617" s="1484"/>
      <c r="BU617" s="1484"/>
      <c r="BV617" s="1484"/>
      <c r="BW617" s="1484"/>
      <c r="BX617" s="1484">
        <f t="shared" si="7"/>
        <v>0</v>
      </c>
      <c r="BY617" s="1484"/>
      <c r="BZ617" s="1484"/>
      <c r="CA617" s="1484"/>
      <c r="CB617" s="1484"/>
      <c r="CC617" s="1484">
        <f t="shared" si="8"/>
        <v>0</v>
      </c>
      <c r="CD617" s="1484"/>
      <c r="CE617" s="1484"/>
      <c r="CF617" s="1484"/>
      <c r="CG617" s="1484"/>
      <c r="CH617" s="1484">
        <f t="shared" si="9"/>
        <v>0</v>
      </c>
      <c r="CI617" s="1484"/>
      <c r="CJ617" s="1484"/>
      <c r="CK617" s="1484"/>
      <c r="CL617" s="1484"/>
      <c r="CM617" s="1484">
        <f t="shared" si="10"/>
        <v>0</v>
      </c>
      <c r="CN617" s="1484"/>
      <c r="CO617" s="1484"/>
      <c r="CP617" s="1484"/>
      <c r="CQ617" s="1484"/>
      <c r="CR617" s="6"/>
      <c r="CS617" s="1491">
        <f t="shared" si="11"/>
        <v>0</v>
      </c>
      <c r="CT617" s="1491"/>
      <c r="CU617" s="1491"/>
      <c r="CV617" s="1491"/>
      <c r="CW617" s="1491"/>
      <c r="CX617" s="1491">
        <f t="shared" si="12"/>
        <v>0</v>
      </c>
      <c r="CY617" s="1491"/>
      <c r="CZ617" s="1491"/>
      <c r="DA617" s="1491"/>
      <c r="DB617" s="1491"/>
      <c r="DC617" s="1491">
        <f t="shared" si="13"/>
        <v>0</v>
      </c>
      <c r="DD617" s="1491"/>
      <c r="DE617" s="1491"/>
      <c r="DF617" s="1491"/>
      <c r="DG617" s="1491"/>
      <c r="DH617" s="1491">
        <f t="shared" si="14"/>
        <v>0</v>
      </c>
      <c r="DI617" s="1491"/>
      <c r="DJ617" s="1491"/>
      <c r="DK617" s="1491"/>
      <c r="DL617" s="1491"/>
      <c r="DM617" s="1491">
        <f t="shared" si="15"/>
        <v>0</v>
      </c>
      <c r="DN617" s="1491"/>
      <c r="DO617" s="1491"/>
      <c r="DP617" s="1491"/>
      <c r="DQ617" s="1491"/>
      <c r="DR617" s="1491">
        <f t="shared" si="16"/>
        <v>0</v>
      </c>
      <c r="DS617" s="1491"/>
      <c r="DT617" s="1491"/>
      <c r="DU617" s="1491"/>
      <c r="DV617" s="1491"/>
      <c r="DX617" s="1481" t="str">
        <f t="shared" si="17"/>
        <v/>
      </c>
      <c r="DY617" s="1482"/>
      <c r="DZ617" s="1482"/>
      <c r="EA617" s="1482"/>
      <c r="EB617" s="1483"/>
      <c r="EC617" s="1481" t="str">
        <f t="shared" si="18"/>
        <v/>
      </c>
      <c r="ED617" s="1482"/>
      <c r="EE617" s="1482"/>
      <c r="EF617" s="1482"/>
      <c r="EG617" s="1483"/>
      <c r="EH617" s="1481" t="str">
        <f t="shared" si="19"/>
        <v/>
      </c>
      <c r="EI617" s="1482"/>
      <c r="EJ617" s="1482"/>
      <c r="EK617" s="1482"/>
      <c r="EL617" s="1483"/>
      <c r="EM617" s="1481" t="str">
        <f t="shared" si="20"/>
        <v/>
      </c>
      <c r="EN617" s="1482"/>
      <c r="EO617" s="1482"/>
      <c r="EP617" s="1482"/>
      <c r="EQ617" s="1483"/>
      <c r="ER617" s="1481" t="str">
        <f t="shared" si="21"/>
        <v/>
      </c>
      <c r="ES617" s="1482"/>
      <c r="ET617" s="1482"/>
      <c r="EU617" s="1482"/>
      <c r="EV617" s="1483"/>
      <c r="EW617" s="1481" t="str">
        <f t="shared" si="22"/>
        <v/>
      </c>
      <c r="EX617" s="1482"/>
      <c r="EY617" s="1482"/>
      <c r="EZ617" s="1482"/>
      <c r="FA617" s="1483"/>
    </row>
    <row r="618" spans="1:157" ht="13.15"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c r="BD618" s="3"/>
      <c r="BE618" s="1481">
        <f t="shared" si="1"/>
        <v>0</v>
      </c>
      <c r="BF618" s="1483"/>
      <c r="BG618" s="1500">
        <f t="shared" si="2"/>
        <v>0</v>
      </c>
      <c r="BH618" s="1501"/>
      <c r="BI618" s="1481">
        <f t="shared" si="3"/>
        <v>0</v>
      </c>
      <c r="BJ618" s="1483"/>
      <c r="BK618" s="1500">
        <f t="shared" si="4"/>
        <v>0</v>
      </c>
      <c r="BL618" s="1501"/>
      <c r="BM618" s="3"/>
      <c r="BN618" s="1485">
        <f t="shared" si="5"/>
        <v>0</v>
      </c>
      <c r="BO618" s="1486"/>
      <c r="BP618" s="1486"/>
      <c r="BQ618" s="1486"/>
      <c r="BR618" s="1487"/>
      <c r="BS618" s="1484">
        <f t="shared" si="6"/>
        <v>0</v>
      </c>
      <c r="BT618" s="1484"/>
      <c r="BU618" s="1484"/>
      <c r="BV618" s="1484"/>
      <c r="BW618" s="1484"/>
      <c r="BX618" s="1484">
        <f t="shared" si="7"/>
        <v>0</v>
      </c>
      <c r="BY618" s="1484"/>
      <c r="BZ618" s="1484"/>
      <c r="CA618" s="1484"/>
      <c r="CB618" s="1484"/>
      <c r="CC618" s="1484">
        <f t="shared" si="8"/>
        <v>0</v>
      </c>
      <c r="CD618" s="1484"/>
      <c r="CE618" s="1484"/>
      <c r="CF618" s="1484"/>
      <c r="CG618" s="1484"/>
      <c r="CH618" s="1484">
        <f t="shared" si="9"/>
        <v>0</v>
      </c>
      <c r="CI618" s="1484"/>
      <c r="CJ618" s="1484"/>
      <c r="CK618" s="1484"/>
      <c r="CL618" s="1484"/>
      <c r="CM618" s="1484">
        <f t="shared" si="10"/>
        <v>0</v>
      </c>
      <c r="CN618" s="1484"/>
      <c r="CO618" s="1484"/>
      <c r="CP618" s="1484"/>
      <c r="CQ618" s="1484"/>
      <c r="CR618" s="6"/>
      <c r="CS618" s="1491">
        <f t="shared" si="11"/>
        <v>0</v>
      </c>
      <c r="CT618" s="1491"/>
      <c r="CU618" s="1491"/>
      <c r="CV618" s="1491"/>
      <c r="CW618" s="1491"/>
      <c r="CX618" s="1491">
        <f t="shared" si="12"/>
        <v>0</v>
      </c>
      <c r="CY618" s="1491"/>
      <c r="CZ618" s="1491"/>
      <c r="DA618" s="1491"/>
      <c r="DB618" s="1491"/>
      <c r="DC618" s="1491">
        <f t="shared" si="13"/>
        <v>0</v>
      </c>
      <c r="DD618" s="1491"/>
      <c r="DE618" s="1491"/>
      <c r="DF618" s="1491"/>
      <c r="DG618" s="1491"/>
      <c r="DH618" s="1491">
        <f t="shared" si="14"/>
        <v>0</v>
      </c>
      <c r="DI618" s="1491"/>
      <c r="DJ618" s="1491"/>
      <c r="DK618" s="1491"/>
      <c r="DL618" s="1491"/>
      <c r="DM618" s="1491">
        <f t="shared" si="15"/>
        <v>0</v>
      </c>
      <c r="DN618" s="1491"/>
      <c r="DO618" s="1491"/>
      <c r="DP618" s="1491"/>
      <c r="DQ618" s="1491"/>
      <c r="DR618" s="1491">
        <f t="shared" si="16"/>
        <v>0</v>
      </c>
      <c r="DS618" s="1491"/>
      <c r="DT618" s="1491"/>
      <c r="DU618" s="1491"/>
      <c r="DV618" s="1491"/>
      <c r="DX618" s="1481" t="str">
        <f t="shared" si="17"/>
        <v/>
      </c>
      <c r="DY618" s="1482"/>
      <c r="DZ618" s="1482"/>
      <c r="EA618" s="1482"/>
      <c r="EB618" s="1483"/>
      <c r="EC618" s="1481" t="str">
        <f t="shared" si="18"/>
        <v/>
      </c>
      <c r="ED618" s="1482"/>
      <c r="EE618" s="1482"/>
      <c r="EF618" s="1482"/>
      <c r="EG618" s="1483"/>
      <c r="EH618" s="1481" t="str">
        <f t="shared" si="19"/>
        <v/>
      </c>
      <c r="EI618" s="1482"/>
      <c r="EJ618" s="1482"/>
      <c r="EK618" s="1482"/>
      <c r="EL618" s="1483"/>
      <c r="EM618" s="1481" t="str">
        <f t="shared" si="20"/>
        <v/>
      </c>
      <c r="EN618" s="1482"/>
      <c r="EO618" s="1482"/>
      <c r="EP618" s="1482"/>
      <c r="EQ618" s="1483"/>
      <c r="ER618" s="1481" t="str">
        <f t="shared" si="21"/>
        <v/>
      </c>
      <c r="ES618" s="1482"/>
      <c r="ET618" s="1482"/>
      <c r="EU618" s="1482"/>
      <c r="EV618" s="1483"/>
      <c r="EW618" s="1481" t="str">
        <f t="shared" si="22"/>
        <v/>
      </c>
      <c r="EX618" s="1482"/>
      <c r="EY618" s="1482"/>
      <c r="EZ618" s="1482"/>
      <c r="FA618" s="1483"/>
    </row>
    <row r="619" spans="1:157" ht="13.15" customHeight="1">
      <c r="AZ619" s="3"/>
      <c r="BA619" s="3"/>
      <c r="BB619" s="3"/>
      <c r="BC619" s="3"/>
      <c r="BD619" s="3"/>
      <c r="BE619" s="1481">
        <f t="shared" si="1"/>
        <v>0</v>
      </c>
      <c r="BF619" s="1483"/>
      <c r="BG619" s="1500">
        <f t="shared" si="2"/>
        <v>0</v>
      </c>
      <c r="BH619" s="1501"/>
      <c r="BI619" s="1481">
        <f t="shared" si="3"/>
        <v>0</v>
      </c>
      <c r="BJ619" s="1483"/>
      <c r="BK619" s="1500">
        <f t="shared" si="4"/>
        <v>0</v>
      </c>
      <c r="BL619" s="1501"/>
      <c r="BM619" s="3"/>
      <c r="BN619" s="1485">
        <f t="shared" si="5"/>
        <v>0</v>
      </c>
      <c r="BO619" s="1486"/>
      <c r="BP619" s="1486"/>
      <c r="BQ619" s="1486"/>
      <c r="BR619" s="1487"/>
      <c r="BS619" s="1484">
        <f t="shared" si="6"/>
        <v>0</v>
      </c>
      <c r="BT619" s="1484"/>
      <c r="BU619" s="1484"/>
      <c r="BV619" s="1484"/>
      <c r="BW619" s="1484"/>
      <c r="BX619" s="1484">
        <f t="shared" si="7"/>
        <v>0</v>
      </c>
      <c r="BY619" s="1484"/>
      <c r="BZ619" s="1484"/>
      <c r="CA619" s="1484"/>
      <c r="CB619" s="1484"/>
      <c r="CC619" s="1484">
        <f t="shared" si="8"/>
        <v>0</v>
      </c>
      <c r="CD619" s="1484"/>
      <c r="CE619" s="1484"/>
      <c r="CF619" s="1484"/>
      <c r="CG619" s="1484"/>
      <c r="CH619" s="1484">
        <f t="shared" si="9"/>
        <v>0</v>
      </c>
      <c r="CI619" s="1484"/>
      <c r="CJ619" s="1484"/>
      <c r="CK619" s="1484"/>
      <c r="CL619" s="1484"/>
      <c r="CM619" s="1484">
        <f t="shared" si="10"/>
        <v>0</v>
      </c>
      <c r="CN619" s="1484"/>
      <c r="CO619" s="1484"/>
      <c r="CP619" s="1484"/>
      <c r="CQ619" s="1484"/>
      <c r="CR619" s="6"/>
      <c r="CS619" s="1491">
        <f t="shared" si="11"/>
        <v>0</v>
      </c>
      <c r="CT619" s="1491"/>
      <c r="CU619" s="1491"/>
      <c r="CV619" s="1491"/>
      <c r="CW619" s="1491"/>
      <c r="CX619" s="1491">
        <f t="shared" si="12"/>
        <v>0</v>
      </c>
      <c r="CY619" s="1491"/>
      <c r="CZ619" s="1491"/>
      <c r="DA619" s="1491"/>
      <c r="DB619" s="1491"/>
      <c r="DC619" s="1491">
        <f t="shared" si="13"/>
        <v>0</v>
      </c>
      <c r="DD619" s="1491"/>
      <c r="DE619" s="1491"/>
      <c r="DF619" s="1491"/>
      <c r="DG619" s="1491"/>
      <c r="DH619" s="1491">
        <f t="shared" si="14"/>
        <v>0</v>
      </c>
      <c r="DI619" s="1491"/>
      <c r="DJ619" s="1491"/>
      <c r="DK619" s="1491"/>
      <c r="DL619" s="1491"/>
      <c r="DM619" s="1491">
        <f t="shared" si="15"/>
        <v>0</v>
      </c>
      <c r="DN619" s="1491"/>
      <c r="DO619" s="1491"/>
      <c r="DP619" s="1491"/>
      <c r="DQ619" s="1491"/>
      <c r="DR619" s="1491">
        <f t="shared" si="16"/>
        <v>0</v>
      </c>
      <c r="DS619" s="1491"/>
      <c r="DT619" s="1491"/>
      <c r="DU619" s="1491"/>
      <c r="DV619" s="1491"/>
      <c r="DX619" s="1481" t="str">
        <f t="shared" si="17"/>
        <v/>
      </c>
      <c r="DY619" s="1482"/>
      <c r="DZ619" s="1482"/>
      <c r="EA619" s="1482"/>
      <c r="EB619" s="1483"/>
      <c r="EC619" s="1481" t="str">
        <f t="shared" si="18"/>
        <v/>
      </c>
      <c r="ED619" s="1482"/>
      <c r="EE619" s="1482"/>
      <c r="EF619" s="1482"/>
      <c r="EG619" s="1483"/>
      <c r="EH619" s="1481" t="str">
        <f t="shared" si="19"/>
        <v/>
      </c>
      <c r="EI619" s="1482"/>
      <c r="EJ619" s="1482"/>
      <c r="EK619" s="1482"/>
      <c r="EL619" s="1483"/>
      <c r="EM619" s="1481" t="str">
        <f t="shared" si="20"/>
        <v/>
      </c>
      <c r="EN619" s="1482"/>
      <c r="EO619" s="1482"/>
      <c r="EP619" s="1482"/>
      <c r="EQ619" s="1483"/>
      <c r="ER619" s="1481" t="str">
        <f t="shared" si="21"/>
        <v/>
      </c>
      <c r="ES619" s="1482"/>
      <c r="ET619" s="1482"/>
      <c r="EU619" s="1482"/>
      <c r="EV619" s="1483"/>
      <c r="EW619" s="1481" t="str">
        <f t="shared" si="22"/>
        <v/>
      </c>
      <c r="EX619" s="1482"/>
      <c r="EY619" s="1482"/>
      <c r="EZ619" s="1482"/>
      <c r="FA619" s="1483"/>
    </row>
    <row r="620" spans="1:157" ht="13.15" customHeight="1">
      <c r="A620" s="2" t="s">
        <v>320</v>
      </c>
      <c r="B620" s="2"/>
      <c r="C620" s="2" t="s">
        <v>21</v>
      </c>
      <c r="AZ620" s="3"/>
      <c r="BA620" s="3"/>
      <c r="BB620" s="3"/>
      <c r="BC620" s="3"/>
      <c r="BD620" s="3"/>
      <c r="BE620" s="1481">
        <f t="shared" si="1"/>
        <v>0</v>
      </c>
      <c r="BF620" s="1483"/>
      <c r="BG620" s="1500">
        <f t="shared" si="2"/>
        <v>0</v>
      </c>
      <c r="BH620" s="1501"/>
      <c r="BI620" s="1481">
        <f t="shared" si="3"/>
        <v>0</v>
      </c>
      <c r="BJ620" s="1483"/>
      <c r="BK620" s="1500">
        <f t="shared" si="4"/>
        <v>0</v>
      </c>
      <c r="BL620" s="1501"/>
      <c r="BM620" s="3"/>
      <c r="BN620" s="1485">
        <f t="shared" si="5"/>
        <v>0</v>
      </c>
      <c r="BO620" s="1486"/>
      <c r="BP620" s="1486"/>
      <c r="BQ620" s="1486"/>
      <c r="BR620" s="1487"/>
      <c r="BS620" s="1484">
        <f t="shared" si="6"/>
        <v>0</v>
      </c>
      <c r="BT620" s="1484"/>
      <c r="BU620" s="1484"/>
      <c r="BV620" s="1484"/>
      <c r="BW620" s="1484"/>
      <c r="BX620" s="1484">
        <f t="shared" si="7"/>
        <v>0</v>
      </c>
      <c r="BY620" s="1484"/>
      <c r="BZ620" s="1484"/>
      <c r="CA620" s="1484"/>
      <c r="CB620" s="1484"/>
      <c r="CC620" s="1484">
        <f t="shared" si="8"/>
        <v>0</v>
      </c>
      <c r="CD620" s="1484"/>
      <c r="CE620" s="1484"/>
      <c r="CF620" s="1484"/>
      <c r="CG620" s="1484"/>
      <c r="CH620" s="1484">
        <f t="shared" si="9"/>
        <v>0</v>
      </c>
      <c r="CI620" s="1484"/>
      <c r="CJ620" s="1484"/>
      <c r="CK620" s="1484"/>
      <c r="CL620" s="1484"/>
      <c r="CM620" s="1484">
        <f t="shared" si="10"/>
        <v>0</v>
      </c>
      <c r="CN620" s="1484"/>
      <c r="CO620" s="1484"/>
      <c r="CP620" s="1484"/>
      <c r="CQ620" s="1484"/>
      <c r="CR620" s="6"/>
      <c r="CS620" s="1491">
        <f t="shared" si="11"/>
        <v>0</v>
      </c>
      <c r="CT620" s="1491"/>
      <c r="CU620" s="1491"/>
      <c r="CV620" s="1491"/>
      <c r="CW620" s="1491"/>
      <c r="CX620" s="1491">
        <f t="shared" si="12"/>
        <v>0</v>
      </c>
      <c r="CY620" s="1491"/>
      <c r="CZ620" s="1491"/>
      <c r="DA620" s="1491"/>
      <c r="DB620" s="1491"/>
      <c r="DC620" s="1491">
        <f t="shared" si="13"/>
        <v>0</v>
      </c>
      <c r="DD620" s="1491"/>
      <c r="DE620" s="1491"/>
      <c r="DF620" s="1491"/>
      <c r="DG620" s="1491"/>
      <c r="DH620" s="1491">
        <f t="shared" si="14"/>
        <v>0</v>
      </c>
      <c r="DI620" s="1491"/>
      <c r="DJ620" s="1491"/>
      <c r="DK620" s="1491"/>
      <c r="DL620" s="1491"/>
      <c r="DM620" s="1491">
        <f t="shared" si="15"/>
        <v>0</v>
      </c>
      <c r="DN620" s="1491"/>
      <c r="DO620" s="1491"/>
      <c r="DP620" s="1491"/>
      <c r="DQ620" s="1491"/>
      <c r="DR620" s="1491">
        <f t="shared" si="16"/>
        <v>0</v>
      </c>
      <c r="DS620" s="1491"/>
      <c r="DT620" s="1491"/>
      <c r="DU620" s="1491"/>
      <c r="DV620" s="1491"/>
      <c r="DX620" s="1481" t="str">
        <f t="shared" si="17"/>
        <v/>
      </c>
      <c r="DY620" s="1482"/>
      <c r="DZ620" s="1482"/>
      <c r="EA620" s="1482"/>
      <c r="EB620" s="1483"/>
      <c r="EC620" s="1481" t="str">
        <f t="shared" si="18"/>
        <v/>
      </c>
      <c r="ED620" s="1482"/>
      <c r="EE620" s="1482"/>
      <c r="EF620" s="1482"/>
      <c r="EG620" s="1483"/>
      <c r="EH620" s="1481" t="str">
        <f t="shared" si="19"/>
        <v/>
      </c>
      <c r="EI620" s="1482"/>
      <c r="EJ620" s="1482"/>
      <c r="EK620" s="1482"/>
      <c r="EL620" s="1483"/>
      <c r="EM620" s="1481" t="str">
        <f t="shared" si="20"/>
        <v/>
      </c>
      <c r="EN620" s="1482"/>
      <c r="EO620" s="1482"/>
      <c r="EP620" s="1482"/>
      <c r="EQ620" s="1483"/>
      <c r="ER620" s="1481" t="str">
        <f t="shared" si="21"/>
        <v/>
      </c>
      <c r="ES620" s="1482"/>
      <c r="ET620" s="1482"/>
      <c r="EU620" s="1482"/>
      <c r="EV620" s="1483"/>
      <c r="EW620" s="1481" t="str">
        <f t="shared" si="22"/>
        <v/>
      </c>
      <c r="EX620" s="1482"/>
      <c r="EY620" s="1482"/>
      <c r="EZ620" s="1482"/>
      <c r="FA620" s="1483"/>
    </row>
    <row r="621" spans="1:157" ht="13.15" customHeight="1">
      <c r="A621" s="2"/>
      <c r="B621" s="2"/>
      <c r="C621" s="2"/>
      <c r="AZ621" s="3"/>
      <c r="BA621" s="3"/>
      <c r="BB621" s="3"/>
      <c r="BC621" s="3"/>
      <c r="BD621" s="3"/>
      <c r="BE621" s="1481">
        <f t="shared" si="1"/>
        <v>0</v>
      </c>
      <c r="BF621" s="1483"/>
      <c r="BG621" s="1500">
        <f t="shared" si="2"/>
        <v>0</v>
      </c>
      <c r="BH621" s="1501"/>
      <c r="BI621" s="1481">
        <f t="shared" si="3"/>
        <v>0</v>
      </c>
      <c r="BJ621" s="1483"/>
      <c r="BK621" s="1500">
        <f t="shared" si="4"/>
        <v>0</v>
      </c>
      <c r="BL621" s="1501"/>
      <c r="BM621" s="3"/>
      <c r="BN621" s="1485">
        <f t="shared" si="5"/>
        <v>0</v>
      </c>
      <c r="BO621" s="1486"/>
      <c r="BP621" s="1486"/>
      <c r="BQ621" s="1486"/>
      <c r="BR621" s="1487"/>
      <c r="BS621" s="1484">
        <f t="shared" si="6"/>
        <v>0</v>
      </c>
      <c r="BT621" s="1484"/>
      <c r="BU621" s="1484"/>
      <c r="BV621" s="1484"/>
      <c r="BW621" s="1484"/>
      <c r="BX621" s="1484">
        <f t="shared" si="7"/>
        <v>0</v>
      </c>
      <c r="BY621" s="1484"/>
      <c r="BZ621" s="1484"/>
      <c r="CA621" s="1484"/>
      <c r="CB621" s="1484"/>
      <c r="CC621" s="1484">
        <f t="shared" si="8"/>
        <v>0</v>
      </c>
      <c r="CD621" s="1484"/>
      <c r="CE621" s="1484"/>
      <c r="CF621" s="1484"/>
      <c r="CG621" s="1484"/>
      <c r="CH621" s="1484">
        <f t="shared" si="9"/>
        <v>0</v>
      </c>
      <c r="CI621" s="1484"/>
      <c r="CJ621" s="1484"/>
      <c r="CK621" s="1484"/>
      <c r="CL621" s="1484"/>
      <c r="CM621" s="1484">
        <f t="shared" si="10"/>
        <v>0</v>
      </c>
      <c r="CN621" s="1484"/>
      <c r="CO621" s="1484"/>
      <c r="CP621" s="1484"/>
      <c r="CQ621" s="1484"/>
      <c r="CR621" s="6"/>
      <c r="CS621" s="1491">
        <f t="shared" si="11"/>
        <v>0</v>
      </c>
      <c r="CT621" s="1491"/>
      <c r="CU621" s="1491"/>
      <c r="CV621" s="1491"/>
      <c r="CW621" s="1491"/>
      <c r="CX621" s="1491">
        <f t="shared" si="12"/>
        <v>0</v>
      </c>
      <c r="CY621" s="1491"/>
      <c r="CZ621" s="1491"/>
      <c r="DA621" s="1491"/>
      <c r="DB621" s="1491"/>
      <c r="DC621" s="1491">
        <f t="shared" si="13"/>
        <v>0</v>
      </c>
      <c r="DD621" s="1491"/>
      <c r="DE621" s="1491"/>
      <c r="DF621" s="1491"/>
      <c r="DG621" s="1491"/>
      <c r="DH621" s="1491">
        <f t="shared" si="14"/>
        <v>0</v>
      </c>
      <c r="DI621" s="1491"/>
      <c r="DJ621" s="1491"/>
      <c r="DK621" s="1491"/>
      <c r="DL621" s="1491"/>
      <c r="DM621" s="1491">
        <f t="shared" si="15"/>
        <v>0</v>
      </c>
      <c r="DN621" s="1491"/>
      <c r="DO621" s="1491"/>
      <c r="DP621" s="1491"/>
      <c r="DQ621" s="1491"/>
      <c r="DR621" s="1491">
        <f t="shared" si="16"/>
        <v>0</v>
      </c>
      <c r="DS621" s="1491"/>
      <c r="DT621" s="1491"/>
      <c r="DU621" s="1491"/>
      <c r="DV621" s="1491"/>
      <c r="DX621" s="1481" t="str">
        <f t="shared" si="17"/>
        <v/>
      </c>
      <c r="DY621" s="1482"/>
      <c r="DZ621" s="1482"/>
      <c r="EA621" s="1482"/>
      <c r="EB621" s="1483"/>
      <c r="EC621" s="1481" t="str">
        <f t="shared" si="18"/>
        <v/>
      </c>
      <c r="ED621" s="1482"/>
      <c r="EE621" s="1482"/>
      <c r="EF621" s="1482"/>
      <c r="EG621" s="1483"/>
      <c r="EH621" s="1481" t="str">
        <f t="shared" si="19"/>
        <v/>
      </c>
      <c r="EI621" s="1482"/>
      <c r="EJ621" s="1482"/>
      <c r="EK621" s="1482"/>
      <c r="EL621" s="1483"/>
      <c r="EM621" s="1481" t="str">
        <f t="shared" si="20"/>
        <v/>
      </c>
      <c r="EN621" s="1482"/>
      <c r="EO621" s="1482"/>
      <c r="EP621" s="1482"/>
      <c r="EQ621" s="1483"/>
      <c r="ER621" s="1481" t="str">
        <f t="shared" si="21"/>
        <v/>
      </c>
      <c r="ES621" s="1482"/>
      <c r="ET621" s="1482"/>
      <c r="EU621" s="1482"/>
      <c r="EV621" s="1483"/>
      <c r="EW621" s="1481" t="str">
        <f t="shared" si="22"/>
        <v/>
      </c>
      <c r="EX621" s="1482"/>
      <c r="EY621" s="1482"/>
      <c r="EZ621" s="1482"/>
      <c r="FA621" s="1483"/>
    </row>
    <row r="622" spans="1:157" ht="13.15" customHeight="1">
      <c r="C622" s="2" t="s">
        <v>2418</v>
      </c>
      <c r="AZ622" s="3"/>
      <c r="BA622" s="3"/>
      <c r="BB622" s="3"/>
      <c r="BC622" s="3"/>
      <c r="BD622" s="3"/>
      <c r="BE622" s="1481">
        <f t="shared" si="1"/>
        <v>0</v>
      </c>
      <c r="BF622" s="1483"/>
      <c r="BG622" s="1500">
        <f t="shared" si="2"/>
        <v>0</v>
      </c>
      <c r="BH622" s="1501"/>
      <c r="BI622" s="1481">
        <f t="shared" si="3"/>
        <v>0</v>
      </c>
      <c r="BJ622" s="1483"/>
      <c r="BK622" s="1500">
        <f t="shared" si="4"/>
        <v>0</v>
      </c>
      <c r="BL622" s="1501"/>
      <c r="BM622" s="3"/>
      <c r="BN622" s="1485">
        <f t="shared" si="5"/>
        <v>0</v>
      </c>
      <c r="BO622" s="1486"/>
      <c r="BP622" s="1486"/>
      <c r="BQ622" s="1486"/>
      <c r="BR622" s="1487"/>
      <c r="BS622" s="1484">
        <f t="shared" si="6"/>
        <v>0</v>
      </c>
      <c r="BT622" s="1484"/>
      <c r="BU622" s="1484"/>
      <c r="BV622" s="1484"/>
      <c r="BW622" s="1484"/>
      <c r="BX622" s="1484">
        <f t="shared" si="7"/>
        <v>0</v>
      </c>
      <c r="BY622" s="1484"/>
      <c r="BZ622" s="1484"/>
      <c r="CA622" s="1484"/>
      <c r="CB622" s="1484"/>
      <c r="CC622" s="1484">
        <f t="shared" si="8"/>
        <v>0</v>
      </c>
      <c r="CD622" s="1484"/>
      <c r="CE622" s="1484"/>
      <c r="CF622" s="1484"/>
      <c r="CG622" s="1484"/>
      <c r="CH622" s="1484">
        <f t="shared" si="9"/>
        <v>0</v>
      </c>
      <c r="CI622" s="1484"/>
      <c r="CJ622" s="1484"/>
      <c r="CK622" s="1484"/>
      <c r="CL622" s="1484"/>
      <c r="CM622" s="1484">
        <f t="shared" si="10"/>
        <v>0</v>
      </c>
      <c r="CN622" s="1484"/>
      <c r="CO622" s="1484"/>
      <c r="CP622" s="1484"/>
      <c r="CQ622" s="1484"/>
      <c r="CR622" s="6"/>
      <c r="CS622" s="1491">
        <f t="shared" si="11"/>
        <v>0</v>
      </c>
      <c r="CT622" s="1491"/>
      <c r="CU622" s="1491"/>
      <c r="CV622" s="1491"/>
      <c r="CW622" s="1491"/>
      <c r="CX622" s="1491">
        <f t="shared" si="12"/>
        <v>0</v>
      </c>
      <c r="CY622" s="1491"/>
      <c r="CZ622" s="1491"/>
      <c r="DA622" s="1491"/>
      <c r="DB622" s="1491"/>
      <c r="DC622" s="1491">
        <f t="shared" si="13"/>
        <v>0</v>
      </c>
      <c r="DD622" s="1491"/>
      <c r="DE622" s="1491"/>
      <c r="DF622" s="1491"/>
      <c r="DG622" s="1491"/>
      <c r="DH622" s="1491">
        <f t="shared" si="14"/>
        <v>0</v>
      </c>
      <c r="DI622" s="1491"/>
      <c r="DJ622" s="1491"/>
      <c r="DK622" s="1491"/>
      <c r="DL622" s="1491"/>
      <c r="DM622" s="1491">
        <f t="shared" si="15"/>
        <v>0</v>
      </c>
      <c r="DN622" s="1491"/>
      <c r="DO622" s="1491"/>
      <c r="DP622" s="1491"/>
      <c r="DQ622" s="1491"/>
      <c r="DR622" s="1491">
        <f t="shared" si="16"/>
        <v>0</v>
      </c>
      <c r="DS622" s="1491"/>
      <c r="DT622" s="1491"/>
      <c r="DU622" s="1491"/>
      <c r="DV622" s="1491"/>
      <c r="DX622" s="1481" t="str">
        <f t="shared" si="17"/>
        <v/>
      </c>
      <c r="DY622" s="1482"/>
      <c r="DZ622" s="1482"/>
      <c r="EA622" s="1482"/>
      <c r="EB622" s="1483"/>
      <c r="EC622" s="1481" t="str">
        <f t="shared" si="18"/>
        <v/>
      </c>
      <c r="ED622" s="1482"/>
      <c r="EE622" s="1482"/>
      <c r="EF622" s="1482"/>
      <c r="EG622" s="1483"/>
      <c r="EH622" s="1481" t="str">
        <f t="shared" si="19"/>
        <v/>
      </c>
      <c r="EI622" s="1482"/>
      <c r="EJ622" s="1482"/>
      <c r="EK622" s="1482"/>
      <c r="EL622" s="1483"/>
      <c r="EM622" s="1481" t="str">
        <f t="shared" si="20"/>
        <v/>
      </c>
      <c r="EN622" s="1482"/>
      <c r="EO622" s="1482"/>
      <c r="EP622" s="1482"/>
      <c r="EQ622" s="1483"/>
      <c r="ER622" s="1481" t="str">
        <f t="shared" si="21"/>
        <v/>
      </c>
      <c r="ES622" s="1482"/>
      <c r="ET622" s="1482"/>
      <c r="EU622" s="1482"/>
      <c r="EV622" s="1483"/>
      <c r="EW622" s="1481" t="str">
        <f t="shared" si="22"/>
        <v/>
      </c>
      <c r="EX622" s="1482"/>
      <c r="EY622" s="1482"/>
      <c r="EZ622" s="1482"/>
      <c r="FA622" s="1483"/>
    </row>
    <row r="623" spans="1:157" ht="13.15" customHeight="1">
      <c r="B623" s="546"/>
      <c r="C623" s="2"/>
      <c r="AU623" s="3"/>
      <c r="AZ623" s="3"/>
      <c r="BA623" s="3"/>
      <c r="BB623" s="3"/>
      <c r="BC623" s="3"/>
      <c r="BD623" s="3"/>
      <c r="BE623" s="1481">
        <f t="shared" si="1"/>
        <v>0</v>
      </c>
      <c r="BF623" s="1483"/>
      <c r="BG623" s="1500">
        <f t="shared" si="2"/>
        <v>0</v>
      </c>
      <c r="BH623" s="1501"/>
      <c r="BI623" s="1481">
        <f t="shared" si="3"/>
        <v>0</v>
      </c>
      <c r="BJ623" s="1483"/>
      <c r="BK623" s="1500">
        <f t="shared" si="4"/>
        <v>0</v>
      </c>
      <c r="BL623" s="1501"/>
      <c r="BM623" s="3"/>
      <c r="BN623" s="1485">
        <f t="shared" si="5"/>
        <v>0</v>
      </c>
      <c r="BO623" s="1486"/>
      <c r="BP623" s="1486"/>
      <c r="BQ623" s="1486"/>
      <c r="BR623" s="1487"/>
      <c r="BS623" s="1484">
        <f t="shared" si="6"/>
        <v>0</v>
      </c>
      <c r="BT623" s="1484"/>
      <c r="BU623" s="1484"/>
      <c r="BV623" s="1484"/>
      <c r="BW623" s="1484"/>
      <c r="BX623" s="1484">
        <f t="shared" si="7"/>
        <v>0</v>
      </c>
      <c r="BY623" s="1484"/>
      <c r="BZ623" s="1484"/>
      <c r="CA623" s="1484"/>
      <c r="CB623" s="1484"/>
      <c r="CC623" s="1484">
        <f t="shared" si="8"/>
        <v>0</v>
      </c>
      <c r="CD623" s="1484"/>
      <c r="CE623" s="1484"/>
      <c r="CF623" s="1484"/>
      <c r="CG623" s="1484"/>
      <c r="CH623" s="1484">
        <f t="shared" si="9"/>
        <v>0</v>
      </c>
      <c r="CI623" s="1484"/>
      <c r="CJ623" s="1484"/>
      <c r="CK623" s="1484"/>
      <c r="CL623" s="1484"/>
      <c r="CM623" s="1484">
        <f t="shared" si="10"/>
        <v>0</v>
      </c>
      <c r="CN623" s="1484"/>
      <c r="CO623" s="1484"/>
      <c r="CP623" s="1484"/>
      <c r="CQ623" s="1484"/>
      <c r="CR623" s="6"/>
      <c r="CS623" s="1491">
        <f t="shared" si="11"/>
        <v>0</v>
      </c>
      <c r="CT623" s="1491"/>
      <c r="CU623" s="1491"/>
      <c r="CV623" s="1491"/>
      <c r="CW623" s="1491"/>
      <c r="CX623" s="1491">
        <f t="shared" si="12"/>
        <v>0</v>
      </c>
      <c r="CY623" s="1491"/>
      <c r="CZ623" s="1491"/>
      <c r="DA623" s="1491"/>
      <c r="DB623" s="1491"/>
      <c r="DC623" s="1491">
        <f t="shared" si="13"/>
        <v>0</v>
      </c>
      <c r="DD623" s="1491"/>
      <c r="DE623" s="1491"/>
      <c r="DF623" s="1491"/>
      <c r="DG623" s="1491"/>
      <c r="DH623" s="1491">
        <f t="shared" si="14"/>
        <v>0</v>
      </c>
      <c r="DI623" s="1491"/>
      <c r="DJ623" s="1491"/>
      <c r="DK623" s="1491"/>
      <c r="DL623" s="1491"/>
      <c r="DM623" s="1491">
        <f t="shared" si="15"/>
        <v>0</v>
      </c>
      <c r="DN623" s="1491"/>
      <c r="DO623" s="1491"/>
      <c r="DP623" s="1491"/>
      <c r="DQ623" s="1491"/>
      <c r="DR623" s="1491">
        <f t="shared" si="16"/>
        <v>0</v>
      </c>
      <c r="DS623" s="1491"/>
      <c r="DT623" s="1491"/>
      <c r="DU623" s="1491"/>
      <c r="DV623" s="1491"/>
      <c r="DX623" s="1481" t="str">
        <f t="shared" si="17"/>
        <v/>
      </c>
      <c r="DY623" s="1482"/>
      <c r="DZ623" s="1482"/>
      <c r="EA623" s="1482"/>
      <c r="EB623" s="1483"/>
      <c r="EC623" s="1481" t="str">
        <f t="shared" si="18"/>
        <v/>
      </c>
      <c r="ED623" s="1482"/>
      <c r="EE623" s="1482"/>
      <c r="EF623" s="1482"/>
      <c r="EG623" s="1483"/>
      <c r="EH623" s="1481" t="str">
        <f t="shared" si="19"/>
        <v/>
      </c>
      <c r="EI623" s="1482"/>
      <c r="EJ623" s="1482"/>
      <c r="EK623" s="1482"/>
      <c r="EL623" s="1483"/>
      <c r="EM623" s="1481" t="str">
        <f t="shared" si="20"/>
        <v/>
      </c>
      <c r="EN623" s="1482"/>
      <c r="EO623" s="1482"/>
      <c r="EP623" s="1482"/>
      <c r="EQ623" s="1483"/>
      <c r="ER623" s="1481" t="str">
        <f t="shared" si="21"/>
        <v/>
      </c>
      <c r="ES623" s="1482"/>
      <c r="ET623" s="1482"/>
      <c r="EU623" s="1482"/>
      <c r="EV623" s="1483"/>
      <c r="EW623" s="1481" t="str">
        <f t="shared" si="22"/>
        <v/>
      </c>
      <c r="EX623" s="1482"/>
      <c r="EY623" s="1482"/>
      <c r="EZ623" s="1482"/>
      <c r="FA623" s="1483"/>
    </row>
    <row r="624" spans="1:157" ht="13.15" customHeight="1">
      <c r="B624" s="1830" t="s">
        <v>2420</v>
      </c>
      <c r="C624" s="1830"/>
      <c r="D624" s="1830"/>
      <c r="E624" s="1830"/>
      <c r="F624" s="1830"/>
      <c r="G624" s="1830"/>
      <c r="H624" s="1830"/>
      <c r="I624" s="1830"/>
      <c r="J624" s="1830"/>
      <c r="K624" s="1830"/>
      <c r="L624" s="1830"/>
      <c r="M624" s="1499" t="s">
        <v>2421</v>
      </c>
      <c r="N624" s="1499"/>
      <c r="O624" s="1499"/>
      <c r="P624" s="1499"/>
      <c r="Q624" s="1499" t="s">
        <v>2042</v>
      </c>
      <c r="R624" s="1499"/>
      <c r="S624" s="1499"/>
      <c r="T624" s="1499" t="s">
        <v>2040</v>
      </c>
      <c r="U624" s="1499"/>
      <c r="V624" s="1499"/>
      <c r="W624" s="1466" t="s">
        <v>461</v>
      </c>
      <c r="X624" s="1466"/>
      <c r="Y624" s="1466"/>
      <c r="Z624" s="1493" t="s">
        <v>2450</v>
      </c>
      <c r="AA624" s="1493"/>
      <c r="AB624" s="1494"/>
      <c r="AC624" s="1706" t="s">
        <v>1863</v>
      </c>
      <c r="AD624" s="1707"/>
      <c r="AE624" s="1708"/>
      <c r="AF624" s="1694" t="s">
        <v>2229</v>
      </c>
      <c r="AG624" s="1493"/>
      <c r="AH624" s="1493"/>
      <c r="AI624" s="1493"/>
      <c r="AJ624" s="1494"/>
      <c r="AK624" s="1697" t="s">
        <v>2230</v>
      </c>
      <c r="AL624" s="1698"/>
      <c r="AM624" s="1698"/>
      <c r="AN624" s="1699"/>
      <c r="AO624" s="1499" t="s">
        <v>462</v>
      </c>
      <c r="AP624" s="1499"/>
      <c r="AQ624" s="1499"/>
      <c r="AR624" s="1499"/>
      <c r="AS624" s="1499"/>
      <c r="AU624" s="3"/>
      <c r="AZ624" s="3"/>
      <c r="BA624" s="3"/>
      <c r="BB624" s="3"/>
      <c r="BC624" s="3"/>
      <c r="BD624" s="3"/>
      <c r="BE624" s="1481">
        <f t="shared" si="1"/>
        <v>0</v>
      </c>
      <c r="BF624" s="1483"/>
      <c r="BG624" s="1500">
        <f t="shared" si="2"/>
        <v>0</v>
      </c>
      <c r="BH624" s="1501"/>
      <c r="BI624" s="1481">
        <f t="shared" si="3"/>
        <v>0</v>
      </c>
      <c r="BJ624" s="1483"/>
      <c r="BK624" s="1500">
        <f t="shared" si="4"/>
        <v>0</v>
      </c>
      <c r="BL624" s="1501"/>
      <c r="BM624" s="3"/>
      <c r="BN624" s="1485">
        <f t="shared" si="5"/>
        <v>0</v>
      </c>
      <c r="BO624" s="1486"/>
      <c r="BP624" s="1486"/>
      <c r="BQ624" s="1486"/>
      <c r="BR624" s="1487"/>
      <c r="BS624" s="1484">
        <f t="shared" si="6"/>
        <v>0</v>
      </c>
      <c r="BT624" s="1484"/>
      <c r="BU624" s="1484"/>
      <c r="BV624" s="1484"/>
      <c r="BW624" s="1484"/>
      <c r="BX624" s="1484">
        <f t="shared" si="7"/>
        <v>0</v>
      </c>
      <c r="BY624" s="1484"/>
      <c r="BZ624" s="1484"/>
      <c r="CA624" s="1484"/>
      <c r="CB624" s="1484"/>
      <c r="CC624" s="1484">
        <f t="shared" si="8"/>
        <v>0</v>
      </c>
      <c r="CD624" s="1484"/>
      <c r="CE624" s="1484"/>
      <c r="CF624" s="1484"/>
      <c r="CG624" s="1484"/>
      <c r="CH624" s="1484">
        <f t="shared" si="9"/>
        <v>0</v>
      </c>
      <c r="CI624" s="1484"/>
      <c r="CJ624" s="1484"/>
      <c r="CK624" s="1484"/>
      <c r="CL624" s="1484"/>
      <c r="CM624" s="1484">
        <f t="shared" si="10"/>
        <v>0</v>
      </c>
      <c r="CN624" s="1484"/>
      <c r="CO624" s="1484"/>
      <c r="CP624" s="1484"/>
      <c r="CQ624" s="1484"/>
      <c r="CR624" s="6"/>
      <c r="CS624" s="1491">
        <f t="shared" si="11"/>
        <v>0</v>
      </c>
      <c r="CT624" s="1491"/>
      <c r="CU624" s="1491"/>
      <c r="CV624" s="1491"/>
      <c r="CW624" s="1491"/>
      <c r="CX624" s="1491">
        <f t="shared" si="12"/>
        <v>0</v>
      </c>
      <c r="CY624" s="1491"/>
      <c r="CZ624" s="1491"/>
      <c r="DA624" s="1491"/>
      <c r="DB624" s="1491"/>
      <c r="DC624" s="1491">
        <f t="shared" si="13"/>
        <v>0</v>
      </c>
      <c r="DD624" s="1491"/>
      <c r="DE624" s="1491"/>
      <c r="DF624" s="1491"/>
      <c r="DG624" s="1491"/>
      <c r="DH624" s="1491">
        <f t="shared" si="14"/>
        <v>0</v>
      </c>
      <c r="DI624" s="1491"/>
      <c r="DJ624" s="1491"/>
      <c r="DK624" s="1491"/>
      <c r="DL624" s="1491"/>
      <c r="DM624" s="1491">
        <f t="shared" si="15"/>
        <v>0</v>
      </c>
      <c r="DN624" s="1491"/>
      <c r="DO624" s="1491"/>
      <c r="DP624" s="1491"/>
      <c r="DQ624" s="1491"/>
      <c r="DR624" s="1491">
        <f t="shared" si="16"/>
        <v>0</v>
      </c>
      <c r="DS624" s="1491"/>
      <c r="DT624" s="1491"/>
      <c r="DU624" s="1491"/>
      <c r="DV624" s="1491"/>
      <c r="DX624" s="1481" t="str">
        <f t="shared" si="17"/>
        <v/>
      </c>
      <c r="DY624" s="1482"/>
      <c r="DZ624" s="1482"/>
      <c r="EA624" s="1482"/>
      <c r="EB624" s="1483"/>
      <c r="EC624" s="1481" t="str">
        <f t="shared" si="18"/>
        <v/>
      </c>
      <c r="ED624" s="1482"/>
      <c r="EE624" s="1482"/>
      <c r="EF624" s="1482"/>
      <c r="EG624" s="1483"/>
      <c r="EH624" s="1481" t="str">
        <f t="shared" si="19"/>
        <v/>
      </c>
      <c r="EI624" s="1482"/>
      <c r="EJ624" s="1482"/>
      <c r="EK624" s="1482"/>
      <c r="EL624" s="1483"/>
      <c r="EM624" s="1481" t="str">
        <f t="shared" si="20"/>
        <v/>
      </c>
      <c r="EN624" s="1482"/>
      <c r="EO624" s="1482"/>
      <c r="EP624" s="1482"/>
      <c r="EQ624" s="1483"/>
      <c r="ER624" s="1481" t="str">
        <f t="shared" si="21"/>
        <v/>
      </c>
      <c r="ES624" s="1482"/>
      <c r="ET624" s="1482"/>
      <c r="EU624" s="1482"/>
      <c r="EV624" s="1483"/>
      <c r="EW624" s="1481" t="str">
        <f t="shared" si="22"/>
        <v/>
      </c>
      <c r="EX624" s="1482"/>
      <c r="EY624" s="1482"/>
      <c r="EZ624" s="1482"/>
      <c r="FA624" s="1483"/>
    </row>
    <row r="625" spans="2:157" ht="13.15" customHeight="1">
      <c r="B625" s="1830"/>
      <c r="C625" s="1830"/>
      <c r="D625" s="1830"/>
      <c r="E625" s="1830"/>
      <c r="F625" s="1830"/>
      <c r="G625" s="1830"/>
      <c r="H625" s="1830"/>
      <c r="I625" s="1830"/>
      <c r="J625" s="1830"/>
      <c r="K625" s="1830"/>
      <c r="L625" s="1830"/>
      <c r="M625" s="1499"/>
      <c r="N625" s="1499"/>
      <c r="O625" s="1499"/>
      <c r="P625" s="1499"/>
      <c r="Q625" s="1499"/>
      <c r="R625" s="1499"/>
      <c r="S625" s="1499"/>
      <c r="T625" s="1499"/>
      <c r="U625" s="1499"/>
      <c r="V625" s="1499"/>
      <c r="W625" s="1466"/>
      <c r="X625" s="1466"/>
      <c r="Y625" s="1466"/>
      <c r="Z625" s="1495"/>
      <c r="AA625" s="1495"/>
      <c r="AB625" s="1496"/>
      <c r="AC625" s="1709"/>
      <c r="AD625" s="1710"/>
      <c r="AE625" s="1711"/>
      <c r="AF625" s="1695"/>
      <c r="AG625" s="1495"/>
      <c r="AH625" s="1495"/>
      <c r="AI625" s="1495"/>
      <c r="AJ625" s="1496"/>
      <c r="AK625" s="1700"/>
      <c r="AL625" s="1701"/>
      <c r="AM625" s="1701"/>
      <c r="AN625" s="1702"/>
      <c r="AO625" s="1499"/>
      <c r="AP625" s="1499"/>
      <c r="AQ625" s="1499"/>
      <c r="AR625" s="1499"/>
      <c r="AS625" s="1499"/>
      <c r="AU625" s="3"/>
      <c r="AZ625" s="3"/>
      <c r="BA625" s="3"/>
      <c r="BB625" s="3"/>
      <c r="BC625" s="3"/>
      <c r="BD625" s="3"/>
      <c r="BE625" s="1481">
        <f t="shared" si="1"/>
        <v>0</v>
      </c>
      <c r="BF625" s="1483"/>
      <c r="BG625" s="1500">
        <f t="shared" si="2"/>
        <v>0</v>
      </c>
      <c r="BH625" s="1501"/>
      <c r="BI625" s="1481">
        <f t="shared" si="3"/>
        <v>0</v>
      </c>
      <c r="BJ625" s="1483"/>
      <c r="BK625" s="1500">
        <f t="shared" si="4"/>
        <v>0</v>
      </c>
      <c r="BL625" s="1501"/>
      <c r="BM625" s="3"/>
      <c r="BN625" s="1485">
        <f t="shared" si="5"/>
        <v>0</v>
      </c>
      <c r="BO625" s="1486"/>
      <c r="BP625" s="1486"/>
      <c r="BQ625" s="1486"/>
      <c r="BR625" s="1487"/>
      <c r="BS625" s="1484">
        <f t="shared" si="6"/>
        <v>0</v>
      </c>
      <c r="BT625" s="1484"/>
      <c r="BU625" s="1484"/>
      <c r="BV625" s="1484"/>
      <c r="BW625" s="1484"/>
      <c r="BX625" s="1484">
        <f t="shared" si="7"/>
        <v>0</v>
      </c>
      <c r="BY625" s="1484"/>
      <c r="BZ625" s="1484"/>
      <c r="CA625" s="1484"/>
      <c r="CB625" s="1484"/>
      <c r="CC625" s="1484">
        <f t="shared" si="8"/>
        <v>0</v>
      </c>
      <c r="CD625" s="1484"/>
      <c r="CE625" s="1484"/>
      <c r="CF625" s="1484"/>
      <c r="CG625" s="1484"/>
      <c r="CH625" s="1484">
        <f t="shared" si="9"/>
        <v>0</v>
      </c>
      <c r="CI625" s="1484"/>
      <c r="CJ625" s="1484"/>
      <c r="CK625" s="1484"/>
      <c r="CL625" s="1484"/>
      <c r="CM625" s="1484">
        <f t="shared" si="10"/>
        <v>0</v>
      </c>
      <c r="CN625" s="1484"/>
      <c r="CO625" s="1484"/>
      <c r="CP625" s="1484"/>
      <c r="CQ625" s="1484"/>
      <c r="CR625" s="6"/>
      <c r="CS625" s="1491">
        <f t="shared" si="11"/>
        <v>0</v>
      </c>
      <c r="CT625" s="1491"/>
      <c r="CU625" s="1491"/>
      <c r="CV625" s="1491"/>
      <c r="CW625" s="1491"/>
      <c r="CX625" s="1491">
        <f t="shared" si="12"/>
        <v>0</v>
      </c>
      <c r="CY625" s="1491"/>
      <c r="CZ625" s="1491"/>
      <c r="DA625" s="1491"/>
      <c r="DB625" s="1491"/>
      <c r="DC625" s="1491">
        <f t="shared" si="13"/>
        <v>0</v>
      </c>
      <c r="DD625" s="1491"/>
      <c r="DE625" s="1491"/>
      <c r="DF625" s="1491"/>
      <c r="DG625" s="1491"/>
      <c r="DH625" s="1491">
        <f t="shared" si="14"/>
        <v>0</v>
      </c>
      <c r="DI625" s="1491"/>
      <c r="DJ625" s="1491"/>
      <c r="DK625" s="1491"/>
      <c r="DL625" s="1491"/>
      <c r="DM625" s="1491">
        <f t="shared" si="15"/>
        <v>0</v>
      </c>
      <c r="DN625" s="1491"/>
      <c r="DO625" s="1491"/>
      <c r="DP625" s="1491"/>
      <c r="DQ625" s="1491"/>
      <c r="DR625" s="1491">
        <f t="shared" si="16"/>
        <v>0</v>
      </c>
      <c r="DS625" s="1491"/>
      <c r="DT625" s="1491"/>
      <c r="DU625" s="1491"/>
      <c r="DV625" s="1491"/>
      <c r="DX625" s="1481" t="str">
        <f t="shared" si="17"/>
        <v/>
      </c>
      <c r="DY625" s="1482"/>
      <c r="DZ625" s="1482"/>
      <c r="EA625" s="1482"/>
      <c r="EB625" s="1483"/>
      <c r="EC625" s="1481" t="str">
        <f t="shared" si="18"/>
        <v/>
      </c>
      <c r="ED625" s="1482"/>
      <c r="EE625" s="1482"/>
      <c r="EF625" s="1482"/>
      <c r="EG625" s="1483"/>
      <c r="EH625" s="1481" t="str">
        <f t="shared" si="19"/>
        <v/>
      </c>
      <c r="EI625" s="1482"/>
      <c r="EJ625" s="1482"/>
      <c r="EK625" s="1482"/>
      <c r="EL625" s="1483"/>
      <c r="EM625" s="1481" t="str">
        <f t="shared" si="20"/>
        <v/>
      </c>
      <c r="EN625" s="1482"/>
      <c r="EO625" s="1482"/>
      <c r="EP625" s="1482"/>
      <c r="EQ625" s="1483"/>
      <c r="ER625" s="1481" t="str">
        <f t="shared" si="21"/>
        <v/>
      </c>
      <c r="ES625" s="1482"/>
      <c r="ET625" s="1482"/>
      <c r="EU625" s="1482"/>
      <c r="EV625" s="1483"/>
      <c r="EW625" s="1481" t="str">
        <f t="shared" si="22"/>
        <v/>
      </c>
      <c r="EX625" s="1482"/>
      <c r="EY625" s="1482"/>
      <c r="EZ625" s="1482"/>
      <c r="FA625" s="1483"/>
    </row>
    <row r="626" spans="2:157" ht="13.15" customHeight="1">
      <c r="B626" s="1830"/>
      <c r="C626" s="1830"/>
      <c r="D626" s="1830"/>
      <c r="E626" s="1830"/>
      <c r="F626" s="1830"/>
      <c r="G626" s="1830"/>
      <c r="H626" s="1830"/>
      <c r="I626" s="1830"/>
      <c r="J626" s="1830"/>
      <c r="K626" s="1830"/>
      <c r="L626" s="1830"/>
      <c r="M626" s="1499"/>
      <c r="N626" s="1499"/>
      <c r="O626" s="1499"/>
      <c r="P626" s="1499"/>
      <c r="Q626" s="1499"/>
      <c r="R626" s="1499"/>
      <c r="S626" s="1499"/>
      <c r="T626" s="1499"/>
      <c r="U626" s="1499"/>
      <c r="V626" s="1499"/>
      <c r="W626" s="1466"/>
      <c r="X626" s="1466"/>
      <c r="Y626" s="1466"/>
      <c r="Z626" s="1497"/>
      <c r="AA626" s="1497"/>
      <c r="AB626" s="1498"/>
      <c r="AC626" s="1712"/>
      <c r="AD626" s="1713"/>
      <c r="AE626" s="1714"/>
      <c r="AF626" s="1696"/>
      <c r="AG626" s="1497"/>
      <c r="AH626" s="1497"/>
      <c r="AI626" s="1497"/>
      <c r="AJ626" s="1498"/>
      <c r="AK626" s="1703"/>
      <c r="AL626" s="1704"/>
      <c r="AM626" s="1704"/>
      <c r="AN626" s="1705"/>
      <c r="AO626" s="1499"/>
      <c r="AP626" s="1499"/>
      <c r="AQ626" s="1499"/>
      <c r="AR626" s="1499"/>
      <c r="AS626" s="1499"/>
      <c r="AT626" s="3"/>
      <c r="AU626" s="3"/>
      <c r="AZ626" s="3"/>
      <c r="BA626" s="3"/>
      <c r="BB626" s="3"/>
      <c r="BC626" s="3"/>
      <c r="BD626" s="3"/>
      <c r="BE626" s="1481">
        <f t="shared" si="1"/>
        <v>0</v>
      </c>
      <c r="BF626" s="1483"/>
      <c r="BG626" s="1500">
        <f t="shared" si="2"/>
        <v>0</v>
      </c>
      <c r="BH626" s="1501"/>
      <c r="BI626" s="1481">
        <f t="shared" si="3"/>
        <v>0</v>
      </c>
      <c r="BJ626" s="1483"/>
      <c r="BK626" s="1500">
        <f t="shared" si="4"/>
        <v>0</v>
      </c>
      <c r="BL626" s="1501"/>
      <c r="BM626" s="3"/>
      <c r="BN626" s="1485">
        <f t="shared" si="5"/>
        <v>0</v>
      </c>
      <c r="BO626" s="1486"/>
      <c r="BP626" s="1486"/>
      <c r="BQ626" s="1486"/>
      <c r="BR626" s="1487"/>
      <c r="BS626" s="1484">
        <f t="shared" si="6"/>
        <v>0</v>
      </c>
      <c r="BT626" s="1484"/>
      <c r="BU626" s="1484"/>
      <c r="BV626" s="1484"/>
      <c r="BW626" s="1484"/>
      <c r="BX626" s="1484">
        <f t="shared" si="7"/>
        <v>0</v>
      </c>
      <c r="BY626" s="1484"/>
      <c r="BZ626" s="1484"/>
      <c r="CA626" s="1484"/>
      <c r="CB626" s="1484"/>
      <c r="CC626" s="1484">
        <f t="shared" si="8"/>
        <v>0</v>
      </c>
      <c r="CD626" s="1484"/>
      <c r="CE626" s="1484"/>
      <c r="CF626" s="1484"/>
      <c r="CG626" s="1484"/>
      <c r="CH626" s="1484">
        <f t="shared" si="9"/>
        <v>0</v>
      </c>
      <c r="CI626" s="1484"/>
      <c r="CJ626" s="1484"/>
      <c r="CK626" s="1484"/>
      <c r="CL626" s="1484"/>
      <c r="CM626" s="1484">
        <f t="shared" si="10"/>
        <v>0</v>
      </c>
      <c r="CN626" s="1484"/>
      <c r="CO626" s="1484"/>
      <c r="CP626" s="1484"/>
      <c r="CQ626" s="1484"/>
      <c r="CR626" s="6"/>
      <c r="CS626" s="1491">
        <f t="shared" si="11"/>
        <v>0</v>
      </c>
      <c r="CT626" s="1491"/>
      <c r="CU626" s="1491"/>
      <c r="CV626" s="1491"/>
      <c r="CW626" s="1491"/>
      <c r="CX626" s="1491">
        <f t="shared" si="12"/>
        <v>0</v>
      </c>
      <c r="CY626" s="1491"/>
      <c r="CZ626" s="1491"/>
      <c r="DA626" s="1491"/>
      <c r="DB626" s="1491"/>
      <c r="DC626" s="1491">
        <f t="shared" si="13"/>
        <v>0</v>
      </c>
      <c r="DD626" s="1491"/>
      <c r="DE626" s="1491"/>
      <c r="DF626" s="1491"/>
      <c r="DG626" s="1491"/>
      <c r="DH626" s="1491">
        <f t="shared" si="14"/>
        <v>0</v>
      </c>
      <c r="DI626" s="1491"/>
      <c r="DJ626" s="1491"/>
      <c r="DK626" s="1491"/>
      <c r="DL626" s="1491"/>
      <c r="DM626" s="1491">
        <f t="shared" si="15"/>
        <v>0</v>
      </c>
      <c r="DN626" s="1491"/>
      <c r="DO626" s="1491"/>
      <c r="DP626" s="1491"/>
      <c r="DQ626" s="1491"/>
      <c r="DR626" s="1491">
        <f t="shared" si="16"/>
        <v>0</v>
      </c>
      <c r="DS626" s="1491"/>
      <c r="DT626" s="1491"/>
      <c r="DU626" s="1491"/>
      <c r="DV626" s="1491"/>
      <c r="DX626" s="1481" t="str">
        <f t="shared" si="17"/>
        <v/>
      </c>
      <c r="DY626" s="1482"/>
      <c r="DZ626" s="1482"/>
      <c r="EA626" s="1482"/>
      <c r="EB626" s="1483"/>
      <c r="EC626" s="1481" t="str">
        <f t="shared" si="18"/>
        <v/>
      </c>
      <c r="ED626" s="1482"/>
      <c r="EE626" s="1482"/>
      <c r="EF626" s="1482"/>
      <c r="EG626" s="1483"/>
      <c r="EH626" s="1481" t="str">
        <f t="shared" si="19"/>
        <v/>
      </c>
      <c r="EI626" s="1482"/>
      <c r="EJ626" s="1482"/>
      <c r="EK626" s="1482"/>
      <c r="EL626" s="1483"/>
      <c r="EM626" s="1481" t="str">
        <f t="shared" si="20"/>
        <v/>
      </c>
      <c r="EN626" s="1482"/>
      <c r="EO626" s="1482"/>
      <c r="EP626" s="1482"/>
      <c r="EQ626" s="1483"/>
      <c r="ER626" s="1481" t="str">
        <f t="shared" si="21"/>
        <v/>
      </c>
      <c r="ES626" s="1482"/>
      <c r="ET626" s="1482"/>
      <c r="EU626" s="1482"/>
      <c r="EV626" s="1483"/>
      <c r="EW626" s="1481" t="str">
        <f t="shared" si="22"/>
        <v/>
      </c>
      <c r="EX626" s="1482"/>
      <c r="EY626" s="1482"/>
      <c r="EZ626" s="1482"/>
      <c r="FA626" s="1483"/>
    </row>
    <row r="627" spans="2:157" ht="13.15" customHeight="1">
      <c r="B627" s="51" t="s">
        <v>112</v>
      </c>
      <c r="C627" s="1467" t="s">
        <v>2717</v>
      </c>
      <c r="D627" s="1467"/>
      <c r="E627" s="1467"/>
      <c r="F627" s="1467"/>
      <c r="G627" s="1467"/>
      <c r="H627" s="1467"/>
      <c r="I627" s="1467"/>
      <c r="J627" s="1467"/>
      <c r="K627" s="1467"/>
      <c r="L627" s="1467"/>
      <c r="M627" s="1465" t="s">
        <v>2431</v>
      </c>
      <c r="N627" s="1465"/>
      <c r="O627" s="1465"/>
      <c r="P627" s="1465"/>
      <c r="Q627" s="1449">
        <f>17*12</f>
        <v>204</v>
      </c>
      <c r="R627" s="1449"/>
      <c r="S627" s="1450"/>
      <c r="T627" s="1448">
        <f>40*12</f>
        <v>480</v>
      </c>
      <c r="U627" s="1449"/>
      <c r="V627" s="1450"/>
      <c r="W627" s="1455">
        <v>6.25E-2</v>
      </c>
      <c r="X627" s="1456"/>
      <c r="Y627" s="1457"/>
      <c r="Z627" s="1468" t="s">
        <v>2449</v>
      </c>
      <c r="AA627" s="1469"/>
      <c r="AB627" s="1470"/>
      <c r="AC627" s="1435">
        <v>1</v>
      </c>
      <c r="AD627" s="1436"/>
      <c r="AE627" s="1437"/>
      <c r="AF627" s="1445">
        <v>1071480</v>
      </c>
      <c r="AG627" s="1446"/>
      <c r="AH627" s="1446"/>
      <c r="AI627" s="1446"/>
      <c r="AJ627" s="1447"/>
      <c r="AK627" s="1442"/>
      <c r="AL627" s="1443"/>
      <c r="AM627" s="1443"/>
      <c r="AN627" s="1444"/>
      <c r="AO627" s="1549">
        <v>15727283</v>
      </c>
      <c r="AP627" s="1549"/>
      <c r="AQ627" s="1549"/>
      <c r="AR627" s="1549"/>
      <c r="AS627" s="1549"/>
      <c r="AT627" s="3"/>
      <c r="AU627" s="3"/>
      <c r="AZ627" s="3"/>
      <c r="BA627" s="3"/>
      <c r="BB627" s="3"/>
      <c r="BC627" s="3"/>
      <c r="BD627" s="3"/>
      <c r="BE627" s="1481">
        <f t="shared" si="1"/>
        <v>0</v>
      </c>
      <c r="BF627" s="1483"/>
      <c r="BG627" s="1500">
        <f t="shared" si="2"/>
        <v>0</v>
      </c>
      <c r="BH627" s="1501"/>
      <c r="BI627" s="1481">
        <f t="shared" si="3"/>
        <v>0</v>
      </c>
      <c r="BJ627" s="1483"/>
      <c r="BK627" s="1500">
        <f t="shared" si="4"/>
        <v>0</v>
      </c>
      <c r="BL627" s="1501"/>
      <c r="BM627" s="3"/>
      <c r="BN627" s="1485">
        <f t="shared" si="5"/>
        <v>0</v>
      </c>
      <c r="BO627" s="1486"/>
      <c r="BP627" s="1486"/>
      <c r="BQ627" s="1486"/>
      <c r="BR627" s="1487"/>
      <c r="BS627" s="1484">
        <f t="shared" si="6"/>
        <v>0</v>
      </c>
      <c r="BT627" s="1484"/>
      <c r="BU627" s="1484"/>
      <c r="BV627" s="1484"/>
      <c r="BW627" s="1484"/>
      <c r="BX627" s="1484">
        <f t="shared" si="7"/>
        <v>0</v>
      </c>
      <c r="BY627" s="1484"/>
      <c r="BZ627" s="1484"/>
      <c r="CA627" s="1484"/>
      <c r="CB627" s="1484"/>
      <c r="CC627" s="1484">
        <f t="shared" si="8"/>
        <v>0</v>
      </c>
      <c r="CD627" s="1484"/>
      <c r="CE627" s="1484"/>
      <c r="CF627" s="1484"/>
      <c r="CG627" s="1484"/>
      <c r="CH627" s="1484">
        <f t="shared" si="9"/>
        <v>0</v>
      </c>
      <c r="CI627" s="1484"/>
      <c r="CJ627" s="1484"/>
      <c r="CK627" s="1484"/>
      <c r="CL627" s="1484"/>
      <c r="CM627" s="1484">
        <f t="shared" si="10"/>
        <v>0</v>
      </c>
      <c r="CN627" s="1484"/>
      <c r="CO627" s="1484"/>
      <c r="CP627" s="1484"/>
      <c r="CQ627" s="1484"/>
      <c r="CR627" s="6"/>
      <c r="CS627" s="1491">
        <f t="shared" si="11"/>
        <v>0</v>
      </c>
      <c r="CT627" s="1491"/>
      <c r="CU627" s="1491"/>
      <c r="CV627" s="1491"/>
      <c r="CW627" s="1491"/>
      <c r="CX627" s="1491">
        <f t="shared" si="12"/>
        <v>0</v>
      </c>
      <c r="CY627" s="1491"/>
      <c r="CZ627" s="1491"/>
      <c r="DA627" s="1491"/>
      <c r="DB627" s="1491"/>
      <c r="DC627" s="1491">
        <f t="shared" si="13"/>
        <v>0</v>
      </c>
      <c r="DD627" s="1491"/>
      <c r="DE627" s="1491"/>
      <c r="DF627" s="1491"/>
      <c r="DG627" s="1491"/>
      <c r="DH627" s="1491">
        <f t="shared" si="14"/>
        <v>0</v>
      </c>
      <c r="DI627" s="1491"/>
      <c r="DJ627" s="1491"/>
      <c r="DK627" s="1491"/>
      <c r="DL627" s="1491"/>
      <c r="DM627" s="1491">
        <f t="shared" si="15"/>
        <v>0</v>
      </c>
      <c r="DN627" s="1491"/>
      <c r="DO627" s="1491"/>
      <c r="DP627" s="1491"/>
      <c r="DQ627" s="1491"/>
      <c r="DR627" s="1491">
        <f t="shared" si="16"/>
        <v>0</v>
      </c>
      <c r="DS627" s="1491"/>
      <c r="DT627" s="1491"/>
      <c r="DU627" s="1491"/>
      <c r="DV627" s="1491"/>
      <c r="DX627" s="1481" t="str">
        <f t="shared" si="17"/>
        <v/>
      </c>
      <c r="DY627" s="1482"/>
      <c r="DZ627" s="1482"/>
      <c r="EA627" s="1482"/>
      <c r="EB627" s="1483"/>
      <c r="EC627" s="1481" t="str">
        <f t="shared" si="18"/>
        <v/>
      </c>
      <c r="ED627" s="1482"/>
      <c r="EE627" s="1482"/>
      <c r="EF627" s="1482"/>
      <c r="EG627" s="1483"/>
      <c r="EH627" s="1481" t="str">
        <f t="shared" si="19"/>
        <v/>
      </c>
      <c r="EI627" s="1482"/>
      <c r="EJ627" s="1482"/>
      <c r="EK627" s="1482"/>
      <c r="EL627" s="1483"/>
      <c r="EM627" s="1481" t="str">
        <f t="shared" si="20"/>
        <v/>
      </c>
      <c r="EN627" s="1482"/>
      <c r="EO627" s="1482"/>
      <c r="EP627" s="1482"/>
      <c r="EQ627" s="1483"/>
      <c r="ER627" s="1481" t="str">
        <f t="shared" si="21"/>
        <v/>
      </c>
      <c r="ES627" s="1482"/>
      <c r="ET627" s="1482"/>
      <c r="EU627" s="1482"/>
      <c r="EV627" s="1483"/>
      <c r="EW627" s="1481" t="str">
        <f t="shared" si="22"/>
        <v/>
      </c>
      <c r="EX627" s="1482"/>
      <c r="EY627" s="1482"/>
      <c r="EZ627" s="1482"/>
      <c r="FA627" s="1483"/>
    </row>
    <row r="628" spans="2:157" ht="13.15" customHeight="1">
      <c r="B628" s="52" t="s">
        <v>113</v>
      </c>
      <c r="C628" s="1467" t="s">
        <v>2713</v>
      </c>
      <c r="D628" s="1467"/>
      <c r="E628" s="1467"/>
      <c r="F628" s="1467"/>
      <c r="G628" s="1467"/>
      <c r="H628" s="1467"/>
      <c r="I628" s="1467"/>
      <c r="J628" s="1467"/>
      <c r="K628" s="1467"/>
      <c r="L628" s="1467"/>
      <c r="M628" s="1465" t="s">
        <v>2433</v>
      </c>
      <c r="N628" s="1465"/>
      <c r="O628" s="1465"/>
      <c r="P628" s="1465"/>
      <c r="Q628" s="1448"/>
      <c r="R628" s="1449"/>
      <c r="S628" s="1450"/>
      <c r="T628" s="1448"/>
      <c r="U628" s="1449"/>
      <c r="V628" s="1450"/>
      <c r="W628" s="1455"/>
      <c r="X628" s="1456"/>
      <c r="Y628" s="1457"/>
      <c r="Z628" s="1468" t="s">
        <v>465</v>
      </c>
      <c r="AA628" s="1469"/>
      <c r="AB628" s="1470"/>
      <c r="AC628" s="1435"/>
      <c r="AD628" s="1436"/>
      <c r="AE628" s="1437"/>
      <c r="AF628" s="1445"/>
      <c r="AG628" s="1446"/>
      <c r="AH628" s="1446"/>
      <c r="AI628" s="1446"/>
      <c r="AJ628" s="1447"/>
      <c r="AK628" s="1442"/>
      <c r="AL628" s="1443"/>
      <c r="AM628" s="1443"/>
      <c r="AN628" s="1444"/>
      <c r="AO628" s="1503">
        <v>3175000</v>
      </c>
      <c r="AP628" s="1504"/>
      <c r="AQ628" s="1504"/>
      <c r="AR628" s="1504"/>
      <c r="AS628" s="1505"/>
      <c r="AT628" s="1192" t="str">
        <f>IF(AND(NOT(C627=""),C628="",NOT(C629="")),"!","")</f>
        <v/>
      </c>
      <c r="AU628" s="3"/>
      <c r="AZ628" s="3"/>
      <c r="BA628" s="3"/>
      <c r="BB628" s="3"/>
      <c r="BC628" s="3"/>
      <c r="BD628" s="3"/>
      <c r="BE628" s="1481">
        <f t="shared" si="1"/>
        <v>0</v>
      </c>
      <c r="BF628" s="1483"/>
      <c r="BG628" s="1500">
        <f t="shared" si="2"/>
        <v>0</v>
      </c>
      <c r="BH628" s="1501"/>
      <c r="BI628" s="1481">
        <f t="shared" si="3"/>
        <v>0</v>
      </c>
      <c r="BJ628" s="1483"/>
      <c r="BK628" s="1500">
        <f t="shared" si="4"/>
        <v>0</v>
      </c>
      <c r="BL628" s="1501"/>
      <c r="BM628" s="3"/>
      <c r="BN628" s="1485">
        <f t="shared" si="5"/>
        <v>0</v>
      </c>
      <c r="BO628" s="1486"/>
      <c r="BP628" s="1486"/>
      <c r="BQ628" s="1486"/>
      <c r="BR628" s="1487"/>
      <c r="BS628" s="1484">
        <f t="shared" si="6"/>
        <v>0</v>
      </c>
      <c r="BT628" s="1484"/>
      <c r="BU628" s="1484"/>
      <c r="BV628" s="1484"/>
      <c r="BW628" s="1484"/>
      <c r="BX628" s="1484">
        <f t="shared" si="7"/>
        <v>0</v>
      </c>
      <c r="BY628" s="1484"/>
      <c r="BZ628" s="1484"/>
      <c r="CA628" s="1484"/>
      <c r="CB628" s="1484"/>
      <c r="CC628" s="1484">
        <f t="shared" si="8"/>
        <v>0</v>
      </c>
      <c r="CD628" s="1484"/>
      <c r="CE628" s="1484"/>
      <c r="CF628" s="1484"/>
      <c r="CG628" s="1484"/>
      <c r="CH628" s="1484">
        <f t="shared" si="9"/>
        <v>0</v>
      </c>
      <c r="CI628" s="1484"/>
      <c r="CJ628" s="1484"/>
      <c r="CK628" s="1484"/>
      <c r="CL628" s="1484"/>
      <c r="CM628" s="1484">
        <f t="shared" si="10"/>
        <v>0</v>
      </c>
      <c r="CN628" s="1484"/>
      <c r="CO628" s="1484"/>
      <c r="CP628" s="1484"/>
      <c r="CQ628" s="1484"/>
      <c r="CR628" s="6"/>
      <c r="CS628" s="1491">
        <f t="shared" si="11"/>
        <v>0</v>
      </c>
      <c r="CT628" s="1491"/>
      <c r="CU628" s="1491"/>
      <c r="CV628" s="1491"/>
      <c r="CW628" s="1491"/>
      <c r="CX628" s="1491">
        <f t="shared" si="12"/>
        <v>0</v>
      </c>
      <c r="CY628" s="1491"/>
      <c r="CZ628" s="1491"/>
      <c r="DA628" s="1491"/>
      <c r="DB628" s="1491"/>
      <c r="DC628" s="1491">
        <f t="shared" si="13"/>
        <v>0</v>
      </c>
      <c r="DD628" s="1491"/>
      <c r="DE628" s="1491"/>
      <c r="DF628" s="1491"/>
      <c r="DG628" s="1491"/>
      <c r="DH628" s="1491">
        <f t="shared" si="14"/>
        <v>0</v>
      </c>
      <c r="DI628" s="1491"/>
      <c r="DJ628" s="1491"/>
      <c r="DK628" s="1491"/>
      <c r="DL628" s="1491"/>
      <c r="DM628" s="1491">
        <f t="shared" si="15"/>
        <v>0</v>
      </c>
      <c r="DN628" s="1491"/>
      <c r="DO628" s="1491"/>
      <c r="DP628" s="1491"/>
      <c r="DQ628" s="1491"/>
      <c r="DR628" s="1491">
        <f t="shared" si="16"/>
        <v>0</v>
      </c>
      <c r="DS628" s="1491"/>
      <c r="DT628" s="1491"/>
      <c r="DU628" s="1491"/>
      <c r="DV628" s="1491"/>
      <c r="DX628" s="1481" t="str">
        <f t="shared" si="17"/>
        <v/>
      </c>
      <c r="DY628" s="1482"/>
      <c r="DZ628" s="1482"/>
      <c r="EA628" s="1482"/>
      <c r="EB628" s="1483"/>
      <c r="EC628" s="1481" t="str">
        <f t="shared" si="18"/>
        <v/>
      </c>
      <c r="ED628" s="1482"/>
      <c r="EE628" s="1482"/>
      <c r="EF628" s="1482"/>
      <c r="EG628" s="1483"/>
      <c r="EH628" s="1481" t="str">
        <f t="shared" si="19"/>
        <v/>
      </c>
      <c r="EI628" s="1482"/>
      <c r="EJ628" s="1482"/>
      <c r="EK628" s="1482"/>
      <c r="EL628" s="1483"/>
      <c r="EM628" s="1481" t="str">
        <f t="shared" si="20"/>
        <v/>
      </c>
      <c r="EN628" s="1482"/>
      <c r="EO628" s="1482"/>
      <c r="EP628" s="1482"/>
      <c r="EQ628" s="1483"/>
      <c r="ER628" s="1481" t="str">
        <f t="shared" si="21"/>
        <v/>
      </c>
      <c r="ES628" s="1482"/>
      <c r="ET628" s="1482"/>
      <c r="EU628" s="1482"/>
      <c r="EV628" s="1483"/>
      <c r="EW628" s="1481" t="str">
        <f t="shared" si="22"/>
        <v/>
      </c>
      <c r="EX628" s="1482"/>
      <c r="EY628" s="1482"/>
      <c r="EZ628" s="1482"/>
      <c r="FA628" s="1483"/>
    </row>
    <row r="629" spans="2:157" ht="13.15" customHeight="1">
      <c r="B629" s="52" t="s">
        <v>119</v>
      </c>
      <c r="C629" s="1467" t="s">
        <v>2646</v>
      </c>
      <c r="D629" s="1467"/>
      <c r="E629" s="1467"/>
      <c r="F629" s="1467"/>
      <c r="G629" s="1467"/>
      <c r="H629" s="1467"/>
      <c r="I629" s="1467"/>
      <c r="J629" s="1467"/>
      <c r="K629" s="1467"/>
      <c r="L629" s="1467"/>
      <c r="M629" s="1465" t="s">
        <v>2433</v>
      </c>
      <c r="N629" s="1465"/>
      <c r="O629" s="1465"/>
      <c r="P629" s="1465"/>
      <c r="Q629" s="1448">
        <f>55*12</f>
        <v>660</v>
      </c>
      <c r="R629" s="1449"/>
      <c r="S629" s="1450"/>
      <c r="T629" s="1448"/>
      <c r="U629" s="1449"/>
      <c r="V629" s="1450"/>
      <c r="W629" s="1455">
        <v>0.04</v>
      </c>
      <c r="X629" s="1456"/>
      <c r="Y629" s="1457"/>
      <c r="Z629" s="1468" t="s">
        <v>465</v>
      </c>
      <c r="AA629" s="1469"/>
      <c r="AB629" s="1470"/>
      <c r="AC629" s="1435"/>
      <c r="AD629" s="1436"/>
      <c r="AE629" s="1437"/>
      <c r="AF629" s="1445"/>
      <c r="AG629" s="1446"/>
      <c r="AH629" s="1446"/>
      <c r="AI629" s="1446"/>
      <c r="AJ629" s="1447"/>
      <c r="AK629" s="1442"/>
      <c r="AL629" s="1443"/>
      <c r="AM629" s="1443"/>
      <c r="AN629" s="1444"/>
      <c r="AO629" s="1503">
        <v>5000000</v>
      </c>
      <c r="AP629" s="1504"/>
      <c r="AQ629" s="1504"/>
      <c r="AR629" s="1504"/>
      <c r="AS629" s="1505"/>
      <c r="AT629" s="1192" t="str">
        <f t="shared" ref="AT629:AT638" si="23">IF(AND(NOT(C628=""),C629="",NOT(C630="")),"!","")</f>
        <v/>
      </c>
      <c r="AU629" s="3"/>
      <c r="AZ629" s="3"/>
      <c r="BA629" s="3"/>
      <c r="BB629" s="3"/>
      <c r="BC629" s="3"/>
      <c r="BD629" s="3"/>
      <c r="BE629" s="1481">
        <f t="shared" si="1"/>
        <v>0</v>
      </c>
      <c r="BF629" s="1483"/>
      <c r="BG629" s="1500">
        <f t="shared" si="2"/>
        <v>0</v>
      </c>
      <c r="BH629" s="1501"/>
      <c r="BI629" s="1481">
        <f t="shared" si="3"/>
        <v>0</v>
      </c>
      <c r="BJ629" s="1483"/>
      <c r="BK629" s="1500">
        <f t="shared" si="4"/>
        <v>0</v>
      </c>
      <c r="BL629" s="1501"/>
      <c r="BM629" s="3"/>
      <c r="BN629" s="1485">
        <f t="shared" si="5"/>
        <v>0</v>
      </c>
      <c r="BO629" s="1486"/>
      <c r="BP629" s="1486"/>
      <c r="BQ629" s="1486"/>
      <c r="BR629" s="1487"/>
      <c r="BS629" s="1484">
        <f t="shared" si="6"/>
        <v>0</v>
      </c>
      <c r="BT629" s="1484"/>
      <c r="BU629" s="1484"/>
      <c r="BV629" s="1484"/>
      <c r="BW629" s="1484"/>
      <c r="BX629" s="1484">
        <f t="shared" si="7"/>
        <v>0</v>
      </c>
      <c r="BY629" s="1484"/>
      <c r="BZ629" s="1484"/>
      <c r="CA629" s="1484"/>
      <c r="CB629" s="1484"/>
      <c r="CC629" s="1484">
        <f t="shared" si="8"/>
        <v>0</v>
      </c>
      <c r="CD629" s="1484"/>
      <c r="CE629" s="1484"/>
      <c r="CF629" s="1484"/>
      <c r="CG629" s="1484"/>
      <c r="CH629" s="1484">
        <f t="shared" si="9"/>
        <v>0</v>
      </c>
      <c r="CI629" s="1484"/>
      <c r="CJ629" s="1484"/>
      <c r="CK629" s="1484"/>
      <c r="CL629" s="1484"/>
      <c r="CM629" s="1484">
        <f t="shared" si="10"/>
        <v>0</v>
      </c>
      <c r="CN629" s="1484"/>
      <c r="CO629" s="1484"/>
      <c r="CP629" s="1484"/>
      <c r="CQ629" s="1484"/>
      <c r="CR629" s="6"/>
      <c r="CS629" s="1491">
        <f t="shared" si="11"/>
        <v>0</v>
      </c>
      <c r="CT629" s="1491"/>
      <c r="CU629" s="1491"/>
      <c r="CV629" s="1491"/>
      <c r="CW629" s="1491"/>
      <c r="CX629" s="1491">
        <f t="shared" si="12"/>
        <v>0</v>
      </c>
      <c r="CY629" s="1491"/>
      <c r="CZ629" s="1491"/>
      <c r="DA629" s="1491"/>
      <c r="DB629" s="1491"/>
      <c r="DC629" s="1491">
        <f t="shared" si="13"/>
        <v>0</v>
      </c>
      <c r="DD629" s="1491"/>
      <c r="DE629" s="1491"/>
      <c r="DF629" s="1491"/>
      <c r="DG629" s="1491"/>
      <c r="DH629" s="1491">
        <f t="shared" si="14"/>
        <v>0</v>
      </c>
      <c r="DI629" s="1491"/>
      <c r="DJ629" s="1491"/>
      <c r="DK629" s="1491"/>
      <c r="DL629" s="1491"/>
      <c r="DM629" s="1491">
        <f t="shared" si="15"/>
        <v>0</v>
      </c>
      <c r="DN629" s="1491"/>
      <c r="DO629" s="1491"/>
      <c r="DP629" s="1491"/>
      <c r="DQ629" s="1491"/>
      <c r="DR629" s="1491">
        <f t="shared" si="16"/>
        <v>0</v>
      </c>
      <c r="DS629" s="1491"/>
      <c r="DT629" s="1491"/>
      <c r="DU629" s="1491"/>
      <c r="DV629" s="1491"/>
      <c r="DX629" s="1481" t="str">
        <f t="shared" si="17"/>
        <v/>
      </c>
      <c r="DY629" s="1482"/>
      <c r="DZ629" s="1482"/>
      <c r="EA629" s="1482"/>
      <c r="EB629" s="1483"/>
      <c r="EC629" s="1481" t="str">
        <f t="shared" si="18"/>
        <v/>
      </c>
      <c r="ED629" s="1482"/>
      <c r="EE629" s="1482"/>
      <c r="EF629" s="1482"/>
      <c r="EG629" s="1483"/>
      <c r="EH629" s="1481" t="str">
        <f t="shared" si="19"/>
        <v/>
      </c>
      <c r="EI629" s="1482"/>
      <c r="EJ629" s="1482"/>
      <c r="EK629" s="1482"/>
      <c r="EL629" s="1483"/>
      <c r="EM629" s="1481" t="str">
        <f t="shared" si="20"/>
        <v/>
      </c>
      <c r="EN629" s="1482"/>
      <c r="EO629" s="1482"/>
      <c r="EP629" s="1482"/>
      <c r="EQ629" s="1483"/>
      <c r="ER629" s="1481" t="str">
        <f t="shared" si="21"/>
        <v/>
      </c>
      <c r="ES629" s="1482"/>
      <c r="ET629" s="1482"/>
      <c r="EU629" s="1482"/>
      <c r="EV629" s="1483"/>
      <c r="EW629" s="1481" t="str">
        <f t="shared" si="22"/>
        <v/>
      </c>
      <c r="EX629" s="1482"/>
      <c r="EY629" s="1482"/>
      <c r="EZ629" s="1482"/>
      <c r="FA629" s="1483"/>
    </row>
    <row r="630" spans="2:157" ht="13.15" customHeight="1">
      <c r="B630" s="52" t="s">
        <v>589</v>
      </c>
      <c r="C630" s="1467" t="s">
        <v>1849</v>
      </c>
      <c r="D630" s="1434"/>
      <c r="E630" s="1434"/>
      <c r="F630" s="1434"/>
      <c r="G630" s="1434"/>
      <c r="H630" s="1434"/>
      <c r="I630" s="1434"/>
      <c r="J630" s="1434"/>
      <c r="K630" s="1434"/>
      <c r="L630" s="1434"/>
      <c r="M630" s="1465" t="s">
        <v>2424</v>
      </c>
      <c r="N630" s="1465"/>
      <c r="O630" s="1465"/>
      <c r="P630" s="1465"/>
      <c r="Q630" s="1448"/>
      <c r="R630" s="1449"/>
      <c r="S630" s="1450"/>
      <c r="T630" s="1448"/>
      <c r="U630" s="1449"/>
      <c r="V630" s="1450"/>
      <c r="W630" s="1455"/>
      <c r="X630" s="1456"/>
      <c r="Y630" s="1457"/>
      <c r="Z630" s="1468" t="s">
        <v>466</v>
      </c>
      <c r="AA630" s="1469"/>
      <c r="AB630" s="1470"/>
      <c r="AC630" s="1435"/>
      <c r="AD630" s="1436"/>
      <c r="AE630" s="1437"/>
      <c r="AF630" s="1445"/>
      <c r="AG630" s="1446"/>
      <c r="AH630" s="1446"/>
      <c r="AI630" s="1446"/>
      <c r="AJ630" s="1447"/>
      <c r="AK630" s="1442"/>
      <c r="AL630" s="1443"/>
      <c r="AM630" s="1443"/>
      <c r="AN630" s="1444"/>
      <c r="AO630" s="1503">
        <v>4154957</v>
      </c>
      <c r="AP630" s="1504"/>
      <c r="AQ630" s="1504"/>
      <c r="AR630" s="1504"/>
      <c r="AS630" s="1505"/>
      <c r="AT630" s="1192" t="str">
        <f t="shared" si="23"/>
        <v/>
      </c>
      <c r="AU630" s="3"/>
      <c r="AZ630" s="3"/>
      <c r="BA630" s="3"/>
      <c r="BB630" s="3"/>
      <c r="BC630" s="3"/>
      <c r="BD630" s="3"/>
      <c r="BE630" s="1481">
        <f t="shared" si="1"/>
        <v>0</v>
      </c>
      <c r="BF630" s="1483"/>
      <c r="BG630" s="1500">
        <f t="shared" si="2"/>
        <v>0</v>
      </c>
      <c r="BH630" s="1501"/>
      <c r="BI630" s="1481">
        <f t="shared" si="3"/>
        <v>0</v>
      </c>
      <c r="BJ630" s="1483"/>
      <c r="BK630" s="1500">
        <f t="shared" si="4"/>
        <v>0</v>
      </c>
      <c r="BL630" s="1501"/>
      <c r="BM630" s="3"/>
      <c r="BN630" s="1485">
        <f t="shared" si="5"/>
        <v>0</v>
      </c>
      <c r="BO630" s="1486"/>
      <c r="BP630" s="1486"/>
      <c r="BQ630" s="1486"/>
      <c r="BR630" s="1487"/>
      <c r="BS630" s="1484">
        <f t="shared" si="6"/>
        <v>0</v>
      </c>
      <c r="BT630" s="1484"/>
      <c r="BU630" s="1484"/>
      <c r="BV630" s="1484"/>
      <c r="BW630" s="1484"/>
      <c r="BX630" s="1484">
        <f t="shared" si="7"/>
        <v>0</v>
      </c>
      <c r="BY630" s="1484"/>
      <c r="BZ630" s="1484"/>
      <c r="CA630" s="1484"/>
      <c r="CB630" s="1484"/>
      <c r="CC630" s="1484">
        <f t="shared" si="8"/>
        <v>0</v>
      </c>
      <c r="CD630" s="1484"/>
      <c r="CE630" s="1484"/>
      <c r="CF630" s="1484"/>
      <c r="CG630" s="1484"/>
      <c r="CH630" s="1484">
        <f t="shared" si="9"/>
        <v>0</v>
      </c>
      <c r="CI630" s="1484"/>
      <c r="CJ630" s="1484"/>
      <c r="CK630" s="1484"/>
      <c r="CL630" s="1484"/>
      <c r="CM630" s="1484">
        <f t="shared" si="10"/>
        <v>0</v>
      </c>
      <c r="CN630" s="1484"/>
      <c r="CO630" s="1484"/>
      <c r="CP630" s="1484"/>
      <c r="CQ630" s="1484"/>
      <c r="CR630" s="6"/>
      <c r="CS630" s="1491">
        <f t="shared" si="11"/>
        <v>0</v>
      </c>
      <c r="CT630" s="1491"/>
      <c r="CU630" s="1491"/>
      <c r="CV630" s="1491"/>
      <c r="CW630" s="1491"/>
      <c r="CX630" s="1491">
        <f t="shared" si="12"/>
        <v>0</v>
      </c>
      <c r="CY630" s="1491"/>
      <c r="CZ630" s="1491"/>
      <c r="DA630" s="1491"/>
      <c r="DB630" s="1491"/>
      <c r="DC630" s="1491">
        <f t="shared" si="13"/>
        <v>0</v>
      </c>
      <c r="DD630" s="1491"/>
      <c r="DE630" s="1491"/>
      <c r="DF630" s="1491"/>
      <c r="DG630" s="1491"/>
      <c r="DH630" s="1491">
        <f t="shared" si="14"/>
        <v>0</v>
      </c>
      <c r="DI630" s="1491"/>
      <c r="DJ630" s="1491"/>
      <c r="DK630" s="1491"/>
      <c r="DL630" s="1491"/>
      <c r="DM630" s="1491">
        <f t="shared" si="15"/>
        <v>0</v>
      </c>
      <c r="DN630" s="1491"/>
      <c r="DO630" s="1491"/>
      <c r="DP630" s="1491"/>
      <c r="DQ630" s="1491"/>
      <c r="DR630" s="1491">
        <f t="shared" si="16"/>
        <v>0</v>
      </c>
      <c r="DS630" s="1491"/>
      <c r="DT630" s="1491"/>
      <c r="DU630" s="1491"/>
      <c r="DV630" s="1491"/>
      <c r="DX630" s="1481" t="str">
        <f t="shared" si="17"/>
        <v/>
      </c>
      <c r="DY630" s="1482"/>
      <c r="DZ630" s="1482"/>
      <c r="EA630" s="1482"/>
      <c r="EB630" s="1483"/>
      <c r="EC630" s="1481" t="str">
        <f t="shared" si="18"/>
        <v/>
      </c>
      <c r="ED630" s="1482"/>
      <c r="EE630" s="1482"/>
      <c r="EF630" s="1482"/>
      <c r="EG630" s="1483"/>
      <c r="EH630" s="1481" t="str">
        <f t="shared" si="19"/>
        <v/>
      </c>
      <c r="EI630" s="1482"/>
      <c r="EJ630" s="1482"/>
      <c r="EK630" s="1482"/>
      <c r="EL630" s="1483"/>
      <c r="EM630" s="1481" t="str">
        <f t="shared" si="20"/>
        <v/>
      </c>
      <c r="EN630" s="1482"/>
      <c r="EO630" s="1482"/>
      <c r="EP630" s="1482"/>
      <c r="EQ630" s="1483"/>
      <c r="ER630" s="1481" t="str">
        <f t="shared" si="21"/>
        <v/>
      </c>
      <c r="ES630" s="1482"/>
      <c r="ET630" s="1482"/>
      <c r="EU630" s="1482"/>
      <c r="EV630" s="1483"/>
      <c r="EW630" s="1481" t="str">
        <f t="shared" si="22"/>
        <v/>
      </c>
      <c r="EX630" s="1482"/>
      <c r="EY630" s="1482"/>
      <c r="EZ630" s="1482"/>
      <c r="FA630" s="1483"/>
    </row>
    <row r="631" spans="2:157" ht="13.15" customHeight="1">
      <c r="B631" s="52" t="s">
        <v>772</v>
      </c>
      <c r="C631" s="1434"/>
      <c r="D631" s="1434"/>
      <c r="E631" s="1434"/>
      <c r="F631" s="1434"/>
      <c r="G631" s="1434"/>
      <c r="H631" s="1434"/>
      <c r="I631" s="1434"/>
      <c r="J631" s="1434"/>
      <c r="K631" s="1434"/>
      <c r="L631" s="1434"/>
      <c r="M631" s="1465" t="s">
        <v>1290</v>
      </c>
      <c r="N631" s="1465"/>
      <c r="O631" s="1465"/>
      <c r="P631" s="1465"/>
      <c r="Q631" s="1448"/>
      <c r="R631" s="1449"/>
      <c r="S631" s="1450"/>
      <c r="T631" s="1448"/>
      <c r="U631" s="1449"/>
      <c r="V631" s="1450"/>
      <c r="W631" s="1455"/>
      <c r="X631" s="1456"/>
      <c r="Y631" s="1457"/>
      <c r="Z631" s="1468" t="s">
        <v>1290</v>
      </c>
      <c r="AA631" s="1469"/>
      <c r="AB631" s="1470"/>
      <c r="AC631" s="1435"/>
      <c r="AD631" s="1436"/>
      <c r="AE631" s="1437"/>
      <c r="AF631" s="1445"/>
      <c r="AG631" s="1446"/>
      <c r="AH631" s="1446"/>
      <c r="AI631" s="1446"/>
      <c r="AJ631" s="1447"/>
      <c r="AK631" s="1442"/>
      <c r="AL631" s="1443"/>
      <c r="AM631" s="1443"/>
      <c r="AN631" s="1444"/>
      <c r="AO631" s="1503"/>
      <c r="AP631" s="1504"/>
      <c r="AQ631" s="1504"/>
      <c r="AR631" s="1504"/>
      <c r="AS631" s="1505"/>
      <c r="AT631" s="1192" t="str">
        <f t="shared" si="23"/>
        <v/>
      </c>
      <c r="AU631" s="3"/>
      <c r="AZ631" s="3"/>
      <c r="BA631" s="3"/>
      <c r="BB631" s="3"/>
      <c r="BC631" s="3"/>
      <c r="BD631" s="3"/>
      <c r="BE631" s="1481">
        <f t="shared" si="1"/>
        <v>0</v>
      </c>
      <c r="BF631" s="1483"/>
      <c r="BG631" s="1500">
        <f t="shared" si="2"/>
        <v>0</v>
      </c>
      <c r="BH631" s="1501"/>
      <c r="BI631" s="1481">
        <f t="shared" si="3"/>
        <v>0</v>
      </c>
      <c r="BJ631" s="1483"/>
      <c r="BK631" s="1500">
        <f t="shared" si="4"/>
        <v>0</v>
      </c>
      <c r="BL631" s="1501"/>
      <c r="BM631" s="3"/>
      <c r="BN631" s="1485">
        <f t="shared" si="5"/>
        <v>0</v>
      </c>
      <c r="BO631" s="1486"/>
      <c r="BP631" s="1486"/>
      <c r="BQ631" s="1486"/>
      <c r="BR631" s="1487"/>
      <c r="BS631" s="1484">
        <f t="shared" si="6"/>
        <v>0</v>
      </c>
      <c r="BT631" s="1484"/>
      <c r="BU631" s="1484"/>
      <c r="BV631" s="1484"/>
      <c r="BW631" s="1484"/>
      <c r="BX631" s="1484">
        <f t="shared" si="7"/>
        <v>0</v>
      </c>
      <c r="BY631" s="1484"/>
      <c r="BZ631" s="1484"/>
      <c r="CA631" s="1484"/>
      <c r="CB631" s="1484"/>
      <c r="CC631" s="1484">
        <f t="shared" si="8"/>
        <v>0</v>
      </c>
      <c r="CD631" s="1484"/>
      <c r="CE631" s="1484"/>
      <c r="CF631" s="1484"/>
      <c r="CG631" s="1484"/>
      <c r="CH631" s="1484">
        <f t="shared" si="9"/>
        <v>0</v>
      </c>
      <c r="CI631" s="1484"/>
      <c r="CJ631" s="1484"/>
      <c r="CK631" s="1484"/>
      <c r="CL631" s="1484"/>
      <c r="CM631" s="1484">
        <f t="shared" si="10"/>
        <v>0</v>
      </c>
      <c r="CN631" s="1484"/>
      <c r="CO631" s="1484"/>
      <c r="CP631" s="1484"/>
      <c r="CQ631" s="1484"/>
      <c r="CR631" s="6"/>
      <c r="CS631" s="1491">
        <f t="shared" si="11"/>
        <v>0</v>
      </c>
      <c r="CT631" s="1491"/>
      <c r="CU631" s="1491"/>
      <c r="CV631" s="1491"/>
      <c r="CW631" s="1491"/>
      <c r="CX631" s="1491">
        <f t="shared" si="12"/>
        <v>0</v>
      </c>
      <c r="CY631" s="1491"/>
      <c r="CZ631" s="1491"/>
      <c r="DA631" s="1491"/>
      <c r="DB631" s="1491"/>
      <c r="DC631" s="1491">
        <f t="shared" si="13"/>
        <v>0</v>
      </c>
      <c r="DD631" s="1491"/>
      <c r="DE631" s="1491"/>
      <c r="DF631" s="1491"/>
      <c r="DG631" s="1491"/>
      <c r="DH631" s="1491">
        <f t="shared" si="14"/>
        <v>0</v>
      </c>
      <c r="DI631" s="1491"/>
      <c r="DJ631" s="1491"/>
      <c r="DK631" s="1491"/>
      <c r="DL631" s="1491"/>
      <c r="DM631" s="1491">
        <f t="shared" si="15"/>
        <v>0</v>
      </c>
      <c r="DN631" s="1491"/>
      <c r="DO631" s="1491"/>
      <c r="DP631" s="1491"/>
      <c r="DQ631" s="1491"/>
      <c r="DR631" s="1491">
        <f t="shared" si="16"/>
        <v>0</v>
      </c>
      <c r="DS631" s="1491"/>
      <c r="DT631" s="1491"/>
      <c r="DU631" s="1491"/>
      <c r="DV631" s="1491"/>
      <c r="DX631" s="1481" t="str">
        <f t="shared" si="17"/>
        <v/>
      </c>
      <c r="DY631" s="1482"/>
      <c r="DZ631" s="1482"/>
      <c r="EA631" s="1482"/>
      <c r="EB631" s="1483"/>
      <c r="EC631" s="1481" t="str">
        <f t="shared" si="18"/>
        <v/>
      </c>
      <c r="ED631" s="1482"/>
      <c r="EE631" s="1482"/>
      <c r="EF631" s="1482"/>
      <c r="EG631" s="1483"/>
      <c r="EH631" s="1481" t="str">
        <f t="shared" si="19"/>
        <v/>
      </c>
      <c r="EI631" s="1482"/>
      <c r="EJ631" s="1482"/>
      <c r="EK631" s="1482"/>
      <c r="EL631" s="1483"/>
      <c r="EM631" s="1481" t="str">
        <f t="shared" si="20"/>
        <v/>
      </c>
      <c r="EN631" s="1482"/>
      <c r="EO631" s="1482"/>
      <c r="EP631" s="1482"/>
      <c r="EQ631" s="1483"/>
      <c r="ER631" s="1481" t="str">
        <f t="shared" si="21"/>
        <v/>
      </c>
      <c r="ES631" s="1482"/>
      <c r="ET631" s="1482"/>
      <c r="EU631" s="1482"/>
      <c r="EV631" s="1483"/>
      <c r="EW631" s="1481" t="str">
        <f t="shared" si="22"/>
        <v/>
      </c>
      <c r="EX631" s="1482"/>
      <c r="EY631" s="1482"/>
      <c r="EZ631" s="1482"/>
      <c r="FA631" s="1483"/>
    </row>
    <row r="632" spans="2:157" ht="13.15" customHeight="1">
      <c r="B632" s="52" t="s">
        <v>592</v>
      </c>
      <c r="C632" s="1434"/>
      <c r="D632" s="1434"/>
      <c r="E632" s="1434"/>
      <c r="F632" s="1434"/>
      <c r="G632" s="1434"/>
      <c r="H632" s="1434"/>
      <c r="I632" s="1434"/>
      <c r="J632" s="1434"/>
      <c r="K632" s="1434"/>
      <c r="L632" s="1434"/>
      <c r="M632" s="1465" t="s">
        <v>1290</v>
      </c>
      <c r="N632" s="1465"/>
      <c r="O632" s="1465"/>
      <c r="P632" s="1465"/>
      <c r="Q632" s="1448"/>
      <c r="R632" s="1449"/>
      <c r="S632" s="1450"/>
      <c r="T632" s="1448"/>
      <c r="U632" s="1449"/>
      <c r="V632" s="1450"/>
      <c r="W632" s="1455"/>
      <c r="X632" s="1456"/>
      <c r="Y632" s="1457"/>
      <c r="Z632" s="1468" t="s">
        <v>1290</v>
      </c>
      <c r="AA632" s="1469"/>
      <c r="AB632" s="1470"/>
      <c r="AC632" s="1435"/>
      <c r="AD632" s="1436"/>
      <c r="AE632" s="1437"/>
      <c r="AF632" s="1445"/>
      <c r="AG632" s="1446"/>
      <c r="AH632" s="1446"/>
      <c r="AI632" s="1446"/>
      <c r="AJ632" s="1447"/>
      <c r="AK632" s="1442"/>
      <c r="AL632" s="1443"/>
      <c r="AM632" s="1443"/>
      <c r="AN632" s="1444"/>
      <c r="AO632" s="1503"/>
      <c r="AP632" s="1504"/>
      <c r="AQ632" s="1504"/>
      <c r="AR632" s="1504"/>
      <c r="AS632" s="1505"/>
      <c r="AT632" s="1192" t="str">
        <f t="shared" si="23"/>
        <v/>
      </c>
      <c r="AU632" s="3"/>
      <c r="AZ632" s="3"/>
      <c r="BA632" s="3"/>
      <c r="BB632" s="3"/>
      <c r="BC632" s="3"/>
      <c r="BD632" s="3"/>
      <c r="BE632" s="3"/>
      <c r="BF632" s="3"/>
      <c r="BG632" s="1481">
        <f>SUM(BG597:BH631)</f>
        <v>11</v>
      </c>
      <c r="BH632" s="1483"/>
      <c r="BI632" s="3"/>
      <c r="BJ632" s="3"/>
      <c r="BK632" s="1481">
        <f>SUM(BK597:BL631)</f>
        <v>15</v>
      </c>
      <c r="BL632" s="1483"/>
      <c r="BM632" s="3"/>
      <c r="BN632" s="1481">
        <f>SUM(BN597:BR631)</f>
        <v>0</v>
      </c>
      <c r="BO632" s="1482"/>
      <c r="BP632" s="1482"/>
      <c r="BQ632" s="1482"/>
      <c r="BR632" s="1483"/>
      <c r="BS632" s="1492">
        <f>SUM(BS597:BW631)</f>
        <v>35</v>
      </c>
      <c r="BT632" s="1492"/>
      <c r="BU632" s="1492"/>
      <c r="BV632" s="1492"/>
      <c r="BW632" s="1492"/>
      <c r="BX632" s="1492">
        <f>SUM(BX597:CB631)</f>
        <v>28</v>
      </c>
      <c r="BY632" s="1492"/>
      <c r="BZ632" s="1492"/>
      <c r="CA632" s="1492"/>
      <c r="CB632" s="1492"/>
      <c r="CC632" s="1492">
        <f>SUM(CC597:CG631)</f>
        <v>34</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7</v>
      </c>
      <c r="CY632" s="1492"/>
      <c r="CZ632" s="1492"/>
      <c r="DA632" s="1492"/>
      <c r="DB632" s="1492"/>
      <c r="DC632" s="1492">
        <f>SUM(DC597:DG631)</f>
        <v>4</v>
      </c>
      <c r="DD632" s="1492"/>
      <c r="DE632" s="1492"/>
      <c r="DF632" s="1492"/>
      <c r="DG632" s="1492"/>
      <c r="DH632" s="1492">
        <f>SUM(DH597:DL631)</f>
        <v>4</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5628</v>
      </c>
      <c r="ED632" s="1492"/>
      <c r="EE632" s="1492"/>
      <c r="EF632" s="1492"/>
      <c r="EG632" s="1492"/>
      <c r="EH632" s="1492">
        <f>SUM(EH597:EL631)</f>
        <v>6717</v>
      </c>
      <c r="EI632" s="1492"/>
      <c r="EJ632" s="1492"/>
      <c r="EK632" s="1492"/>
      <c r="EL632" s="1492"/>
      <c r="EM632" s="1492">
        <f>SUM(EM597:EQ631)</f>
        <v>7694</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3.15" customHeight="1">
      <c r="B633" s="52" t="s">
        <v>463</v>
      </c>
      <c r="C633" s="1434"/>
      <c r="D633" s="1434"/>
      <c r="E633" s="1434"/>
      <c r="F633" s="1434"/>
      <c r="G633" s="1434"/>
      <c r="H633" s="1434"/>
      <c r="I633" s="1434"/>
      <c r="J633" s="1434"/>
      <c r="K633" s="1434"/>
      <c r="L633" s="1434"/>
      <c r="M633" s="1465" t="s">
        <v>1290</v>
      </c>
      <c r="N633" s="1465"/>
      <c r="O633" s="1465"/>
      <c r="P633" s="1465"/>
      <c r="Q633" s="1448"/>
      <c r="R633" s="1449"/>
      <c r="S633" s="1450"/>
      <c r="T633" s="1448"/>
      <c r="U633" s="1449"/>
      <c r="V633" s="1450"/>
      <c r="W633" s="1455"/>
      <c r="X633" s="1456"/>
      <c r="Y633" s="1457"/>
      <c r="Z633" s="1468" t="s">
        <v>1290</v>
      </c>
      <c r="AA633" s="1469"/>
      <c r="AB633" s="1470"/>
      <c r="AC633" s="1435"/>
      <c r="AD633" s="1436"/>
      <c r="AE633" s="1437"/>
      <c r="AF633" s="1445"/>
      <c r="AG633" s="1446"/>
      <c r="AH633" s="1446"/>
      <c r="AI633" s="1446"/>
      <c r="AJ633" s="1447"/>
      <c r="AK633" s="1442"/>
      <c r="AL633" s="1443"/>
      <c r="AM633" s="1443"/>
      <c r="AN633" s="1444"/>
      <c r="AO633" s="1503"/>
      <c r="AP633" s="1504"/>
      <c r="AQ633" s="1504"/>
      <c r="AR633" s="1504"/>
      <c r="AS633" s="150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1">
        <f>BN632+BS632+BX632+CC632+CH632+CM632</f>
        <v>97</v>
      </c>
      <c r="CN633" s="1482"/>
      <c r="CO633" s="1482"/>
      <c r="CP633" s="1482"/>
      <c r="CQ633" s="1483"/>
      <c r="CR633" s="385"/>
      <c r="CS633" s="3"/>
      <c r="CT633" s="3"/>
      <c r="CU633" s="3"/>
      <c r="CV633" s="3"/>
      <c r="CW633" s="3"/>
      <c r="CX633" s="3"/>
      <c r="CY633" s="3"/>
      <c r="CZ633" s="3"/>
      <c r="DA633" s="3"/>
      <c r="DB633" s="3"/>
      <c r="DC633" s="3"/>
      <c r="DD633" s="3"/>
      <c r="DE633" s="3"/>
      <c r="DF633" s="3"/>
    </row>
    <row r="634" spans="2:157" ht="13.15" customHeight="1">
      <c r="B634" s="52" t="s">
        <v>464</v>
      </c>
      <c r="C634" s="1434"/>
      <c r="D634" s="1434"/>
      <c r="E634" s="1434"/>
      <c r="F634" s="1434"/>
      <c r="G634" s="1434"/>
      <c r="H634" s="1434"/>
      <c r="I634" s="1434"/>
      <c r="J634" s="1434"/>
      <c r="K634" s="1434"/>
      <c r="L634" s="1434"/>
      <c r="M634" s="1465" t="s">
        <v>1290</v>
      </c>
      <c r="N634" s="1465"/>
      <c r="O634" s="1465"/>
      <c r="P634" s="1465"/>
      <c r="Q634" s="1448"/>
      <c r="R634" s="1449"/>
      <c r="S634" s="1450"/>
      <c r="T634" s="1448"/>
      <c r="U634" s="1449"/>
      <c r="V634" s="1450"/>
      <c r="W634" s="1455"/>
      <c r="X634" s="1456"/>
      <c r="Y634" s="1457"/>
      <c r="Z634" s="1468" t="s">
        <v>1290</v>
      </c>
      <c r="AA634" s="1469"/>
      <c r="AB634" s="1470"/>
      <c r="AC634" s="1435"/>
      <c r="AD634" s="1436"/>
      <c r="AE634" s="1437"/>
      <c r="AF634" s="1445"/>
      <c r="AG634" s="1446"/>
      <c r="AH634" s="1446"/>
      <c r="AI634" s="1446"/>
      <c r="AJ634" s="1447"/>
      <c r="AK634" s="1442"/>
      <c r="AL634" s="1443"/>
      <c r="AM634" s="1443"/>
      <c r="AN634" s="1444"/>
      <c r="AO634" s="1503"/>
      <c r="AP634" s="1504"/>
      <c r="AQ634" s="1504"/>
      <c r="AR634" s="1504"/>
      <c r="AS634" s="150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35</v>
      </c>
      <c r="BX634" s="3"/>
      <c r="BY634" s="3"/>
      <c r="BZ634" s="3"/>
      <c r="CA634" s="3"/>
      <c r="CB634" s="895">
        <f>BX632*2</f>
        <v>56</v>
      </c>
      <c r="CC634" s="3"/>
      <c r="CD634" s="3"/>
      <c r="CE634" s="3"/>
      <c r="CF634" s="3"/>
      <c r="CG634" s="895">
        <f>CC632*3</f>
        <v>102</v>
      </c>
      <c r="CH634" s="3"/>
      <c r="CI634" s="3"/>
      <c r="CJ634" s="3"/>
      <c r="CK634" s="3"/>
      <c r="CL634" s="895">
        <f>CH632*4</f>
        <v>0</v>
      </c>
      <c r="CM634" s="3"/>
      <c r="CN634" s="3"/>
      <c r="CO634" s="3"/>
      <c r="CP634" s="3"/>
      <c r="CQ634" s="895">
        <f>CM632*5</f>
        <v>0</v>
      </c>
      <c r="CS634" s="895">
        <f>BR634+BW634+CB634+CG634+CL634+CQ634</f>
        <v>193</v>
      </c>
      <c r="CT634" s="57" t="s">
        <v>2052</v>
      </c>
      <c r="CU634" s="3"/>
      <c r="CV634" s="3"/>
      <c r="CW634" s="3"/>
      <c r="CX634" s="3"/>
      <c r="CY634" s="3"/>
      <c r="CZ634" s="3"/>
      <c r="DA634" s="3"/>
      <c r="DB634" s="3"/>
      <c r="DC634" s="3"/>
      <c r="DD634" s="3"/>
      <c r="DE634" s="3"/>
      <c r="DF634" s="3"/>
    </row>
    <row r="635" spans="2:157" ht="13.15" customHeight="1">
      <c r="B635" s="52" t="s">
        <v>469</v>
      </c>
      <c r="C635" s="1434"/>
      <c r="D635" s="1434"/>
      <c r="E635" s="1434"/>
      <c r="F635" s="1434"/>
      <c r="G635" s="1434"/>
      <c r="H635" s="1434"/>
      <c r="I635" s="1434"/>
      <c r="J635" s="1434"/>
      <c r="K635" s="1434"/>
      <c r="L635" s="1434"/>
      <c r="M635" s="1465" t="s">
        <v>1290</v>
      </c>
      <c r="N635" s="1465"/>
      <c r="O635" s="1465"/>
      <c r="P635" s="1465"/>
      <c r="Q635" s="1448"/>
      <c r="R635" s="1449"/>
      <c r="S635" s="1450"/>
      <c r="T635" s="1448"/>
      <c r="U635" s="1449"/>
      <c r="V635" s="1450"/>
      <c r="W635" s="1455"/>
      <c r="X635" s="1456"/>
      <c r="Y635" s="1457"/>
      <c r="Z635" s="1468" t="s">
        <v>1290</v>
      </c>
      <c r="AA635" s="1469"/>
      <c r="AB635" s="1470"/>
      <c r="AC635" s="1435"/>
      <c r="AD635" s="1436"/>
      <c r="AE635" s="1437"/>
      <c r="AF635" s="1445"/>
      <c r="AG635" s="1446"/>
      <c r="AH635" s="1446"/>
      <c r="AI635" s="1446"/>
      <c r="AJ635" s="1447"/>
      <c r="AK635" s="1442"/>
      <c r="AL635" s="1443"/>
      <c r="AM635" s="1443"/>
      <c r="AN635" s="1444"/>
      <c r="AO635" s="1503"/>
      <c r="AP635" s="1504"/>
      <c r="AQ635" s="1504"/>
      <c r="AR635" s="1504"/>
      <c r="AS635" s="1505"/>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4">EC597*(BS597/$BS$632)</f>
        <v>153.60000000000002</v>
      </c>
      <c r="ED635" s="1478"/>
      <c r="EE635" s="1478"/>
      <c r="EF635" s="1478"/>
      <c r="EG635" s="1478"/>
      <c r="EH635" s="1478" t="e">
        <f t="shared" ref="EH635:EH657" si="25">EH597*(BX597/$BX$632)</f>
        <v>#VALUE!</v>
      </c>
      <c r="EI635" s="1478"/>
      <c r="EJ635" s="1478"/>
      <c r="EK635" s="1478"/>
      <c r="EL635" s="1478"/>
      <c r="EM635" s="1478" t="e">
        <f t="shared" ref="EM635:EM657" si="26">EM597*(CC597/$CC$632)</f>
        <v>#VALUE!</v>
      </c>
      <c r="EN635" s="1478"/>
      <c r="EO635" s="1478"/>
      <c r="EP635" s="1478"/>
      <c r="EQ635" s="1478"/>
      <c r="ER635" s="1478" t="e">
        <f t="shared" ref="ER635:ER657" si="27">ER597*(CH597/$CH$632)</f>
        <v>#VALUE!</v>
      </c>
      <c r="ES635" s="1478"/>
      <c r="ET635" s="1478"/>
      <c r="EU635" s="1478"/>
      <c r="EV635" s="1478"/>
      <c r="EW635" s="1478" t="e">
        <f t="shared" ref="EW635:EW657" si="28">EW597*(CM597/$CM$632)</f>
        <v>#VALUE!</v>
      </c>
      <c r="EX635" s="1478"/>
      <c r="EY635" s="1478"/>
      <c r="EZ635" s="1478"/>
      <c r="FA635" s="1478"/>
    </row>
    <row r="636" spans="2:157" ht="13.15" customHeight="1">
      <c r="B636" s="52" t="s">
        <v>654</v>
      </c>
      <c r="C636" s="1434"/>
      <c r="D636" s="1434"/>
      <c r="E636" s="1434"/>
      <c r="F636" s="1434"/>
      <c r="G636" s="1434"/>
      <c r="H636" s="1434"/>
      <c r="I636" s="1434"/>
      <c r="J636" s="1434"/>
      <c r="K636" s="1434"/>
      <c r="L636" s="1434"/>
      <c r="M636" s="1465" t="s">
        <v>1290</v>
      </c>
      <c r="N636" s="1465"/>
      <c r="O636" s="1465"/>
      <c r="P636" s="1465"/>
      <c r="Q636" s="1448"/>
      <c r="R636" s="1449"/>
      <c r="S636" s="1450"/>
      <c r="T636" s="1448"/>
      <c r="U636" s="1449"/>
      <c r="V636" s="1450"/>
      <c r="W636" s="1455"/>
      <c r="X636" s="1456"/>
      <c r="Y636" s="1457"/>
      <c r="Z636" s="1468" t="s">
        <v>1290</v>
      </c>
      <c r="AA636" s="1469"/>
      <c r="AB636" s="1470"/>
      <c r="AC636" s="1435"/>
      <c r="AD636" s="1436"/>
      <c r="AE636" s="1437"/>
      <c r="AF636" s="1445"/>
      <c r="AG636" s="1446"/>
      <c r="AH636" s="1446"/>
      <c r="AI636" s="1446"/>
      <c r="AJ636" s="1447"/>
      <c r="AK636" s="1442"/>
      <c r="AL636" s="1443"/>
      <c r="AM636" s="1443"/>
      <c r="AN636" s="1444"/>
      <c r="AO636" s="1503"/>
      <c r="AP636" s="1504"/>
      <c r="AQ636" s="1504"/>
      <c r="AR636" s="1504"/>
      <c r="AS636" s="1505"/>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29">DX598*(BN598/$BN$632)</f>
        <v>#VALUE!</v>
      </c>
      <c r="DY636" s="1478"/>
      <c r="DZ636" s="1478"/>
      <c r="EA636" s="1478"/>
      <c r="EB636" s="1478"/>
      <c r="EC636" s="1478">
        <f t="shared" si="24"/>
        <v>152.68571428571428</v>
      </c>
      <c r="ED636" s="1478"/>
      <c r="EE636" s="1478"/>
      <c r="EF636" s="1478"/>
      <c r="EG636" s="1478"/>
      <c r="EH636" s="1478" t="e">
        <f t="shared" si="25"/>
        <v>#VALUE!</v>
      </c>
      <c r="EI636" s="1478"/>
      <c r="EJ636" s="1478"/>
      <c r="EK636" s="1478"/>
      <c r="EL636" s="1478"/>
      <c r="EM636" s="1478" t="e">
        <f t="shared" si="26"/>
        <v>#VALUE!</v>
      </c>
      <c r="EN636" s="1478"/>
      <c r="EO636" s="1478"/>
      <c r="EP636" s="1478"/>
      <c r="EQ636" s="1478"/>
      <c r="ER636" s="1478" t="e">
        <f t="shared" si="27"/>
        <v>#VALUE!</v>
      </c>
      <c r="ES636" s="1478"/>
      <c r="ET636" s="1478"/>
      <c r="EU636" s="1478"/>
      <c r="EV636" s="1478"/>
      <c r="EW636" s="1478" t="e">
        <f t="shared" si="28"/>
        <v>#VALUE!</v>
      </c>
      <c r="EX636" s="1478"/>
      <c r="EY636" s="1478"/>
      <c r="EZ636" s="1478"/>
      <c r="FA636" s="1478"/>
    </row>
    <row r="637" spans="2:157" ht="13.15" customHeight="1">
      <c r="B637" s="52" t="s">
        <v>363</v>
      </c>
      <c r="C637" s="1434"/>
      <c r="D637" s="1434"/>
      <c r="E637" s="1434"/>
      <c r="F637" s="1434"/>
      <c r="G637" s="1434"/>
      <c r="H637" s="1434"/>
      <c r="I637" s="1434"/>
      <c r="J637" s="1434"/>
      <c r="K637" s="1434"/>
      <c r="L637" s="1434"/>
      <c r="M637" s="1465" t="s">
        <v>1290</v>
      </c>
      <c r="N637" s="1465"/>
      <c r="O637" s="1465"/>
      <c r="P637" s="1465"/>
      <c r="Q637" s="1448"/>
      <c r="R637" s="1449"/>
      <c r="S637" s="1450"/>
      <c r="T637" s="1448"/>
      <c r="U637" s="1449"/>
      <c r="V637" s="1450"/>
      <c r="W637" s="1455"/>
      <c r="X637" s="1456"/>
      <c r="Y637" s="1457"/>
      <c r="Z637" s="1468" t="s">
        <v>1290</v>
      </c>
      <c r="AA637" s="1469"/>
      <c r="AB637" s="1470"/>
      <c r="AC637" s="1435"/>
      <c r="AD637" s="1436"/>
      <c r="AE637" s="1437"/>
      <c r="AF637" s="1445"/>
      <c r="AG637" s="1446"/>
      <c r="AH637" s="1446"/>
      <c r="AI637" s="1446"/>
      <c r="AJ637" s="1447"/>
      <c r="AK637" s="1442"/>
      <c r="AL637" s="1443"/>
      <c r="AM637" s="1443"/>
      <c r="AN637" s="1444"/>
      <c r="AO637" s="1503"/>
      <c r="AP637" s="1504"/>
      <c r="AQ637" s="1504"/>
      <c r="AR637" s="1504"/>
      <c r="AS637" s="1505"/>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85">
        <f>IF(J773="SRO/Studio",O773,0)</f>
        <v>0</v>
      </c>
      <c r="BO637" s="1486"/>
      <c r="BP637" s="1486"/>
      <c r="BQ637" s="1486"/>
      <c r="BR637" s="1487"/>
      <c r="BS637" s="1484">
        <f>IF(J773="1 Bedroom",O773,0)</f>
        <v>0</v>
      </c>
      <c r="BT637" s="1484"/>
      <c r="BU637" s="1484"/>
      <c r="BV637" s="1484"/>
      <c r="BW637" s="1484"/>
      <c r="BX637" s="1484">
        <f>IF(J773="2 Bedrooms",O773,0)</f>
        <v>0</v>
      </c>
      <c r="BY637" s="1484"/>
      <c r="BZ637" s="1484"/>
      <c r="CA637" s="1484"/>
      <c r="CB637" s="1484"/>
      <c r="CC637" s="1484">
        <f>IF(J773="3 Bedrooms",O773,0)</f>
        <v>1</v>
      </c>
      <c r="CD637" s="1484"/>
      <c r="CE637" s="1484"/>
      <c r="CF637" s="1484"/>
      <c r="CG637" s="1484"/>
      <c r="CH637" s="1484">
        <f>IF(J773="4 Bedrooms",O773,0)</f>
        <v>0</v>
      </c>
      <c r="CI637" s="1484"/>
      <c r="CJ637" s="1484"/>
      <c r="CK637" s="1484"/>
      <c r="CL637" s="1484"/>
      <c r="CM637" s="1484">
        <f>IF(J773="5 Bedrooms",O773,0)</f>
        <v>0</v>
      </c>
      <c r="CN637" s="1484"/>
      <c r="CO637" s="1484"/>
      <c r="CP637" s="1484"/>
      <c r="CQ637" s="1484"/>
      <c r="CR637" s="6"/>
      <c r="CS637" s="3"/>
      <c r="CT637" s="3"/>
      <c r="CU637" s="3"/>
      <c r="CV637" s="3"/>
      <c r="CW637" s="3"/>
      <c r="CX637" s="3"/>
      <c r="CY637" s="3"/>
      <c r="CZ637" s="3"/>
      <c r="DA637" s="3"/>
      <c r="DB637" s="3"/>
      <c r="DC637" s="3"/>
      <c r="DD637" s="3"/>
      <c r="DE637" s="3"/>
      <c r="DF637" s="3"/>
      <c r="DX637" s="1478" t="e">
        <f t="shared" si="29"/>
        <v>#VALUE!</v>
      </c>
      <c r="DY637" s="1478"/>
      <c r="DZ637" s="1478"/>
      <c r="EA637" s="1478"/>
      <c r="EB637" s="1478"/>
      <c r="EC637" s="1478">
        <f t="shared" si="24"/>
        <v>925.71428571428567</v>
      </c>
      <c r="ED637" s="1478"/>
      <c r="EE637" s="1478"/>
      <c r="EF637" s="1478"/>
      <c r="EG637" s="1478"/>
      <c r="EH637" s="1478" t="e">
        <f t="shared" si="25"/>
        <v>#VALUE!</v>
      </c>
      <c r="EI637" s="1478"/>
      <c r="EJ637" s="1478"/>
      <c r="EK637" s="1478"/>
      <c r="EL637" s="1478"/>
      <c r="EM637" s="1478" t="e">
        <f t="shared" si="26"/>
        <v>#VALUE!</v>
      </c>
      <c r="EN637" s="1478"/>
      <c r="EO637" s="1478"/>
      <c r="EP637" s="1478"/>
      <c r="EQ637" s="1478"/>
      <c r="ER637" s="1478" t="e">
        <f t="shared" si="27"/>
        <v>#VALUE!</v>
      </c>
      <c r="ES637" s="1478"/>
      <c r="ET637" s="1478"/>
      <c r="EU637" s="1478"/>
      <c r="EV637" s="1478"/>
      <c r="EW637" s="1478" t="e">
        <f t="shared" si="28"/>
        <v>#VALUE!</v>
      </c>
      <c r="EX637" s="1478"/>
      <c r="EY637" s="1478"/>
      <c r="EZ637" s="1478"/>
      <c r="FA637" s="1478"/>
    </row>
    <row r="638" spans="2:157" ht="13.15" customHeight="1">
      <c r="B638" s="52" t="s">
        <v>364</v>
      </c>
      <c r="C638" s="1434"/>
      <c r="D638" s="1434"/>
      <c r="E638" s="1434"/>
      <c r="F638" s="1434"/>
      <c r="G638" s="1434"/>
      <c r="H638" s="1434"/>
      <c r="I638" s="1434"/>
      <c r="J638" s="1434"/>
      <c r="K638" s="1434"/>
      <c r="L638" s="1434"/>
      <c r="M638" s="1465" t="s">
        <v>1290</v>
      </c>
      <c r="N638" s="1465"/>
      <c r="O638" s="1465"/>
      <c r="P638" s="1465"/>
      <c r="Q638" s="1448"/>
      <c r="R638" s="1449"/>
      <c r="S638" s="1450"/>
      <c r="T638" s="1448"/>
      <c r="U638" s="1449"/>
      <c r="V638" s="1450"/>
      <c r="W638" s="1455"/>
      <c r="X638" s="1456"/>
      <c r="Y638" s="1457"/>
      <c r="Z638" s="1468" t="s">
        <v>1290</v>
      </c>
      <c r="AA638" s="1469"/>
      <c r="AB638" s="1470"/>
      <c r="AC638" s="1435"/>
      <c r="AD638" s="1436"/>
      <c r="AE638" s="1437"/>
      <c r="AF638" s="1445"/>
      <c r="AG638" s="1446"/>
      <c r="AH638" s="1446"/>
      <c r="AI638" s="1446"/>
      <c r="AJ638" s="1447"/>
      <c r="AK638" s="1442"/>
      <c r="AL638" s="1443"/>
      <c r="AM638" s="1443"/>
      <c r="AN638" s="1444"/>
      <c r="AO638" s="1503"/>
      <c r="AP638" s="1504"/>
      <c r="AQ638" s="1504"/>
      <c r="AR638" s="1504"/>
      <c r="AS638" s="150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5">
        <f>IF(J774="SRO/Studio",O774,0)</f>
        <v>0</v>
      </c>
      <c r="BO638" s="1486"/>
      <c r="BP638" s="1486"/>
      <c r="BQ638" s="1486"/>
      <c r="BR638" s="1487"/>
      <c r="BS638" s="1484">
        <f>IF(J774="1 Bedroom",O774,0)</f>
        <v>0</v>
      </c>
      <c r="BT638" s="1484"/>
      <c r="BU638" s="1484"/>
      <c r="BV638" s="1484"/>
      <c r="BW638" s="1484"/>
      <c r="BX638" s="1484">
        <f>IF(J774="2 Bedrooms",O774,0)</f>
        <v>0</v>
      </c>
      <c r="BY638" s="1484"/>
      <c r="BZ638" s="1484"/>
      <c r="CA638" s="1484"/>
      <c r="CB638" s="1484"/>
      <c r="CC638" s="1484">
        <f>IF(J774="3 Bedrooms",O774,0)</f>
        <v>0</v>
      </c>
      <c r="CD638" s="1484"/>
      <c r="CE638" s="1484"/>
      <c r="CF638" s="1484"/>
      <c r="CG638" s="1484"/>
      <c r="CH638" s="1484">
        <f>IF(J774="4 Bedrooms",O774,0)</f>
        <v>0</v>
      </c>
      <c r="CI638" s="1484"/>
      <c r="CJ638" s="1484"/>
      <c r="CK638" s="1484"/>
      <c r="CL638" s="1484"/>
      <c r="CM638" s="1484">
        <f>IF(J774="5 Bedrooms",O774,0)</f>
        <v>0</v>
      </c>
      <c r="CN638" s="1484"/>
      <c r="CO638" s="1484"/>
      <c r="CP638" s="1484"/>
      <c r="CQ638" s="1484"/>
      <c r="CR638" s="6"/>
      <c r="CS638" s="3"/>
      <c r="CT638" s="3"/>
      <c r="CU638" s="3"/>
      <c r="CV638" s="3"/>
      <c r="CW638" s="3"/>
      <c r="CX638" s="3"/>
      <c r="CY638" s="3"/>
      <c r="CZ638" s="3"/>
      <c r="DA638" s="3"/>
      <c r="DB638" s="3"/>
      <c r="DC638" s="3"/>
      <c r="DD638" s="3"/>
      <c r="DE638" s="3"/>
      <c r="DF638" s="3"/>
      <c r="DX638" s="1478" t="e">
        <f t="shared" si="29"/>
        <v>#VALUE!</v>
      </c>
      <c r="DY638" s="1478"/>
      <c r="DZ638" s="1478"/>
      <c r="EA638" s="1478"/>
      <c r="EB638" s="1478"/>
      <c r="EC638" s="1478">
        <f t="shared" si="24"/>
        <v>217.6</v>
      </c>
      <c r="ED638" s="1478"/>
      <c r="EE638" s="1478"/>
      <c r="EF638" s="1478"/>
      <c r="EG638" s="1478"/>
      <c r="EH638" s="1478" t="e">
        <f t="shared" si="25"/>
        <v>#VALUE!</v>
      </c>
      <c r="EI638" s="1478"/>
      <c r="EJ638" s="1478"/>
      <c r="EK638" s="1478"/>
      <c r="EL638" s="1478"/>
      <c r="EM638" s="1478" t="e">
        <f t="shared" si="26"/>
        <v>#VALUE!</v>
      </c>
      <c r="EN638" s="1478"/>
      <c r="EO638" s="1478"/>
      <c r="EP638" s="1478"/>
      <c r="EQ638" s="1478"/>
      <c r="ER638" s="1478" t="e">
        <f t="shared" si="27"/>
        <v>#VALUE!</v>
      </c>
      <c r="ES638" s="1478"/>
      <c r="ET638" s="1478"/>
      <c r="EU638" s="1478"/>
      <c r="EV638" s="1478"/>
      <c r="EW638" s="1478" t="e">
        <f t="shared" si="28"/>
        <v>#VALUE!</v>
      </c>
      <c r="EX638" s="1478"/>
      <c r="EY638" s="1478"/>
      <c r="EZ638" s="1478"/>
      <c r="FA638" s="1478"/>
    </row>
    <row r="639" spans="2:157" ht="13.15" customHeight="1">
      <c r="B639" s="1458" t="s">
        <v>128</v>
      </c>
      <c r="C639" s="1459"/>
      <c r="D639" s="1459"/>
      <c r="E639" s="1459"/>
      <c r="F639" s="1459"/>
      <c r="G639" s="1459"/>
      <c r="H639" s="1459"/>
      <c r="I639" s="1459"/>
      <c r="J639" s="1459"/>
      <c r="K639" s="1459"/>
      <c r="L639" s="1459"/>
      <c r="M639" s="1459"/>
      <c r="N639" s="1459"/>
      <c r="O639" s="1459"/>
      <c r="P639" s="1459"/>
      <c r="Q639" s="1459"/>
      <c r="R639" s="1459"/>
      <c r="S639" s="1459"/>
      <c r="T639" s="1459"/>
      <c r="U639" s="1459"/>
      <c r="V639" s="1459"/>
      <c r="W639" s="1459"/>
      <c r="X639" s="1459"/>
      <c r="Y639" s="1459"/>
      <c r="Z639" s="1459"/>
      <c r="AA639" s="1459"/>
      <c r="AB639" s="1459"/>
      <c r="AC639" s="1459"/>
      <c r="AD639" s="1459"/>
      <c r="AE639" s="1459"/>
      <c r="AF639" s="1459"/>
      <c r="AG639" s="1459"/>
      <c r="AH639" s="1459"/>
      <c r="AI639" s="1459"/>
      <c r="AJ639" s="1459"/>
      <c r="AK639" s="1459"/>
      <c r="AL639" s="1459"/>
      <c r="AM639" s="1459"/>
      <c r="AN639" s="1460"/>
      <c r="AO639" s="1625">
        <f>SUM(AO627:AR638)</f>
        <v>28057240</v>
      </c>
      <c r="AP639" s="1626"/>
      <c r="AQ639" s="1626"/>
      <c r="AR639" s="1626"/>
      <c r="AS639" s="1627"/>
      <c r="AV639" s="3"/>
      <c r="AW639" s="3"/>
      <c r="AX639" s="3"/>
      <c r="AY639" s="3"/>
      <c r="AZ639" s="34"/>
      <c r="BA639" s="34"/>
      <c r="BB639" s="34"/>
      <c r="BC639" s="34"/>
      <c r="BD639" s="34"/>
      <c r="BE639" s="34"/>
      <c r="BF639" s="34"/>
      <c r="BG639" s="34"/>
      <c r="BH639" s="34"/>
      <c r="BI639" s="34"/>
      <c r="BJ639" s="34"/>
      <c r="BK639" s="34"/>
      <c r="BL639" s="34"/>
      <c r="BM639" s="34"/>
      <c r="BN639" s="1485">
        <f>IF(J775="SRO/Studio",O775,0)</f>
        <v>0</v>
      </c>
      <c r="BO639" s="1486"/>
      <c r="BP639" s="1486"/>
      <c r="BQ639" s="1486"/>
      <c r="BR639" s="1487"/>
      <c r="BS639" s="1484">
        <f>IF(J775="1 Bedroom",O775,0)</f>
        <v>0</v>
      </c>
      <c r="BT639" s="1484"/>
      <c r="BU639" s="1484"/>
      <c r="BV639" s="1484"/>
      <c r="BW639" s="1484"/>
      <c r="BX639" s="1484">
        <f>IF(J775="2 Bedrooms",O775,0)</f>
        <v>0</v>
      </c>
      <c r="BY639" s="1484"/>
      <c r="BZ639" s="1484"/>
      <c r="CA639" s="1484"/>
      <c r="CB639" s="1484"/>
      <c r="CC639" s="1484">
        <f>IF(J775="3 Bedrooms",O775,0)</f>
        <v>0</v>
      </c>
      <c r="CD639" s="1484"/>
      <c r="CE639" s="1484"/>
      <c r="CF639" s="1484"/>
      <c r="CG639" s="1484"/>
      <c r="CH639" s="1484">
        <f>IF(J775="4 Bedrooms",O775,0)</f>
        <v>0</v>
      </c>
      <c r="CI639" s="1484"/>
      <c r="CJ639" s="1484"/>
      <c r="CK639" s="1484"/>
      <c r="CL639" s="1484"/>
      <c r="CM639" s="1484">
        <f>IF(J775="5 Bedrooms",O775,0)</f>
        <v>0</v>
      </c>
      <c r="CN639" s="1484"/>
      <c r="CO639" s="1484"/>
      <c r="CP639" s="1484"/>
      <c r="CQ639" s="1484"/>
      <c r="CR639" s="1047"/>
      <c r="CV639" s="3"/>
      <c r="CW639" s="3"/>
      <c r="CX639" s="3"/>
      <c r="CY639" s="3"/>
      <c r="CZ639" s="3"/>
      <c r="DA639" s="3"/>
      <c r="DB639" s="3"/>
      <c r="DC639" s="3"/>
      <c r="DD639" s="3"/>
      <c r="DE639" s="3"/>
      <c r="DF639" s="3"/>
      <c r="DX639" s="1478" t="e">
        <f t="shared" si="29"/>
        <v>#VALUE!</v>
      </c>
      <c r="DY639" s="1478"/>
      <c r="DZ639" s="1478"/>
      <c r="EA639" s="1478"/>
      <c r="EB639" s="1478"/>
      <c r="EC639" s="1478" t="e">
        <f t="shared" si="24"/>
        <v>#VALUE!</v>
      </c>
      <c r="ED639" s="1478"/>
      <c r="EE639" s="1478"/>
      <c r="EF639" s="1478"/>
      <c r="EG639" s="1478"/>
      <c r="EH639" s="1478">
        <f t="shared" si="25"/>
        <v>130.28571428571428</v>
      </c>
      <c r="EI639" s="1478"/>
      <c r="EJ639" s="1478"/>
      <c r="EK639" s="1478"/>
      <c r="EL639" s="1478"/>
      <c r="EM639" s="1478" t="e">
        <f t="shared" si="26"/>
        <v>#VALUE!</v>
      </c>
      <c r="EN639" s="1478"/>
      <c r="EO639" s="1478"/>
      <c r="EP639" s="1478"/>
      <c r="EQ639" s="1478"/>
      <c r="ER639" s="1478" t="e">
        <f t="shared" si="27"/>
        <v>#VALUE!</v>
      </c>
      <c r="ES639" s="1478"/>
      <c r="ET639" s="1478"/>
      <c r="EU639" s="1478"/>
      <c r="EV639" s="1478"/>
      <c r="EW639" s="1478" t="e">
        <f t="shared" si="28"/>
        <v>#VALUE!</v>
      </c>
      <c r="EX639" s="1478"/>
      <c r="EY639" s="1478"/>
      <c r="EZ639" s="1478"/>
      <c r="FA639" s="1478"/>
    </row>
    <row r="640" spans="2:157" ht="13.15" customHeight="1">
      <c r="B640" s="1458" t="s">
        <v>268</v>
      </c>
      <c r="C640" s="1459"/>
      <c r="D640" s="1459"/>
      <c r="E640" s="1459"/>
      <c r="F640" s="1459"/>
      <c r="G640" s="1459"/>
      <c r="H640" s="1459"/>
      <c r="I640" s="1459"/>
      <c r="J640" s="1459"/>
      <c r="K640" s="1459"/>
      <c r="L640" s="1459"/>
      <c r="M640" s="1459"/>
      <c r="N640" s="1459"/>
      <c r="O640" s="1459"/>
      <c r="P640" s="1459"/>
      <c r="Q640" s="1459"/>
      <c r="R640" s="1459"/>
      <c r="S640" s="1459"/>
      <c r="T640" s="1459"/>
      <c r="U640" s="1459"/>
      <c r="V640" s="1459"/>
      <c r="W640" s="1459"/>
      <c r="X640" s="1459"/>
      <c r="Y640" s="1459"/>
      <c r="Z640" s="1459"/>
      <c r="AA640" s="1459"/>
      <c r="AB640" s="1459"/>
      <c r="AC640" s="1459"/>
      <c r="AD640" s="1459"/>
      <c r="AE640" s="1459"/>
      <c r="AF640" s="1459"/>
      <c r="AG640" s="1459"/>
      <c r="AH640" s="1459"/>
      <c r="AI640" s="1459"/>
      <c r="AJ640" s="1459"/>
      <c r="AK640" s="1459"/>
      <c r="AL640" s="1459"/>
      <c r="AM640" s="1459"/>
      <c r="AN640" s="1460"/>
      <c r="AO640" s="1503">
        <f>'Sources and Uses Budget'!E105</f>
        <v>38500467.400000006</v>
      </c>
      <c r="AP640" s="1504"/>
      <c r="AQ640" s="1504"/>
      <c r="AR640" s="1504"/>
      <c r="AS640" s="1505"/>
      <c r="AV640" s="3"/>
      <c r="AW640" s="3"/>
      <c r="AX640" s="3"/>
      <c r="AY640" s="3"/>
      <c r="AZ640" s="34"/>
      <c r="BA640" s="34"/>
      <c r="BB640" s="34"/>
      <c r="BC640" s="34"/>
      <c r="BD640" s="34"/>
      <c r="BE640" s="34"/>
      <c r="BF640" s="34"/>
      <c r="BG640" s="34"/>
      <c r="BH640" s="34"/>
      <c r="BI640" s="34"/>
      <c r="BJ640" s="34"/>
      <c r="BK640" s="34"/>
      <c r="BL640" s="34"/>
      <c r="BM640" s="34"/>
      <c r="BN640" s="1485">
        <f>IF(J776="SRO/Studio",O776,0)</f>
        <v>0</v>
      </c>
      <c r="BO640" s="1486"/>
      <c r="BP640" s="1486"/>
      <c r="BQ640" s="1486"/>
      <c r="BR640" s="1487"/>
      <c r="BS640" s="1484">
        <f>IF(J776="1 Bedroom",O776,0)</f>
        <v>0</v>
      </c>
      <c r="BT640" s="1484"/>
      <c r="BU640" s="1484"/>
      <c r="BV640" s="1484"/>
      <c r="BW640" s="1484"/>
      <c r="BX640" s="1484">
        <f>IF(J776="2 Bedrooms",O776,0)</f>
        <v>0</v>
      </c>
      <c r="BY640" s="1484"/>
      <c r="BZ640" s="1484"/>
      <c r="CA640" s="1484"/>
      <c r="CB640" s="1484"/>
      <c r="CC640" s="1484">
        <f>IF(J776="3 Bedrooms",O776,0)</f>
        <v>0</v>
      </c>
      <c r="CD640" s="1484"/>
      <c r="CE640" s="1484"/>
      <c r="CF640" s="1484"/>
      <c r="CG640" s="1484"/>
      <c r="CH640" s="1484">
        <f>IF(J776="4 Bedrooms",O776,0)</f>
        <v>0</v>
      </c>
      <c r="CI640" s="1484"/>
      <c r="CJ640" s="1484"/>
      <c r="CK640" s="1484"/>
      <c r="CL640" s="1484"/>
      <c r="CM640" s="1484">
        <f>IF(J776="5 Bedrooms",O776,0)</f>
        <v>0</v>
      </c>
      <c r="CN640" s="1484"/>
      <c r="CO640" s="1484"/>
      <c r="CP640" s="1484"/>
      <c r="CQ640" s="1484"/>
      <c r="CV640" s="3"/>
      <c r="CW640" s="3"/>
      <c r="CX640" s="3"/>
      <c r="CY640" s="3"/>
      <c r="CZ640" s="3"/>
      <c r="DA640" s="3"/>
      <c r="DB640" s="3"/>
      <c r="DC640" s="3"/>
      <c r="DD640" s="3"/>
      <c r="DE640" s="3"/>
      <c r="DF640" s="3"/>
      <c r="DX640" s="1478" t="e">
        <f t="shared" si="29"/>
        <v>#VALUE!</v>
      </c>
      <c r="DY640" s="1478"/>
      <c r="DZ640" s="1478"/>
      <c r="EA640" s="1478"/>
      <c r="EB640" s="1478"/>
      <c r="EC640" s="1478" t="e">
        <f t="shared" si="24"/>
        <v>#VALUE!</v>
      </c>
      <c r="ED640" s="1478"/>
      <c r="EE640" s="1478"/>
      <c r="EF640" s="1478"/>
      <c r="EG640" s="1478"/>
      <c r="EH640" s="1478">
        <f t="shared" si="25"/>
        <v>170.78571428571428</v>
      </c>
      <c r="EI640" s="1478"/>
      <c r="EJ640" s="1478"/>
      <c r="EK640" s="1478"/>
      <c r="EL640" s="1478"/>
      <c r="EM640" s="1478" t="e">
        <f t="shared" si="26"/>
        <v>#VALUE!</v>
      </c>
      <c r="EN640" s="1478"/>
      <c r="EO640" s="1478"/>
      <c r="EP640" s="1478"/>
      <c r="EQ640" s="1478"/>
      <c r="ER640" s="1478" t="e">
        <f t="shared" si="27"/>
        <v>#VALUE!</v>
      </c>
      <c r="ES640" s="1478"/>
      <c r="ET640" s="1478"/>
      <c r="EU640" s="1478"/>
      <c r="EV640" s="1478"/>
      <c r="EW640" s="1478" t="e">
        <f t="shared" si="28"/>
        <v>#VALUE!</v>
      </c>
      <c r="EX640" s="1478"/>
      <c r="EY640" s="1478"/>
      <c r="EZ640" s="1478"/>
      <c r="FA640" s="1478"/>
    </row>
    <row r="641" spans="1:157" ht="13.15" customHeight="1">
      <c r="B641" s="1461" t="s">
        <v>269</v>
      </c>
      <c r="C641" s="1462"/>
      <c r="D641" s="1462"/>
      <c r="E641" s="1462"/>
      <c r="F641" s="1462"/>
      <c r="G641" s="1462"/>
      <c r="H641" s="1462"/>
      <c r="I641" s="1462"/>
      <c r="J641" s="1462"/>
      <c r="K641" s="1462"/>
      <c r="L641" s="1462"/>
      <c r="M641" s="1462"/>
      <c r="N641" s="1462"/>
      <c r="O641" s="1462"/>
      <c r="P641" s="1462"/>
      <c r="Q641" s="1462"/>
      <c r="R641" s="1462"/>
      <c r="S641" s="1462"/>
      <c r="T641" s="1462"/>
      <c r="U641" s="1462"/>
      <c r="V641" s="1462"/>
      <c r="W641" s="1462"/>
      <c r="X641" s="1462"/>
      <c r="Y641" s="1462"/>
      <c r="Z641" s="1462"/>
      <c r="AA641" s="1462"/>
      <c r="AB641" s="1462"/>
      <c r="AC641" s="1462"/>
      <c r="AD641" s="1462"/>
      <c r="AE641" s="1462"/>
      <c r="AF641" s="1462"/>
      <c r="AG641" s="1462"/>
      <c r="AH641" s="1462"/>
      <c r="AI641" s="1462"/>
      <c r="AJ641" s="1462"/>
      <c r="AK641" s="1462"/>
      <c r="AL641" s="1462"/>
      <c r="AM641" s="1462"/>
      <c r="AN641" s="1463"/>
      <c r="AO641" s="1625">
        <f>AO639+AO640</f>
        <v>66557707.400000006</v>
      </c>
      <c r="AP641" s="1626"/>
      <c r="AQ641" s="1626"/>
      <c r="AR641" s="1626"/>
      <c r="AS641" s="1627"/>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02"/>
      <c r="BP641" s="1502"/>
      <c r="BQ641" s="1502"/>
      <c r="BR641" s="1501"/>
      <c r="BS641" s="1488">
        <f>SUM(BS637:BW640)</f>
        <v>0</v>
      </c>
      <c r="BT641" s="1489"/>
      <c r="BU641" s="1489"/>
      <c r="BV641" s="1489"/>
      <c r="BW641" s="1490"/>
      <c r="BX641" s="1488">
        <f>SUM(BX637:CB640)</f>
        <v>0</v>
      </c>
      <c r="BY641" s="1489"/>
      <c r="BZ641" s="1489"/>
      <c r="CA641" s="1489"/>
      <c r="CB641" s="1490"/>
      <c r="CC641" s="1488">
        <f>SUM(CC637:CG640)</f>
        <v>1</v>
      </c>
      <c r="CD641" s="1489"/>
      <c r="CE641" s="1489"/>
      <c r="CF641" s="1489"/>
      <c r="CG641" s="1490"/>
      <c r="CH641" s="1488">
        <f>SUM(CH637:CL640)</f>
        <v>0</v>
      </c>
      <c r="CI641" s="1489"/>
      <c r="CJ641" s="1489"/>
      <c r="CK641" s="1489"/>
      <c r="CL641" s="1490"/>
      <c r="CM641" s="1488">
        <f>SUM(CM637:CQ640)</f>
        <v>0</v>
      </c>
      <c r="CN641" s="1489"/>
      <c r="CO641" s="1489"/>
      <c r="CP641" s="1489"/>
      <c r="CQ641" s="1490"/>
      <c r="CS641" s="895">
        <f>BN641+BS641+BX641+CC641+CH641+CM641</f>
        <v>1</v>
      </c>
      <c r="CT641" s="57" t="s">
        <v>2049</v>
      </c>
      <c r="CU641" s="3"/>
      <c r="CV641" s="3"/>
      <c r="CW641" s="3"/>
      <c r="CX641" s="3"/>
      <c r="CY641" s="3"/>
      <c r="CZ641" s="3"/>
      <c r="DA641" s="3"/>
      <c r="DB641" s="3"/>
      <c r="DC641" s="3"/>
      <c r="DD641" s="3"/>
      <c r="DE641" s="3"/>
      <c r="DF641" s="3"/>
      <c r="DX641" s="1478" t="e">
        <f t="shared" si="29"/>
        <v>#VALUE!</v>
      </c>
      <c r="DY641" s="1478"/>
      <c r="DZ641" s="1478"/>
      <c r="EA641" s="1478"/>
      <c r="EB641" s="1478"/>
      <c r="EC641" s="1478" t="e">
        <f t="shared" si="24"/>
        <v>#VALUE!</v>
      </c>
      <c r="ED641" s="1478"/>
      <c r="EE641" s="1478"/>
      <c r="EF641" s="1478"/>
      <c r="EG641" s="1478"/>
      <c r="EH641" s="1478">
        <f t="shared" si="25"/>
        <v>691.07142857142856</v>
      </c>
      <c r="EI641" s="1478"/>
      <c r="EJ641" s="1478"/>
      <c r="EK641" s="1478"/>
      <c r="EL641" s="1478"/>
      <c r="EM641" s="1478" t="e">
        <f t="shared" si="26"/>
        <v>#VALUE!</v>
      </c>
      <c r="EN641" s="1478"/>
      <c r="EO641" s="1478"/>
      <c r="EP641" s="1478"/>
      <c r="EQ641" s="1478"/>
      <c r="ER641" s="1478" t="e">
        <f t="shared" si="27"/>
        <v>#VALUE!</v>
      </c>
      <c r="ES641" s="1478"/>
      <c r="ET641" s="1478"/>
      <c r="EU641" s="1478"/>
      <c r="EV641" s="1478"/>
      <c r="EW641" s="1478" t="e">
        <f t="shared" si="28"/>
        <v>#VALUE!</v>
      </c>
      <c r="EX641" s="1478"/>
      <c r="EY641" s="1478"/>
      <c r="EZ641" s="1478"/>
      <c r="FA641" s="1478"/>
    </row>
    <row r="642" spans="1:157" ht="13.1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2051</v>
      </c>
      <c r="CU642" s="3"/>
      <c r="CV642" s="3"/>
      <c r="CW642" s="3"/>
      <c r="CX642" s="3"/>
      <c r="CY642" s="3"/>
      <c r="CZ642" s="3"/>
      <c r="DA642" s="3"/>
      <c r="DB642" s="3"/>
      <c r="DC642" s="3"/>
      <c r="DD642" s="3"/>
      <c r="DE642" s="3"/>
      <c r="DF642" s="3"/>
      <c r="DX642" s="1478" t="e">
        <f t="shared" si="29"/>
        <v>#VALUE!</v>
      </c>
      <c r="DY642" s="1478"/>
      <c r="DZ642" s="1478"/>
      <c r="EA642" s="1478"/>
      <c r="EB642" s="1478"/>
      <c r="EC642" s="1478" t="e">
        <f t="shared" si="24"/>
        <v>#VALUE!</v>
      </c>
      <c r="ED642" s="1478"/>
      <c r="EE642" s="1478"/>
      <c r="EF642" s="1478"/>
      <c r="EG642" s="1478"/>
      <c r="EH642" s="1478">
        <f t="shared" si="25"/>
        <v>894.14285714285711</v>
      </c>
      <c r="EI642" s="1478"/>
      <c r="EJ642" s="1478"/>
      <c r="EK642" s="1478"/>
      <c r="EL642" s="1478"/>
      <c r="EM642" s="1478" t="e">
        <f t="shared" si="26"/>
        <v>#VALUE!</v>
      </c>
      <c r="EN642" s="1478"/>
      <c r="EO642" s="1478"/>
      <c r="EP642" s="1478"/>
      <c r="EQ642" s="1478"/>
      <c r="ER642" s="1478" t="e">
        <f t="shared" si="27"/>
        <v>#VALUE!</v>
      </c>
      <c r="ES642" s="1478"/>
      <c r="ET642" s="1478"/>
      <c r="EU642" s="1478"/>
      <c r="EV642" s="1478"/>
      <c r="EW642" s="1478" t="e">
        <f t="shared" si="28"/>
        <v>#VALUE!</v>
      </c>
      <c r="EX642" s="1478"/>
      <c r="EY642" s="1478"/>
      <c r="EZ642" s="1478"/>
      <c r="FA642" s="1478"/>
    </row>
    <row r="643" spans="1:157" ht="13.15" customHeight="1">
      <c r="A643" s="55" t="s">
        <v>112</v>
      </c>
      <c r="B643" t="s">
        <v>471</v>
      </c>
      <c r="G643" s="1464" t="str">
        <f>C627</f>
        <v>Citibank Permanent Loan</v>
      </c>
      <c r="H643" s="1464"/>
      <c r="I643" s="1464"/>
      <c r="J643" s="1464"/>
      <c r="K643" s="1464"/>
      <c r="L643" s="1464"/>
      <c r="M643" s="1464"/>
      <c r="N643" s="1464"/>
      <c r="O643" s="1464"/>
      <c r="P643" s="1464"/>
      <c r="Q643" s="1464"/>
      <c r="R643" s="1464"/>
      <c r="S643" s="8"/>
      <c r="T643" s="55" t="s">
        <v>113</v>
      </c>
      <c r="U643" t="s">
        <v>471</v>
      </c>
      <c r="Z643" s="1464" t="str">
        <f>C628</f>
        <v>City of San Diego Bridge To HOME</v>
      </c>
      <c r="AA643" s="1464"/>
      <c r="AB643" s="1464"/>
      <c r="AC643" s="1464"/>
      <c r="AD643" s="1464"/>
      <c r="AE643" s="1464"/>
      <c r="AF643" s="1464"/>
      <c r="AG643" s="1464"/>
      <c r="AH643" s="1464"/>
      <c r="AI643" s="1464"/>
      <c r="AJ643" s="1464"/>
      <c r="AK643" s="146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29"/>
        <v>#VALUE!</v>
      </c>
      <c r="DY643" s="1478"/>
      <c r="DZ643" s="1478"/>
      <c r="EA643" s="1478"/>
      <c r="EB643" s="1478"/>
      <c r="EC643" s="1478" t="e">
        <f t="shared" si="24"/>
        <v>#VALUE!</v>
      </c>
      <c r="ED643" s="1478"/>
      <c r="EE643" s="1478"/>
      <c r="EF643" s="1478"/>
      <c r="EG643" s="1478"/>
      <c r="EH643" s="1478" t="e">
        <f t="shared" si="25"/>
        <v>#VALUE!</v>
      </c>
      <c r="EI643" s="1478"/>
      <c r="EJ643" s="1478"/>
      <c r="EK643" s="1478"/>
      <c r="EL643" s="1478"/>
      <c r="EM643" s="1478">
        <f t="shared" si="26"/>
        <v>122</v>
      </c>
      <c r="EN643" s="1478"/>
      <c r="EO643" s="1478"/>
      <c r="EP643" s="1478"/>
      <c r="EQ643" s="1478"/>
      <c r="ER643" s="1478" t="e">
        <f t="shared" si="27"/>
        <v>#VALUE!</v>
      </c>
      <c r="ES643" s="1478"/>
      <c r="ET643" s="1478"/>
      <c r="EU643" s="1478"/>
      <c r="EV643" s="1478"/>
      <c r="EW643" s="1478" t="e">
        <f t="shared" si="28"/>
        <v>#VALUE!</v>
      </c>
      <c r="EX643" s="1478"/>
      <c r="EY643" s="1478"/>
      <c r="EZ643" s="1478"/>
      <c r="FA643" s="1478"/>
    </row>
    <row r="644" spans="1:157" ht="13.15" customHeight="1">
      <c r="A644" s="22"/>
      <c r="B644" t="s">
        <v>85</v>
      </c>
      <c r="G644" s="1368" t="s">
        <v>2742</v>
      </c>
      <c r="H644" s="1368"/>
      <c r="I644" s="1368"/>
      <c r="J644" s="1368"/>
      <c r="K644" s="1368"/>
      <c r="L644" s="1368"/>
      <c r="M644" s="1368"/>
      <c r="N644" s="1368"/>
      <c r="O644" s="1368"/>
      <c r="P644" s="1368"/>
      <c r="Q644" s="1368"/>
      <c r="R644" s="1368"/>
      <c r="S644" s="8"/>
      <c r="T644" s="22"/>
      <c r="U644" t="s">
        <v>85</v>
      </c>
      <c r="Z644" s="1368" t="s">
        <v>2755</v>
      </c>
      <c r="AA644" s="1368"/>
      <c r="AB644" s="1368"/>
      <c r="AC644" s="1368"/>
      <c r="AD644" s="1368"/>
      <c r="AE644" s="1368"/>
      <c r="AF644" s="1368"/>
      <c r="AG644" s="1368"/>
      <c r="AH644" s="1368"/>
      <c r="AI644" s="1368"/>
      <c r="AJ644" s="1368"/>
      <c r="AK644" s="1368"/>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78" t="e">
        <f t="shared" si="29"/>
        <v>#VALUE!</v>
      </c>
      <c r="DY644" s="1478"/>
      <c r="DZ644" s="1478"/>
      <c r="EA644" s="1478"/>
      <c r="EB644" s="1478"/>
      <c r="EC644" s="1478" t="e">
        <f t="shared" si="24"/>
        <v>#VALUE!</v>
      </c>
      <c r="ED644" s="1478"/>
      <c r="EE644" s="1478"/>
      <c r="EF644" s="1478"/>
      <c r="EG644" s="1478"/>
      <c r="EH644" s="1478" t="e">
        <f t="shared" si="25"/>
        <v>#VALUE!</v>
      </c>
      <c r="EI644" s="1478"/>
      <c r="EJ644" s="1478"/>
      <c r="EK644" s="1478"/>
      <c r="EL644" s="1478"/>
      <c r="EM644" s="1478">
        <f t="shared" si="26"/>
        <v>214.70588235294116</v>
      </c>
      <c r="EN644" s="1478"/>
      <c r="EO644" s="1478"/>
      <c r="EP644" s="1478"/>
      <c r="EQ644" s="1478"/>
      <c r="ER644" s="1478" t="e">
        <f t="shared" si="27"/>
        <v>#VALUE!</v>
      </c>
      <c r="ES644" s="1478"/>
      <c r="ET644" s="1478"/>
      <c r="EU644" s="1478"/>
      <c r="EV644" s="1478"/>
      <c r="EW644" s="1478" t="e">
        <f t="shared" si="28"/>
        <v>#VALUE!</v>
      </c>
      <c r="EX644" s="1478"/>
      <c r="EY644" s="1478"/>
      <c r="EZ644" s="1478"/>
      <c r="FA644" s="1478"/>
    </row>
    <row r="645" spans="1:157" ht="13.15" customHeight="1">
      <c r="A645" s="22"/>
      <c r="B645" t="s">
        <v>588</v>
      </c>
      <c r="G645" s="1368" t="s">
        <v>2743</v>
      </c>
      <c r="H645" s="1368"/>
      <c r="I645" s="1368"/>
      <c r="J645" s="1368"/>
      <c r="K645" s="1368"/>
      <c r="L645" s="1368"/>
      <c r="M645" s="1368"/>
      <c r="N645" s="1368"/>
      <c r="O645" s="1368"/>
      <c r="P645" s="1368"/>
      <c r="Q645" s="1368"/>
      <c r="R645" s="1368"/>
      <c r="T645" s="22"/>
      <c r="U645" t="s">
        <v>588</v>
      </c>
      <c r="Z645" s="1438" t="s">
        <v>2729</v>
      </c>
      <c r="AA645" s="1438"/>
      <c r="AB645" s="1438"/>
      <c r="AC645" s="1438"/>
      <c r="AD645" s="1438"/>
      <c r="AE645" s="1438"/>
      <c r="AF645" s="1438"/>
      <c r="AG645" s="1438"/>
      <c r="AH645" s="1438"/>
      <c r="AI645" s="1438"/>
      <c r="AJ645" s="1438"/>
      <c r="AK645" s="1438"/>
      <c r="AV645" s="3"/>
      <c r="AW645" s="3"/>
      <c r="AX645" s="3"/>
      <c r="AY645" s="3"/>
      <c r="AZ645" s="3"/>
      <c r="BA645" s="3"/>
      <c r="BB645" s="3"/>
      <c r="BC645" s="3"/>
      <c r="BD645" s="3"/>
      <c r="BE645" s="3"/>
      <c r="BF645" s="3"/>
      <c r="BG645" s="3"/>
      <c r="BH645" s="3"/>
      <c r="BI645" s="3"/>
      <c r="BJ645" s="3"/>
      <c r="BK645" s="3"/>
      <c r="BL645" s="3"/>
      <c r="BM645" s="3"/>
      <c r="BN645" s="1485">
        <f t="shared" ref="BN645:BN654" si="30">IF(J787="SRO/Studio",O787,0)</f>
        <v>0</v>
      </c>
      <c r="BO645" s="1486"/>
      <c r="BP645" s="1486"/>
      <c r="BQ645" s="1486"/>
      <c r="BR645" s="1487"/>
      <c r="BS645" s="1484">
        <f t="shared" ref="BS645:BS654" si="31">IF(J787="1 Bedroom",O787,0)</f>
        <v>0</v>
      </c>
      <c r="BT645" s="1484"/>
      <c r="BU645" s="1484"/>
      <c r="BV645" s="1484"/>
      <c r="BW645" s="1484"/>
      <c r="BX645" s="1484">
        <f t="shared" ref="BX645:BX654" si="32">IF(J787="2 Bedrooms",O787,0)</f>
        <v>0</v>
      </c>
      <c r="BY645" s="1484"/>
      <c r="BZ645" s="1484"/>
      <c r="CA645" s="1484"/>
      <c r="CB645" s="1484"/>
      <c r="CC645" s="1484">
        <f t="shared" ref="CC645:CC654" si="33">IF(J787="3 Bedrooms",O787,0)</f>
        <v>0</v>
      </c>
      <c r="CD645" s="1484"/>
      <c r="CE645" s="1484"/>
      <c r="CF645" s="1484"/>
      <c r="CG645" s="1484"/>
      <c r="CH645" s="1484">
        <f t="shared" ref="CH645:CH654" si="34">IF(J787="4 Bedrooms",O787,0)</f>
        <v>0</v>
      </c>
      <c r="CI645" s="1484"/>
      <c r="CJ645" s="1484"/>
      <c r="CK645" s="1484"/>
      <c r="CL645" s="1484"/>
      <c r="CM645" s="1484">
        <f t="shared" ref="CM645:CM654" si="35">IF(J787="5 Bedrooms",O787,0)</f>
        <v>0</v>
      </c>
      <c r="CN645" s="1484"/>
      <c r="CO645" s="1484"/>
      <c r="CP645" s="1484"/>
      <c r="CQ645" s="1484"/>
      <c r="CR645" s="6"/>
      <c r="CS645" s="1485">
        <f t="shared" ref="CS645:CS654" si="36">IF(AND(BN645&gt;=1,AH787&gt;=0.1,AH787&lt;=1),O787,0)</f>
        <v>0</v>
      </c>
      <c r="CT645" s="1486"/>
      <c r="CU645" s="1486"/>
      <c r="CV645" s="1486"/>
      <c r="CW645" s="1487"/>
      <c r="CX645" s="1485">
        <f t="shared" ref="CX645:CX654" si="37">IF(AND(BS645&gt;=1,AH787&gt;=0.1,AH787&lt;=1),O787,0)</f>
        <v>0</v>
      </c>
      <c r="CY645" s="1486"/>
      <c r="CZ645" s="1486"/>
      <c r="DA645" s="1486"/>
      <c r="DB645" s="1487"/>
      <c r="DC645" s="1485">
        <f t="shared" ref="DC645:DC654" si="38">IF(AND(BX645&gt;=1,AH787&gt;=0.1,AH787&lt;=1),O787,0)</f>
        <v>0</v>
      </c>
      <c r="DD645" s="1486"/>
      <c r="DE645" s="1486"/>
      <c r="DF645" s="1486"/>
      <c r="DG645" s="1487"/>
      <c r="DH645" s="1485">
        <f t="shared" ref="DH645:DH654" si="39">IF(AND(CC645&gt;=1,AH787&gt;=0.1,AH787&lt;=1),O787,0)</f>
        <v>0</v>
      </c>
      <c r="DI645" s="1486"/>
      <c r="DJ645" s="1486"/>
      <c r="DK645" s="1486"/>
      <c r="DL645" s="1487"/>
      <c r="DM645" s="1485">
        <f t="shared" ref="DM645:DM654" si="40">IF(AND(CH645&gt;=1,AH787&gt;=0.1,AH787&lt;=1),O787,0)</f>
        <v>0</v>
      </c>
      <c r="DN645" s="1486"/>
      <c r="DO645" s="1486"/>
      <c r="DP645" s="1486"/>
      <c r="DQ645" s="1487"/>
      <c r="DR645" s="1485">
        <f t="shared" ref="DR645:DR654" si="41">IF(AND(CM645&gt;=1,AH787&gt;=0.1,AH787&lt;=1),O787,0)</f>
        <v>0</v>
      </c>
      <c r="DS645" s="1486"/>
      <c r="DT645" s="1486"/>
      <c r="DU645" s="1486"/>
      <c r="DV645" s="1487"/>
      <c r="DX645" s="1478" t="e">
        <f t="shared" si="29"/>
        <v>#VALUE!</v>
      </c>
      <c r="DY645" s="1478"/>
      <c r="DZ645" s="1478"/>
      <c r="EA645" s="1478"/>
      <c r="EB645" s="1478"/>
      <c r="EC645" s="1478" t="e">
        <f t="shared" si="24"/>
        <v>#VALUE!</v>
      </c>
      <c r="ED645" s="1478"/>
      <c r="EE645" s="1478"/>
      <c r="EF645" s="1478"/>
      <c r="EG645" s="1478"/>
      <c r="EH645" s="1478" t="e">
        <f t="shared" si="25"/>
        <v>#VALUE!</v>
      </c>
      <c r="EI645" s="1478"/>
      <c r="EJ645" s="1478"/>
      <c r="EK645" s="1478"/>
      <c r="EL645" s="1478"/>
      <c r="EM645" s="1478">
        <f t="shared" si="26"/>
        <v>652.64705882352939</v>
      </c>
      <c r="EN645" s="1478"/>
      <c r="EO645" s="1478"/>
      <c r="EP645" s="1478"/>
      <c r="EQ645" s="1478"/>
      <c r="ER645" s="1478" t="e">
        <f t="shared" si="27"/>
        <v>#VALUE!</v>
      </c>
      <c r="ES645" s="1478"/>
      <c r="ET645" s="1478"/>
      <c r="EU645" s="1478"/>
      <c r="EV645" s="1478"/>
      <c r="EW645" s="1478" t="e">
        <f t="shared" si="28"/>
        <v>#VALUE!</v>
      </c>
      <c r="EX645" s="1478"/>
      <c r="EY645" s="1478"/>
      <c r="EZ645" s="1478"/>
      <c r="FA645" s="1478"/>
    </row>
    <row r="646" spans="1:157" ht="13.15" customHeight="1">
      <c r="A646" s="22"/>
      <c r="B646" t="s">
        <v>17</v>
      </c>
      <c r="G646" s="1368" t="s">
        <v>2744</v>
      </c>
      <c r="H646" s="1368"/>
      <c r="I646" s="1368"/>
      <c r="J646" s="1368"/>
      <c r="K646" s="1368"/>
      <c r="L646" s="1368"/>
      <c r="M646" s="1368"/>
      <c r="N646" s="1368"/>
      <c r="O646" s="1368"/>
      <c r="P646" s="1368"/>
      <c r="Q646" s="1368"/>
      <c r="R646" s="1368"/>
      <c r="S646" s="8"/>
      <c r="T646" s="22"/>
      <c r="U646" t="s">
        <v>17</v>
      </c>
      <c r="Z646" s="1438" t="s">
        <v>2752</v>
      </c>
      <c r="AA646" s="1438"/>
      <c r="AB646" s="1438"/>
      <c r="AC646" s="1438"/>
      <c r="AD646" s="1438"/>
      <c r="AE646" s="1438"/>
      <c r="AF646" s="1438"/>
      <c r="AG646" s="1438"/>
      <c r="AH646" s="1438"/>
      <c r="AI646" s="1438"/>
      <c r="AJ646" s="1438"/>
      <c r="AK646" s="1438"/>
      <c r="AZ646" s="3"/>
      <c r="BA646" s="3"/>
      <c r="BB646" s="3"/>
      <c r="BC646" s="3"/>
      <c r="BD646" s="3"/>
      <c r="BE646" s="3"/>
      <c r="BF646" s="3"/>
      <c r="BG646" s="3"/>
      <c r="BH646" s="3"/>
      <c r="BI646" s="3"/>
      <c r="BJ646" s="3"/>
      <c r="BK646" s="3"/>
      <c r="BL646" s="3"/>
      <c r="BM646" s="3"/>
      <c r="BN646" s="1485">
        <f t="shared" si="30"/>
        <v>0</v>
      </c>
      <c r="BO646" s="1486"/>
      <c r="BP646" s="1486"/>
      <c r="BQ646" s="1486"/>
      <c r="BR646" s="1487"/>
      <c r="BS646" s="1484">
        <f t="shared" si="31"/>
        <v>0</v>
      </c>
      <c r="BT646" s="1484"/>
      <c r="BU646" s="1484"/>
      <c r="BV646" s="1484"/>
      <c r="BW646" s="1484"/>
      <c r="BX646" s="1484">
        <f t="shared" si="32"/>
        <v>0</v>
      </c>
      <c r="BY646" s="1484"/>
      <c r="BZ646" s="1484"/>
      <c r="CA646" s="1484"/>
      <c r="CB646" s="1484"/>
      <c r="CC646" s="1484">
        <f t="shared" si="33"/>
        <v>0</v>
      </c>
      <c r="CD646" s="1484"/>
      <c r="CE646" s="1484"/>
      <c r="CF646" s="1484"/>
      <c r="CG646" s="1484"/>
      <c r="CH646" s="1484">
        <f t="shared" si="34"/>
        <v>0</v>
      </c>
      <c r="CI646" s="1484"/>
      <c r="CJ646" s="1484"/>
      <c r="CK646" s="1484"/>
      <c r="CL646" s="1484"/>
      <c r="CM646" s="1484">
        <f t="shared" si="35"/>
        <v>0</v>
      </c>
      <c r="CN646" s="1484"/>
      <c r="CO646" s="1484"/>
      <c r="CP646" s="1484"/>
      <c r="CQ646" s="1484"/>
      <c r="CR646" s="6"/>
      <c r="CS646" s="1485">
        <f t="shared" si="36"/>
        <v>0</v>
      </c>
      <c r="CT646" s="1486"/>
      <c r="CU646" s="1486"/>
      <c r="CV646" s="1486"/>
      <c r="CW646" s="1487"/>
      <c r="CX646" s="1485">
        <f t="shared" si="37"/>
        <v>0</v>
      </c>
      <c r="CY646" s="1486"/>
      <c r="CZ646" s="1486"/>
      <c r="DA646" s="1486"/>
      <c r="DB646" s="1487"/>
      <c r="DC646" s="1485">
        <f t="shared" si="38"/>
        <v>0</v>
      </c>
      <c r="DD646" s="1486"/>
      <c r="DE646" s="1486"/>
      <c r="DF646" s="1486"/>
      <c r="DG646" s="1487"/>
      <c r="DH646" s="1485">
        <f t="shared" si="39"/>
        <v>0</v>
      </c>
      <c r="DI646" s="1486"/>
      <c r="DJ646" s="1486"/>
      <c r="DK646" s="1486"/>
      <c r="DL646" s="1487"/>
      <c r="DM646" s="1485">
        <f t="shared" si="40"/>
        <v>0</v>
      </c>
      <c r="DN646" s="1486"/>
      <c r="DO646" s="1486"/>
      <c r="DP646" s="1486"/>
      <c r="DQ646" s="1487"/>
      <c r="DR646" s="1485">
        <f t="shared" si="41"/>
        <v>0</v>
      </c>
      <c r="DS646" s="1486"/>
      <c r="DT646" s="1486"/>
      <c r="DU646" s="1486"/>
      <c r="DV646" s="1487"/>
      <c r="DX646" s="1478" t="e">
        <f t="shared" si="29"/>
        <v>#VALUE!</v>
      </c>
      <c r="DY646" s="1478"/>
      <c r="DZ646" s="1478"/>
      <c r="EA646" s="1478"/>
      <c r="EB646" s="1478"/>
      <c r="EC646" s="1478" t="e">
        <f t="shared" si="24"/>
        <v>#VALUE!</v>
      </c>
      <c r="ED646" s="1478"/>
      <c r="EE646" s="1478"/>
      <c r="EF646" s="1478"/>
      <c r="EG646" s="1478"/>
      <c r="EH646" s="1478" t="e">
        <f t="shared" si="25"/>
        <v>#VALUE!</v>
      </c>
      <c r="EI646" s="1478"/>
      <c r="EJ646" s="1478"/>
      <c r="EK646" s="1478"/>
      <c r="EL646" s="1478"/>
      <c r="EM646" s="1478">
        <f t="shared" si="26"/>
        <v>1229.6470588235295</v>
      </c>
      <c r="EN646" s="1478"/>
      <c r="EO646" s="1478"/>
      <c r="EP646" s="1478"/>
      <c r="EQ646" s="1478"/>
      <c r="ER646" s="1478" t="e">
        <f t="shared" si="27"/>
        <v>#VALUE!</v>
      </c>
      <c r="ES646" s="1478"/>
      <c r="ET646" s="1478"/>
      <c r="EU646" s="1478"/>
      <c r="EV646" s="1478"/>
      <c r="EW646" s="1478" t="e">
        <f t="shared" si="28"/>
        <v>#VALUE!</v>
      </c>
      <c r="EX646" s="1478"/>
      <c r="EY646" s="1478"/>
      <c r="EZ646" s="1478"/>
      <c r="FA646" s="1478"/>
    </row>
    <row r="647" spans="1:157" ht="13.15" customHeight="1">
      <c r="A647" s="22"/>
      <c r="B647" t="s">
        <v>317</v>
      </c>
      <c r="G647" s="1388" t="s">
        <v>2745</v>
      </c>
      <c r="H647" s="1388"/>
      <c r="I647" s="1388"/>
      <c r="J647" s="1388"/>
      <c r="K647" s="1388"/>
      <c r="L647" s="1388"/>
      <c r="O647" s="33" t="s">
        <v>207</v>
      </c>
      <c r="P647" s="1451"/>
      <c r="Q647" s="1451"/>
      <c r="R647" s="1451"/>
      <c r="S647" s="10"/>
      <c r="T647" s="22"/>
      <c r="U647" t="s">
        <v>317</v>
      </c>
      <c r="Z647" s="1387" t="s">
        <v>2756</v>
      </c>
      <c r="AA647" s="1388"/>
      <c r="AB647" s="1388"/>
      <c r="AC647" s="1388"/>
      <c r="AD647" s="1388"/>
      <c r="AE647" s="1388"/>
      <c r="AH647" s="33" t="s">
        <v>207</v>
      </c>
      <c r="AI647" s="1451"/>
      <c r="AJ647" s="1451"/>
      <c r="AK647" s="1451"/>
      <c r="AZ647" s="34"/>
      <c r="BA647" s="34"/>
      <c r="BB647" s="34"/>
      <c r="BC647" s="34"/>
      <c r="BD647" s="34"/>
      <c r="BE647" s="34"/>
      <c r="BF647" s="34"/>
      <c r="BG647" s="34"/>
      <c r="BH647" s="34"/>
      <c r="BI647" s="34"/>
      <c r="BJ647" s="34"/>
      <c r="BK647" s="34"/>
      <c r="BL647" s="34"/>
      <c r="BM647" s="34"/>
      <c r="BN647" s="1485">
        <f t="shared" si="30"/>
        <v>0</v>
      </c>
      <c r="BO647" s="1486"/>
      <c r="BP647" s="1486"/>
      <c r="BQ647" s="1486"/>
      <c r="BR647" s="1487"/>
      <c r="BS647" s="1484">
        <f t="shared" si="31"/>
        <v>0</v>
      </c>
      <c r="BT647" s="1484"/>
      <c r="BU647" s="1484"/>
      <c r="BV647" s="1484"/>
      <c r="BW647" s="1484"/>
      <c r="BX647" s="1484">
        <f t="shared" si="32"/>
        <v>0</v>
      </c>
      <c r="BY647" s="1484"/>
      <c r="BZ647" s="1484"/>
      <c r="CA647" s="1484"/>
      <c r="CB647" s="1484"/>
      <c r="CC647" s="1484">
        <f t="shared" si="33"/>
        <v>0</v>
      </c>
      <c r="CD647" s="1484"/>
      <c r="CE647" s="1484"/>
      <c r="CF647" s="1484"/>
      <c r="CG647" s="1484"/>
      <c r="CH647" s="1484">
        <f t="shared" si="34"/>
        <v>0</v>
      </c>
      <c r="CI647" s="1484"/>
      <c r="CJ647" s="1484"/>
      <c r="CK647" s="1484"/>
      <c r="CL647" s="1484"/>
      <c r="CM647" s="1484">
        <f t="shared" si="35"/>
        <v>0</v>
      </c>
      <c r="CN647" s="1484"/>
      <c r="CO647" s="1484"/>
      <c r="CP647" s="1484"/>
      <c r="CQ647" s="1484"/>
      <c r="CR647" s="6"/>
      <c r="CS647" s="1485">
        <f t="shared" si="36"/>
        <v>0</v>
      </c>
      <c r="CT647" s="1486"/>
      <c r="CU647" s="1486"/>
      <c r="CV647" s="1486"/>
      <c r="CW647" s="1487"/>
      <c r="CX647" s="1485">
        <f t="shared" si="37"/>
        <v>0</v>
      </c>
      <c r="CY647" s="1486"/>
      <c r="CZ647" s="1486"/>
      <c r="DA647" s="1486"/>
      <c r="DB647" s="1487"/>
      <c r="DC647" s="1485">
        <f t="shared" si="38"/>
        <v>0</v>
      </c>
      <c r="DD647" s="1486"/>
      <c r="DE647" s="1486"/>
      <c r="DF647" s="1486"/>
      <c r="DG647" s="1487"/>
      <c r="DH647" s="1485">
        <f t="shared" si="39"/>
        <v>0</v>
      </c>
      <c r="DI647" s="1486"/>
      <c r="DJ647" s="1486"/>
      <c r="DK647" s="1486"/>
      <c r="DL647" s="1487"/>
      <c r="DM647" s="1485">
        <f t="shared" si="40"/>
        <v>0</v>
      </c>
      <c r="DN647" s="1486"/>
      <c r="DO647" s="1486"/>
      <c r="DP647" s="1486"/>
      <c r="DQ647" s="1487"/>
      <c r="DR647" s="1485">
        <f t="shared" si="41"/>
        <v>0</v>
      </c>
      <c r="DS647" s="1486"/>
      <c r="DT647" s="1486"/>
      <c r="DU647" s="1486"/>
      <c r="DV647" s="1487"/>
      <c r="DX647" s="1478" t="e">
        <f t="shared" si="29"/>
        <v>#VALUE!</v>
      </c>
      <c r="DY647" s="1478"/>
      <c r="DZ647" s="1478"/>
      <c r="EA647" s="1478"/>
      <c r="EB647" s="1478"/>
      <c r="EC647" s="1478" t="e">
        <f t="shared" si="24"/>
        <v>#VALUE!</v>
      </c>
      <c r="ED647" s="1478"/>
      <c r="EE647" s="1478"/>
      <c r="EF647" s="1478"/>
      <c r="EG647" s="1478"/>
      <c r="EH647" s="1478" t="e">
        <f t="shared" si="25"/>
        <v>#VALUE!</v>
      </c>
      <c r="EI647" s="1478"/>
      <c r="EJ647" s="1478"/>
      <c r="EK647" s="1478"/>
      <c r="EL647" s="1478"/>
      <c r="EM647" s="1478" t="e">
        <f t="shared" si="26"/>
        <v>#VALUE!</v>
      </c>
      <c r="EN647" s="1478"/>
      <c r="EO647" s="1478"/>
      <c r="EP647" s="1478"/>
      <c r="EQ647" s="1478"/>
      <c r="ER647" s="1478" t="e">
        <f t="shared" si="27"/>
        <v>#VALUE!</v>
      </c>
      <c r="ES647" s="1478"/>
      <c r="ET647" s="1478"/>
      <c r="EU647" s="1478"/>
      <c r="EV647" s="1478"/>
      <c r="EW647" s="1478" t="e">
        <f t="shared" si="28"/>
        <v>#VALUE!</v>
      </c>
      <c r="EX647" s="1478"/>
      <c r="EY647" s="1478"/>
      <c r="EZ647" s="1478"/>
      <c r="FA647" s="1478"/>
    </row>
    <row r="648" spans="1:157" ht="13.15" customHeight="1">
      <c r="A648" s="22"/>
      <c r="B648" t="s">
        <v>18</v>
      </c>
      <c r="H648" s="1368" t="s">
        <v>2431</v>
      </c>
      <c r="I648" s="1368"/>
      <c r="J648" s="1368"/>
      <c r="K648" s="1368"/>
      <c r="L648" s="1368"/>
      <c r="M648" s="1368"/>
      <c r="N648" s="1368"/>
      <c r="O648" s="1368"/>
      <c r="P648" s="1368"/>
      <c r="Q648" s="1368"/>
      <c r="R648" s="1368"/>
      <c r="S648" s="8"/>
      <c r="T648" s="22"/>
      <c r="U648" t="s">
        <v>18</v>
      </c>
      <c r="AA648" s="1368" t="s">
        <v>2754</v>
      </c>
      <c r="AB648" s="1368"/>
      <c r="AC648" s="1368"/>
      <c r="AD648" s="1368"/>
      <c r="AE648" s="1368"/>
      <c r="AF648" s="1368"/>
      <c r="AG648" s="1368"/>
      <c r="AH648" s="1368"/>
      <c r="AI648" s="1368"/>
      <c r="AJ648" s="1368"/>
      <c r="AK648" s="1368"/>
      <c r="AZ648" s="34"/>
      <c r="BA648" s="34"/>
      <c r="BB648" s="34"/>
      <c r="BC648" s="34"/>
      <c r="BD648" s="34"/>
      <c r="BE648" s="34"/>
      <c r="BF648" s="34"/>
      <c r="BG648" s="34"/>
      <c r="BH648" s="34"/>
      <c r="BI648" s="34"/>
      <c r="BJ648" s="34"/>
      <c r="BK648" s="34"/>
      <c r="BL648" s="34"/>
      <c r="BM648" s="34"/>
      <c r="BN648" s="1485">
        <f t="shared" si="30"/>
        <v>0</v>
      </c>
      <c r="BO648" s="1486"/>
      <c r="BP648" s="1486"/>
      <c r="BQ648" s="1486"/>
      <c r="BR648" s="1487"/>
      <c r="BS648" s="1484">
        <f t="shared" si="31"/>
        <v>0</v>
      </c>
      <c r="BT648" s="1484"/>
      <c r="BU648" s="1484"/>
      <c r="BV648" s="1484"/>
      <c r="BW648" s="1484"/>
      <c r="BX648" s="1484">
        <f t="shared" si="32"/>
        <v>0</v>
      </c>
      <c r="BY648" s="1484"/>
      <c r="BZ648" s="1484"/>
      <c r="CA648" s="1484"/>
      <c r="CB648" s="1484"/>
      <c r="CC648" s="1484">
        <f t="shared" si="33"/>
        <v>0</v>
      </c>
      <c r="CD648" s="1484"/>
      <c r="CE648" s="1484"/>
      <c r="CF648" s="1484"/>
      <c r="CG648" s="1484"/>
      <c r="CH648" s="1484">
        <f t="shared" si="34"/>
        <v>0</v>
      </c>
      <c r="CI648" s="1484"/>
      <c r="CJ648" s="1484"/>
      <c r="CK648" s="1484"/>
      <c r="CL648" s="1484"/>
      <c r="CM648" s="1484">
        <f t="shared" si="35"/>
        <v>0</v>
      </c>
      <c r="CN648" s="1484"/>
      <c r="CO648" s="1484"/>
      <c r="CP648" s="1484"/>
      <c r="CQ648" s="1484"/>
      <c r="CR648" s="6"/>
      <c r="CS648" s="1485">
        <f t="shared" si="36"/>
        <v>0</v>
      </c>
      <c r="CT648" s="1486"/>
      <c r="CU648" s="1486"/>
      <c r="CV648" s="1486"/>
      <c r="CW648" s="1487"/>
      <c r="CX648" s="1485">
        <f t="shared" si="37"/>
        <v>0</v>
      </c>
      <c r="CY648" s="1486"/>
      <c r="CZ648" s="1486"/>
      <c r="DA648" s="1486"/>
      <c r="DB648" s="1487"/>
      <c r="DC648" s="1485">
        <f t="shared" si="38"/>
        <v>0</v>
      </c>
      <c r="DD648" s="1486"/>
      <c r="DE648" s="1486"/>
      <c r="DF648" s="1486"/>
      <c r="DG648" s="1487"/>
      <c r="DH648" s="1485">
        <f t="shared" si="39"/>
        <v>0</v>
      </c>
      <c r="DI648" s="1486"/>
      <c r="DJ648" s="1486"/>
      <c r="DK648" s="1486"/>
      <c r="DL648" s="1487"/>
      <c r="DM648" s="1485">
        <f t="shared" si="40"/>
        <v>0</v>
      </c>
      <c r="DN648" s="1486"/>
      <c r="DO648" s="1486"/>
      <c r="DP648" s="1486"/>
      <c r="DQ648" s="1487"/>
      <c r="DR648" s="1485">
        <f t="shared" si="41"/>
        <v>0</v>
      </c>
      <c r="DS648" s="1486"/>
      <c r="DT648" s="1486"/>
      <c r="DU648" s="1486"/>
      <c r="DV648" s="1487"/>
      <c r="DX648" s="1478" t="e">
        <f t="shared" si="29"/>
        <v>#VALUE!</v>
      </c>
      <c r="DY648" s="1478"/>
      <c r="DZ648" s="1478"/>
      <c r="EA648" s="1478"/>
      <c r="EB648" s="1478"/>
      <c r="EC648" s="1478" t="e">
        <f t="shared" si="24"/>
        <v>#VALUE!</v>
      </c>
      <c r="ED648" s="1478"/>
      <c r="EE648" s="1478"/>
      <c r="EF648" s="1478"/>
      <c r="EG648" s="1478"/>
      <c r="EH648" s="1478" t="e">
        <f t="shared" si="25"/>
        <v>#VALUE!</v>
      </c>
      <c r="EI648" s="1478"/>
      <c r="EJ648" s="1478"/>
      <c r="EK648" s="1478"/>
      <c r="EL648" s="1478"/>
      <c r="EM648" s="1478" t="e">
        <f t="shared" si="26"/>
        <v>#VALUE!</v>
      </c>
      <c r="EN648" s="1478"/>
      <c r="EO648" s="1478"/>
      <c r="EP648" s="1478"/>
      <c r="EQ648" s="1478"/>
      <c r="ER648" s="1478" t="e">
        <f t="shared" si="27"/>
        <v>#VALUE!</v>
      </c>
      <c r="ES648" s="1478"/>
      <c r="ET648" s="1478"/>
      <c r="EU648" s="1478"/>
      <c r="EV648" s="1478"/>
      <c r="EW648" s="1478" t="e">
        <f t="shared" si="28"/>
        <v>#VALUE!</v>
      </c>
      <c r="EX648" s="1478"/>
      <c r="EY648" s="1478"/>
      <c r="EZ648" s="1478"/>
      <c r="FA648" s="1478"/>
    </row>
    <row r="649" spans="1:157" ht="13.15" customHeight="1">
      <c r="A649" s="22"/>
      <c r="B649" t="s">
        <v>20</v>
      </c>
      <c r="N649" s="1367" t="s">
        <v>553</v>
      </c>
      <c r="O649" s="1367"/>
      <c r="T649" s="22"/>
      <c r="U649" t="s">
        <v>20</v>
      </c>
      <c r="AG649" s="1367" t="s">
        <v>553</v>
      </c>
      <c r="AH649" s="1367"/>
      <c r="AZ649" s="34"/>
      <c r="BA649" s="34"/>
      <c r="BB649" s="34"/>
      <c r="BC649" s="34"/>
      <c r="BD649" s="34"/>
      <c r="BE649" s="34"/>
      <c r="BF649" s="34"/>
      <c r="BG649" s="34"/>
      <c r="BH649" s="34"/>
      <c r="BI649" s="34"/>
      <c r="BJ649" s="34"/>
      <c r="BK649" s="34"/>
      <c r="BL649" s="34"/>
      <c r="BM649" s="34"/>
      <c r="BN649" s="1485">
        <f t="shared" si="30"/>
        <v>0</v>
      </c>
      <c r="BO649" s="1486"/>
      <c r="BP649" s="1486"/>
      <c r="BQ649" s="1486"/>
      <c r="BR649" s="1487"/>
      <c r="BS649" s="1484">
        <f t="shared" si="31"/>
        <v>0</v>
      </c>
      <c r="BT649" s="1484"/>
      <c r="BU649" s="1484"/>
      <c r="BV649" s="1484"/>
      <c r="BW649" s="1484"/>
      <c r="BX649" s="1484">
        <f t="shared" si="32"/>
        <v>0</v>
      </c>
      <c r="BY649" s="1484"/>
      <c r="BZ649" s="1484"/>
      <c r="CA649" s="1484"/>
      <c r="CB649" s="1484"/>
      <c r="CC649" s="1484">
        <f t="shared" si="33"/>
        <v>0</v>
      </c>
      <c r="CD649" s="1484"/>
      <c r="CE649" s="1484"/>
      <c r="CF649" s="1484"/>
      <c r="CG649" s="1484"/>
      <c r="CH649" s="1484">
        <f t="shared" si="34"/>
        <v>0</v>
      </c>
      <c r="CI649" s="1484"/>
      <c r="CJ649" s="1484"/>
      <c r="CK649" s="1484"/>
      <c r="CL649" s="1484"/>
      <c r="CM649" s="1484">
        <f t="shared" si="35"/>
        <v>0</v>
      </c>
      <c r="CN649" s="1484"/>
      <c r="CO649" s="1484"/>
      <c r="CP649" s="1484"/>
      <c r="CQ649" s="1484"/>
      <c r="CR649" s="6"/>
      <c r="CS649" s="1485">
        <f t="shared" si="36"/>
        <v>0</v>
      </c>
      <c r="CT649" s="1486"/>
      <c r="CU649" s="1486"/>
      <c r="CV649" s="1486"/>
      <c r="CW649" s="1487"/>
      <c r="CX649" s="1485">
        <f t="shared" si="37"/>
        <v>0</v>
      </c>
      <c r="CY649" s="1486"/>
      <c r="CZ649" s="1486"/>
      <c r="DA649" s="1486"/>
      <c r="DB649" s="1487"/>
      <c r="DC649" s="1485">
        <f t="shared" si="38"/>
        <v>0</v>
      </c>
      <c r="DD649" s="1486"/>
      <c r="DE649" s="1486"/>
      <c r="DF649" s="1486"/>
      <c r="DG649" s="1487"/>
      <c r="DH649" s="1485">
        <f t="shared" si="39"/>
        <v>0</v>
      </c>
      <c r="DI649" s="1486"/>
      <c r="DJ649" s="1486"/>
      <c r="DK649" s="1486"/>
      <c r="DL649" s="1487"/>
      <c r="DM649" s="1485">
        <f t="shared" si="40"/>
        <v>0</v>
      </c>
      <c r="DN649" s="1486"/>
      <c r="DO649" s="1486"/>
      <c r="DP649" s="1486"/>
      <c r="DQ649" s="1487"/>
      <c r="DR649" s="1485">
        <f t="shared" si="41"/>
        <v>0</v>
      </c>
      <c r="DS649" s="1486"/>
      <c r="DT649" s="1486"/>
      <c r="DU649" s="1486"/>
      <c r="DV649" s="1487"/>
      <c r="DX649" s="1478" t="e">
        <f t="shared" si="29"/>
        <v>#VALUE!</v>
      </c>
      <c r="DY649" s="1478"/>
      <c r="DZ649" s="1478"/>
      <c r="EA649" s="1478"/>
      <c r="EB649" s="1478"/>
      <c r="EC649" s="1478" t="e">
        <f t="shared" si="24"/>
        <v>#VALUE!</v>
      </c>
      <c r="ED649" s="1478"/>
      <c r="EE649" s="1478"/>
      <c r="EF649" s="1478"/>
      <c r="EG649" s="1478"/>
      <c r="EH649" s="1478" t="e">
        <f t="shared" si="25"/>
        <v>#VALUE!</v>
      </c>
      <c r="EI649" s="1478"/>
      <c r="EJ649" s="1478"/>
      <c r="EK649" s="1478"/>
      <c r="EL649" s="1478"/>
      <c r="EM649" s="1478" t="e">
        <f t="shared" si="26"/>
        <v>#VALUE!</v>
      </c>
      <c r="EN649" s="1478"/>
      <c r="EO649" s="1478"/>
      <c r="EP649" s="1478"/>
      <c r="EQ649" s="1478"/>
      <c r="ER649" s="1478" t="e">
        <f t="shared" si="27"/>
        <v>#VALUE!</v>
      </c>
      <c r="ES649" s="1478"/>
      <c r="ET649" s="1478"/>
      <c r="EU649" s="1478"/>
      <c r="EV649" s="1478"/>
      <c r="EW649" s="1478" t="e">
        <f t="shared" si="28"/>
        <v>#VALUE!</v>
      </c>
      <c r="EX649" s="1478"/>
      <c r="EY649" s="1478"/>
      <c r="EZ649" s="1478"/>
      <c r="FA649" s="1478"/>
    </row>
    <row r="650" spans="1:157" ht="13.15" customHeight="1">
      <c r="A650" s="22"/>
      <c r="T650" s="22"/>
      <c r="AZ650" s="34"/>
      <c r="BA650" s="34"/>
      <c r="BB650" s="34"/>
      <c r="BC650" s="34"/>
      <c r="BD650" s="34"/>
      <c r="BE650" s="34"/>
      <c r="BF650" s="34"/>
      <c r="BG650" s="34"/>
      <c r="BH650" s="34"/>
      <c r="BI650" s="34"/>
      <c r="BJ650" s="34"/>
      <c r="BK650" s="34"/>
      <c r="BL650" s="34"/>
      <c r="BM650" s="34"/>
      <c r="BN650" s="1485">
        <f t="shared" si="30"/>
        <v>0</v>
      </c>
      <c r="BO650" s="1486"/>
      <c r="BP650" s="1486"/>
      <c r="BQ650" s="1486"/>
      <c r="BR650" s="1487"/>
      <c r="BS650" s="1484">
        <f t="shared" si="31"/>
        <v>0</v>
      </c>
      <c r="BT650" s="1484"/>
      <c r="BU650" s="1484"/>
      <c r="BV650" s="1484"/>
      <c r="BW650" s="1484"/>
      <c r="BX650" s="1484">
        <f t="shared" si="32"/>
        <v>0</v>
      </c>
      <c r="BY650" s="1484"/>
      <c r="BZ650" s="1484"/>
      <c r="CA650" s="1484"/>
      <c r="CB650" s="1484"/>
      <c r="CC650" s="1484">
        <f t="shared" si="33"/>
        <v>0</v>
      </c>
      <c r="CD650" s="1484"/>
      <c r="CE650" s="1484"/>
      <c r="CF650" s="1484"/>
      <c r="CG650" s="1484"/>
      <c r="CH650" s="1484">
        <f t="shared" si="34"/>
        <v>0</v>
      </c>
      <c r="CI650" s="1484"/>
      <c r="CJ650" s="1484"/>
      <c r="CK650" s="1484"/>
      <c r="CL650" s="1484"/>
      <c r="CM650" s="1484">
        <f t="shared" si="35"/>
        <v>0</v>
      </c>
      <c r="CN650" s="1484"/>
      <c r="CO650" s="1484"/>
      <c r="CP650" s="1484"/>
      <c r="CQ650" s="1484"/>
      <c r="CR650" s="6"/>
      <c r="CS650" s="1485">
        <f t="shared" si="36"/>
        <v>0</v>
      </c>
      <c r="CT650" s="1486"/>
      <c r="CU650" s="1486"/>
      <c r="CV650" s="1486"/>
      <c r="CW650" s="1487"/>
      <c r="CX650" s="1485">
        <f t="shared" si="37"/>
        <v>0</v>
      </c>
      <c r="CY650" s="1486"/>
      <c r="CZ650" s="1486"/>
      <c r="DA650" s="1486"/>
      <c r="DB650" s="1487"/>
      <c r="DC650" s="1485">
        <f t="shared" si="38"/>
        <v>0</v>
      </c>
      <c r="DD650" s="1486"/>
      <c r="DE650" s="1486"/>
      <c r="DF650" s="1486"/>
      <c r="DG650" s="1487"/>
      <c r="DH650" s="1485">
        <f t="shared" si="39"/>
        <v>0</v>
      </c>
      <c r="DI650" s="1486"/>
      <c r="DJ650" s="1486"/>
      <c r="DK650" s="1486"/>
      <c r="DL650" s="1487"/>
      <c r="DM650" s="1485">
        <f t="shared" si="40"/>
        <v>0</v>
      </c>
      <c r="DN650" s="1486"/>
      <c r="DO650" s="1486"/>
      <c r="DP650" s="1486"/>
      <c r="DQ650" s="1487"/>
      <c r="DR650" s="1485">
        <f t="shared" si="41"/>
        <v>0</v>
      </c>
      <c r="DS650" s="1486"/>
      <c r="DT650" s="1486"/>
      <c r="DU650" s="1486"/>
      <c r="DV650" s="1487"/>
      <c r="DX650" s="1478" t="e">
        <f t="shared" si="29"/>
        <v>#VALUE!</v>
      </c>
      <c r="DY650" s="1478"/>
      <c r="DZ650" s="1478"/>
      <c r="EA650" s="1478"/>
      <c r="EB650" s="1478"/>
      <c r="EC650" s="1478" t="e">
        <f t="shared" si="24"/>
        <v>#VALUE!</v>
      </c>
      <c r="ED650" s="1478"/>
      <c r="EE650" s="1478"/>
      <c r="EF650" s="1478"/>
      <c r="EG650" s="1478"/>
      <c r="EH650" s="1478" t="e">
        <f t="shared" si="25"/>
        <v>#VALUE!</v>
      </c>
      <c r="EI650" s="1478"/>
      <c r="EJ650" s="1478"/>
      <c r="EK650" s="1478"/>
      <c r="EL650" s="1478"/>
      <c r="EM650" s="1478" t="e">
        <f t="shared" si="26"/>
        <v>#VALUE!</v>
      </c>
      <c r="EN650" s="1478"/>
      <c r="EO650" s="1478"/>
      <c r="EP650" s="1478"/>
      <c r="EQ650" s="1478"/>
      <c r="ER650" s="1478" t="e">
        <f t="shared" si="27"/>
        <v>#VALUE!</v>
      </c>
      <c r="ES650" s="1478"/>
      <c r="ET650" s="1478"/>
      <c r="EU650" s="1478"/>
      <c r="EV650" s="1478"/>
      <c r="EW650" s="1478" t="e">
        <f t="shared" si="28"/>
        <v>#VALUE!</v>
      </c>
      <c r="EX650" s="1478"/>
      <c r="EY650" s="1478"/>
      <c r="EZ650" s="1478"/>
      <c r="FA650" s="1478"/>
    </row>
    <row r="651" spans="1:157" ht="13.15" customHeight="1">
      <c r="A651" s="55" t="s">
        <v>119</v>
      </c>
      <c r="B651" t="s">
        <v>471</v>
      </c>
      <c r="G651" s="1464" t="str">
        <f>C629</f>
        <v>San Diego Housing Commission</v>
      </c>
      <c r="H651" s="1464"/>
      <c r="I651" s="1464"/>
      <c r="J651" s="1464"/>
      <c r="K651" s="1464"/>
      <c r="L651" s="1464"/>
      <c r="M651" s="1464"/>
      <c r="N651" s="1464"/>
      <c r="O651" s="1464"/>
      <c r="P651" s="1464"/>
      <c r="Q651" s="1464"/>
      <c r="R651" s="1464"/>
      <c r="T651" s="55" t="s">
        <v>589</v>
      </c>
      <c r="U651" t="s">
        <v>471</v>
      </c>
      <c r="Z651" s="1464" t="str">
        <f>C630</f>
        <v>Deferred Developer Fee</v>
      </c>
      <c r="AA651" s="1464"/>
      <c r="AB651" s="1464"/>
      <c r="AC651" s="1464"/>
      <c r="AD651" s="1464"/>
      <c r="AE651" s="1464"/>
      <c r="AF651" s="1464"/>
      <c r="AG651" s="1464"/>
      <c r="AH651" s="1464"/>
      <c r="AI651" s="1464"/>
      <c r="AJ651" s="1464"/>
      <c r="AK651" s="1464"/>
      <c r="AZ651" s="34"/>
      <c r="BA651" s="34"/>
      <c r="BB651" s="34"/>
      <c r="BC651" s="34"/>
      <c r="BD651" s="34"/>
      <c r="BE651" s="34"/>
      <c r="BF651" s="34"/>
      <c r="BG651" s="34"/>
      <c r="BH651" s="34"/>
      <c r="BI651" s="34"/>
      <c r="BJ651" s="34"/>
      <c r="BK651" s="34"/>
      <c r="BL651" s="34"/>
      <c r="BM651" s="34"/>
      <c r="BN651" s="1485">
        <f t="shared" si="30"/>
        <v>0</v>
      </c>
      <c r="BO651" s="1486"/>
      <c r="BP651" s="1486"/>
      <c r="BQ651" s="1486"/>
      <c r="BR651" s="1487"/>
      <c r="BS651" s="1484">
        <f t="shared" si="31"/>
        <v>0</v>
      </c>
      <c r="BT651" s="1484"/>
      <c r="BU651" s="1484"/>
      <c r="BV651" s="1484"/>
      <c r="BW651" s="1484"/>
      <c r="BX651" s="1484">
        <f t="shared" si="32"/>
        <v>0</v>
      </c>
      <c r="BY651" s="1484"/>
      <c r="BZ651" s="1484"/>
      <c r="CA651" s="1484"/>
      <c r="CB651" s="1484"/>
      <c r="CC651" s="1484">
        <f t="shared" si="33"/>
        <v>0</v>
      </c>
      <c r="CD651" s="1484"/>
      <c r="CE651" s="1484"/>
      <c r="CF651" s="1484"/>
      <c r="CG651" s="1484"/>
      <c r="CH651" s="1484">
        <f t="shared" si="34"/>
        <v>0</v>
      </c>
      <c r="CI651" s="1484"/>
      <c r="CJ651" s="1484"/>
      <c r="CK651" s="1484"/>
      <c r="CL651" s="1484"/>
      <c r="CM651" s="1484">
        <f t="shared" si="35"/>
        <v>0</v>
      </c>
      <c r="CN651" s="1484"/>
      <c r="CO651" s="1484"/>
      <c r="CP651" s="1484"/>
      <c r="CQ651" s="1484"/>
      <c r="CR651" s="6"/>
      <c r="CS651" s="1485">
        <f t="shared" si="36"/>
        <v>0</v>
      </c>
      <c r="CT651" s="1486"/>
      <c r="CU651" s="1486"/>
      <c r="CV651" s="1486"/>
      <c r="CW651" s="1487"/>
      <c r="CX651" s="1485">
        <f t="shared" si="37"/>
        <v>0</v>
      </c>
      <c r="CY651" s="1486"/>
      <c r="CZ651" s="1486"/>
      <c r="DA651" s="1486"/>
      <c r="DB651" s="1487"/>
      <c r="DC651" s="1485">
        <f t="shared" si="38"/>
        <v>0</v>
      </c>
      <c r="DD651" s="1486"/>
      <c r="DE651" s="1486"/>
      <c r="DF651" s="1486"/>
      <c r="DG651" s="1487"/>
      <c r="DH651" s="1485">
        <f t="shared" si="39"/>
        <v>0</v>
      </c>
      <c r="DI651" s="1486"/>
      <c r="DJ651" s="1486"/>
      <c r="DK651" s="1486"/>
      <c r="DL651" s="1487"/>
      <c r="DM651" s="1485">
        <f t="shared" si="40"/>
        <v>0</v>
      </c>
      <c r="DN651" s="1486"/>
      <c r="DO651" s="1486"/>
      <c r="DP651" s="1486"/>
      <c r="DQ651" s="1487"/>
      <c r="DR651" s="1485">
        <f t="shared" si="41"/>
        <v>0</v>
      </c>
      <c r="DS651" s="1486"/>
      <c r="DT651" s="1486"/>
      <c r="DU651" s="1486"/>
      <c r="DV651" s="1487"/>
      <c r="DX651" s="1478" t="e">
        <f t="shared" si="29"/>
        <v>#VALUE!</v>
      </c>
      <c r="DY651" s="1478"/>
      <c r="DZ651" s="1478"/>
      <c r="EA651" s="1478"/>
      <c r="EB651" s="1478"/>
      <c r="EC651" s="1478" t="e">
        <f t="shared" si="24"/>
        <v>#VALUE!</v>
      </c>
      <c r="ED651" s="1478"/>
      <c r="EE651" s="1478"/>
      <c r="EF651" s="1478"/>
      <c r="EG651" s="1478"/>
      <c r="EH651" s="1478" t="e">
        <f t="shared" si="25"/>
        <v>#VALUE!</v>
      </c>
      <c r="EI651" s="1478"/>
      <c r="EJ651" s="1478"/>
      <c r="EK651" s="1478"/>
      <c r="EL651" s="1478"/>
      <c r="EM651" s="1478" t="e">
        <f t="shared" si="26"/>
        <v>#VALUE!</v>
      </c>
      <c r="EN651" s="1478"/>
      <c r="EO651" s="1478"/>
      <c r="EP651" s="1478"/>
      <c r="EQ651" s="1478"/>
      <c r="ER651" s="1478" t="e">
        <f t="shared" si="27"/>
        <v>#VALUE!</v>
      </c>
      <c r="ES651" s="1478"/>
      <c r="ET651" s="1478"/>
      <c r="EU651" s="1478"/>
      <c r="EV651" s="1478"/>
      <c r="EW651" s="1478" t="e">
        <f t="shared" si="28"/>
        <v>#VALUE!</v>
      </c>
      <c r="EX651" s="1478"/>
      <c r="EY651" s="1478"/>
      <c r="EZ651" s="1478"/>
      <c r="FA651" s="1478"/>
    </row>
    <row r="652" spans="1:157" ht="13.15" customHeight="1">
      <c r="A652" s="22"/>
      <c r="B652" t="s">
        <v>85</v>
      </c>
      <c r="G652" s="1368" t="s">
        <v>2728</v>
      </c>
      <c r="H652" s="1368"/>
      <c r="I652" s="1368"/>
      <c r="J652" s="1368"/>
      <c r="K652" s="1368"/>
      <c r="L652" s="1368"/>
      <c r="M652" s="1368"/>
      <c r="N652" s="1368"/>
      <c r="O652" s="1368"/>
      <c r="P652" s="1368"/>
      <c r="Q652" s="1368"/>
      <c r="R652" s="1368"/>
      <c r="T652" s="22"/>
      <c r="U652" t="s">
        <v>85</v>
      </c>
      <c r="Z652" s="1368" t="s">
        <v>2748</v>
      </c>
      <c r="AA652" s="1368"/>
      <c r="AB652" s="1368"/>
      <c r="AC652" s="1368"/>
      <c r="AD652" s="1368"/>
      <c r="AE652" s="1368"/>
      <c r="AF652" s="1368"/>
      <c r="AG652" s="1368"/>
      <c r="AH652" s="1368"/>
      <c r="AI652" s="1368"/>
      <c r="AJ652" s="1368"/>
      <c r="AK652" s="1368"/>
      <c r="AZ652" s="34"/>
      <c r="BA652" s="34"/>
      <c r="BB652" s="34"/>
      <c r="BC652" s="34"/>
      <c r="BD652" s="34"/>
      <c r="BE652" s="34"/>
      <c r="BF652" s="34"/>
      <c r="BG652" s="34"/>
      <c r="BH652" s="34"/>
      <c r="BI652" s="34"/>
      <c r="BJ652" s="34"/>
      <c r="BK652" s="34"/>
      <c r="BL652" s="34"/>
      <c r="BM652" s="34"/>
      <c r="BN652" s="1485">
        <f t="shared" si="30"/>
        <v>0</v>
      </c>
      <c r="BO652" s="1486"/>
      <c r="BP652" s="1486"/>
      <c r="BQ652" s="1486"/>
      <c r="BR652" s="1487"/>
      <c r="BS652" s="1484">
        <f t="shared" si="31"/>
        <v>0</v>
      </c>
      <c r="BT652" s="1484"/>
      <c r="BU652" s="1484"/>
      <c r="BV652" s="1484"/>
      <c r="BW652" s="1484"/>
      <c r="BX652" s="1484">
        <f t="shared" si="32"/>
        <v>0</v>
      </c>
      <c r="BY652" s="1484"/>
      <c r="BZ652" s="1484"/>
      <c r="CA652" s="1484"/>
      <c r="CB652" s="1484"/>
      <c r="CC652" s="1484">
        <f t="shared" si="33"/>
        <v>0</v>
      </c>
      <c r="CD652" s="1484"/>
      <c r="CE652" s="1484"/>
      <c r="CF652" s="1484"/>
      <c r="CG652" s="1484"/>
      <c r="CH652" s="1484">
        <f t="shared" si="34"/>
        <v>0</v>
      </c>
      <c r="CI652" s="1484"/>
      <c r="CJ652" s="1484"/>
      <c r="CK652" s="1484"/>
      <c r="CL652" s="1484"/>
      <c r="CM652" s="1484">
        <f t="shared" si="35"/>
        <v>0</v>
      </c>
      <c r="CN652" s="1484"/>
      <c r="CO652" s="1484"/>
      <c r="CP652" s="1484"/>
      <c r="CQ652" s="1484"/>
      <c r="CR652" s="6"/>
      <c r="CS652" s="1485">
        <f t="shared" si="36"/>
        <v>0</v>
      </c>
      <c r="CT652" s="1486"/>
      <c r="CU652" s="1486"/>
      <c r="CV652" s="1486"/>
      <c r="CW652" s="1487"/>
      <c r="CX652" s="1485">
        <f t="shared" si="37"/>
        <v>0</v>
      </c>
      <c r="CY652" s="1486"/>
      <c r="CZ652" s="1486"/>
      <c r="DA652" s="1486"/>
      <c r="DB652" s="1487"/>
      <c r="DC652" s="1485">
        <f t="shared" si="38"/>
        <v>0</v>
      </c>
      <c r="DD652" s="1486"/>
      <c r="DE652" s="1486"/>
      <c r="DF652" s="1486"/>
      <c r="DG652" s="1487"/>
      <c r="DH652" s="1485">
        <f t="shared" si="39"/>
        <v>0</v>
      </c>
      <c r="DI652" s="1486"/>
      <c r="DJ652" s="1486"/>
      <c r="DK652" s="1486"/>
      <c r="DL652" s="1487"/>
      <c r="DM652" s="1485">
        <f t="shared" si="40"/>
        <v>0</v>
      </c>
      <c r="DN652" s="1486"/>
      <c r="DO652" s="1486"/>
      <c r="DP652" s="1486"/>
      <c r="DQ652" s="1487"/>
      <c r="DR652" s="1485">
        <f t="shared" si="41"/>
        <v>0</v>
      </c>
      <c r="DS652" s="1486"/>
      <c r="DT652" s="1486"/>
      <c r="DU652" s="1486"/>
      <c r="DV652" s="1487"/>
      <c r="DX652" s="1478" t="e">
        <f t="shared" si="29"/>
        <v>#VALUE!</v>
      </c>
      <c r="DY652" s="1478"/>
      <c r="DZ652" s="1478"/>
      <c r="EA652" s="1478"/>
      <c r="EB652" s="1478"/>
      <c r="EC652" s="1478" t="e">
        <f t="shared" si="24"/>
        <v>#VALUE!</v>
      </c>
      <c r="ED652" s="1478"/>
      <c r="EE652" s="1478"/>
      <c r="EF652" s="1478"/>
      <c r="EG652" s="1478"/>
      <c r="EH652" s="1478" t="e">
        <f t="shared" si="25"/>
        <v>#VALUE!</v>
      </c>
      <c r="EI652" s="1478"/>
      <c r="EJ652" s="1478"/>
      <c r="EK652" s="1478"/>
      <c r="EL652" s="1478"/>
      <c r="EM652" s="1478" t="e">
        <f t="shared" si="26"/>
        <v>#VALUE!</v>
      </c>
      <c r="EN652" s="1478"/>
      <c r="EO652" s="1478"/>
      <c r="EP652" s="1478"/>
      <c r="EQ652" s="1478"/>
      <c r="ER652" s="1478" t="e">
        <f t="shared" si="27"/>
        <v>#VALUE!</v>
      </c>
      <c r="ES652" s="1478"/>
      <c r="ET652" s="1478"/>
      <c r="EU652" s="1478"/>
      <c r="EV652" s="1478"/>
      <c r="EW652" s="1478" t="e">
        <f t="shared" si="28"/>
        <v>#VALUE!</v>
      </c>
      <c r="EX652" s="1478"/>
      <c r="EY652" s="1478"/>
      <c r="EZ652" s="1478"/>
      <c r="FA652" s="1478"/>
    </row>
    <row r="653" spans="1:157" ht="13.15" customHeight="1">
      <c r="A653" s="22"/>
      <c r="B653" t="s">
        <v>588</v>
      </c>
      <c r="G653" s="1438" t="s">
        <v>2757</v>
      </c>
      <c r="H653" s="1438"/>
      <c r="I653" s="1438"/>
      <c r="J653" s="1438"/>
      <c r="K653" s="1438"/>
      <c r="L653" s="1438"/>
      <c r="M653" s="1438"/>
      <c r="N653" s="1438"/>
      <c r="O653" s="1438"/>
      <c r="P653" s="1438"/>
      <c r="Q653" s="1438"/>
      <c r="R653" s="1438"/>
      <c r="T653" s="22"/>
      <c r="U653" t="s">
        <v>588</v>
      </c>
      <c r="Z653" s="1438" t="s">
        <v>2749</v>
      </c>
      <c r="AA653" s="1438"/>
      <c r="AB653" s="1438"/>
      <c r="AC653" s="1438"/>
      <c r="AD653" s="1438"/>
      <c r="AE653" s="1438"/>
      <c r="AF653" s="1438"/>
      <c r="AG653" s="1438"/>
      <c r="AH653" s="1438"/>
      <c r="AI653" s="1438"/>
      <c r="AJ653" s="1438"/>
      <c r="AK653" s="1438"/>
      <c r="AZ653" s="34"/>
      <c r="BA653" s="34"/>
      <c r="BB653" s="34"/>
      <c r="BC653" s="34"/>
      <c r="BD653" s="34"/>
      <c r="BE653" s="34"/>
      <c r="BF653" s="34"/>
      <c r="BG653" s="34"/>
      <c r="BH653" s="34"/>
      <c r="BI653" s="34"/>
      <c r="BJ653" s="34"/>
      <c r="BK653" s="34"/>
      <c r="BL653" s="34"/>
      <c r="BM653" s="34"/>
      <c r="BN653" s="1485">
        <f t="shared" si="30"/>
        <v>0</v>
      </c>
      <c r="BO653" s="1486"/>
      <c r="BP653" s="1486"/>
      <c r="BQ653" s="1486"/>
      <c r="BR653" s="1487"/>
      <c r="BS653" s="1484">
        <f t="shared" si="31"/>
        <v>0</v>
      </c>
      <c r="BT653" s="1484"/>
      <c r="BU653" s="1484"/>
      <c r="BV653" s="1484"/>
      <c r="BW653" s="1484"/>
      <c r="BX653" s="1484">
        <f t="shared" si="32"/>
        <v>0</v>
      </c>
      <c r="BY653" s="1484"/>
      <c r="BZ653" s="1484"/>
      <c r="CA653" s="1484"/>
      <c r="CB653" s="1484"/>
      <c r="CC653" s="1484">
        <f t="shared" si="33"/>
        <v>0</v>
      </c>
      <c r="CD653" s="1484"/>
      <c r="CE653" s="1484"/>
      <c r="CF653" s="1484"/>
      <c r="CG653" s="1484"/>
      <c r="CH653" s="1484">
        <f t="shared" si="34"/>
        <v>0</v>
      </c>
      <c r="CI653" s="1484"/>
      <c r="CJ653" s="1484"/>
      <c r="CK653" s="1484"/>
      <c r="CL653" s="1484"/>
      <c r="CM653" s="1484">
        <f t="shared" si="35"/>
        <v>0</v>
      </c>
      <c r="CN653" s="1484"/>
      <c r="CO653" s="1484"/>
      <c r="CP653" s="1484"/>
      <c r="CQ653" s="1484"/>
      <c r="CR653" s="6"/>
      <c r="CS653" s="1485">
        <f t="shared" si="36"/>
        <v>0</v>
      </c>
      <c r="CT653" s="1486"/>
      <c r="CU653" s="1486"/>
      <c r="CV653" s="1486"/>
      <c r="CW653" s="1487"/>
      <c r="CX653" s="1485">
        <f t="shared" si="37"/>
        <v>0</v>
      </c>
      <c r="CY653" s="1486"/>
      <c r="CZ653" s="1486"/>
      <c r="DA653" s="1486"/>
      <c r="DB653" s="1487"/>
      <c r="DC653" s="1485">
        <f t="shared" si="38"/>
        <v>0</v>
      </c>
      <c r="DD653" s="1486"/>
      <c r="DE653" s="1486"/>
      <c r="DF653" s="1486"/>
      <c r="DG653" s="1487"/>
      <c r="DH653" s="1485">
        <f t="shared" si="39"/>
        <v>0</v>
      </c>
      <c r="DI653" s="1486"/>
      <c r="DJ653" s="1486"/>
      <c r="DK653" s="1486"/>
      <c r="DL653" s="1487"/>
      <c r="DM653" s="1485">
        <f t="shared" si="40"/>
        <v>0</v>
      </c>
      <c r="DN653" s="1486"/>
      <c r="DO653" s="1486"/>
      <c r="DP653" s="1486"/>
      <c r="DQ653" s="1487"/>
      <c r="DR653" s="1485">
        <f t="shared" si="41"/>
        <v>0</v>
      </c>
      <c r="DS653" s="1486"/>
      <c r="DT653" s="1486"/>
      <c r="DU653" s="1486"/>
      <c r="DV653" s="1487"/>
      <c r="DX653" s="1478" t="e">
        <f t="shared" si="29"/>
        <v>#VALUE!</v>
      </c>
      <c r="DY653" s="1478"/>
      <c r="DZ653" s="1478"/>
      <c r="EA653" s="1478"/>
      <c r="EB653" s="1478"/>
      <c r="EC653" s="1478" t="e">
        <f t="shared" si="24"/>
        <v>#VALUE!</v>
      </c>
      <c r="ED653" s="1478"/>
      <c r="EE653" s="1478"/>
      <c r="EF653" s="1478"/>
      <c r="EG653" s="1478"/>
      <c r="EH653" s="1478" t="e">
        <f t="shared" si="25"/>
        <v>#VALUE!</v>
      </c>
      <c r="EI653" s="1478"/>
      <c r="EJ653" s="1478"/>
      <c r="EK653" s="1478"/>
      <c r="EL653" s="1478"/>
      <c r="EM653" s="1478" t="e">
        <f t="shared" si="26"/>
        <v>#VALUE!</v>
      </c>
      <c r="EN653" s="1478"/>
      <c r="EO653" s="1478"/>
      <c r="EP653" s="1478"/>
      <c r="EQ653" s="1478"/>
      <c r="ER653" s="1478" t="e">
        <f t="shared" si="27"/>
        <v>#VALUE!</v>
      </c>
      <c r="ES653" s="1478"/>
      <c r="ET653" s="1478"/>
      <c r="EU653" s="1478"/>
      <c r="EV653" s="1478"/>
      <c r="EW653" s="1478" t="e">
        <f t="shared" si="28"/>
        <v>#VALUE!</v>
      </c>
      <c r="EX653" s="1478"/>
      <c r="EY653" s="1478"/>
      <c r="EZ653" s="1478"/>
      <c r="FA653" s="1478"/>
    </row>
    <row r="654" spans="1:157" ht="13.15" customHeight="1">
      <c r="A654" s="22"/>
      <c r="B654" t="s">
        <v>17</v>
      </c>
      <c r="G654" s="1438" t="s">
        <v>2730</v>
      </c>
      <c r="H654" s="1438"/>
      <c r="I654" s="1438"/>
      <c r="J654" s="1438"/>
      <c r="K654" s="1438"/>
      <c r="L654" s="1438"/>
      <c r="M654" s="1438"/>
      <c r="N654" s="1438"/>
      <c r="O654" s="1438"/>
      <c r="P654" s="1438"/>
      <c r="Q654" s="1438"/>
      <c r="R654" s="1438"/>
      <c r="T654" s="22"/>
      <c r="U654" t="s">
        <v>17</v>
      </c>
      <c r="Z654" s="1438" t="s">
        <v>2660</v>
      </c>
      <c r="AA654" s="1438"/>
      <c r="AB654" s="1438"/>
      <c r="AC654" s="1438"/>
      <c r="AD654" s="1438"/>
      <c r="AE654" s="1438"/>
      <c r="AF654" s="1438"/>
      <c r="AG654" s="1438"/>
      <c r="AH654" s="1438"/>
      <c r="AI654" s="1438"/>
      <c r="AJ654" s="1438"/>
      <c r="AK654" s="1438"/>
      <c r="AZ654" s="34"/>
      <c r="BA654" s="34"/>
      <c r="BB654" s="34"/>
      <c r="BC654" s="34"/>
      <c r="BD654" s="34"/>
      <c r="BE654" s="34"/>
      <c r="BF654" s="34"/>
      <c r="BG654" s="34"/>
      <c r="BH654" s="34"/>
      <c r="BI654" s="34"/>
      <c r="BJ654" s="34"/>
      <c r="BK654" s="34"/>
      <c r="BL654" s="34"/>
      <c r="BM654" s="34"/>
      <c r="BN654" s="1485">
        <f t="shared" si="30"/>
        <v>0</v>
      </c>
      <c r="BO654" s="1486"/>
      <c r="BP654" s="1486"/>
      <c r="BQ654" s="1486"/>
      <c r="BR654" s="1487"/>
      <c r="BS654" s="1484">
        <f t="shared" si="31"/>
        <v>0</v>
      </c>
      <c r="BT654" s="1484"/>
      <c r="BU654" s="1484"/>
      <c r="BV654" s="1484"/>
      <c r="BW654" s="1484"/>
      <c r="BX654" s="1484">
        <f t="shared" si="32"/>
        <v>0</v>
      </c>
      <c r="BY654" s="1484"/>
      <c r="BZ654" s="1484"/>
      <c r="CA654" s="1484"/>
      <c r="CB654" s="1484"/>
      <c r="CC654" s="1484">
        <f t="shared" si="33"/>
        <v>0</v>
      </c>
      <c r="CD654" s="1484"/>
      <c r="CE654" s="1484"/>
      <c r="CF654" s="1484"/>
      <c r="CG654" s="1484"/>
      <c r="CH654" s="1484">
        <f t="shared" si="34"/>
        <v>0</v>
      </c>
      <c r="CI654" s="1484"/>
      <c r="CJ654" s="1484"/>
      <c r="CK654" s="1484"/>
      <c r="CL654" s="1484"/>
      <c r="CM654" s="1484">
        <f t="shared" si="35"/>
        <v>0</v>
      </c>
      <c r="CN654" s="1484"/>
      <c r="CO654" s="1484"/>
      <c r="CP654" s="1484"/>
      <c r="CQ654" s="1484"/>
      <c r="CR654" s="6"/>
      <c r="CS654" s="1485">
        <f t="shared" si="36"/>
        <v>0</v>
      </c>
      <c r="CT654" s="1486"/>
      <c r="CU654" s="1486"/>
      <c r="CV654" s="1486"/>
      <c r="CW654" s="1487"/>
      <c r="CX654" s="1485">
        <f t="shared" si="37"/>
        <v>0</v>
      </c>
      <c r="CY654" s="1486"/>
      <c r="CZ654" s="1486"/>
      <c r="DA654" s="1486"/>
      <c r="DB654" s="1487"/>
      <c r="DC654" s="1485">
        <f t="shared" si="38"/>
        <v>0</v>
      </c>
      <c r="DD654" s="1486"/>
      <c r="DE654" s="1486"/>
      <c r="DF654" s="1486"/>
      <c r="DG654" s="1487"/>
      <c r="DH654" s="1485">
        <f t="shared" si="39"/>
        <v>0</v>
      </c>
      <c r="DI654" s="1486"/>
      <c r="DJ654" s="1486"/>
      <c r="DK654" s="1486"/>
      <c r="DL654" s="1487"/>
      <c r="DM654" s="1485">
        <f t="shared" si="40"/>
        <v>0</v>
      </c>
      <c r="DN654" s="1486"/>
      <c r="DO654" s="1486"/>
      <c r="DP654" s="1486"/>
      <c r="DQ654" s="1487"/>
      <c r="DR654" s="1485">
        <f t="shared" si="41"/>
        <v>0</v>
      </c>
      <c r="DS654" s="1486"/>
      <c r="DT654" s="1486"/>
      <c r="DU654" s="1486"/>
      <c r="DV654" s="1487"/>
      <c r="DX654" s="1478" t="e">
        <f t="shared" si="29"/>
        <v>#VALUE!</v>
      </c>
      <c r="DY654" s="1478"/>
      <c r="DZ654" s="1478"/>
      <c r="EA654" s="1478"/>
      <c r="EB654" s="1478"/>
      <c r="EC654" s="1478" t="e">
        <f t="shared" si="24"/>
        <v>#VALUE!</v>
      </c>
      <c r="ED654" s="1478"/>
      <c r="EE654" s="1478"/>
      <c r="EF654" s="1478"/>
      <c r="EG654" s="1478"/>
      <c r="EH654" s="1478" t="e">
        <f t="shared" si="25"/>
        <v>#VALUE!</v>
      </c>
      <c r="EI654" s="1478"/>
      <c r="EJ654" s="1478"/>
      <c r="EK654" s="1478"/>
      <c r="EL654" s="1478"/>
      <c r="EM654" s="1478" t="e">
        <f t="shared" si="26"/>
        <v>#VALUE!</v>
      </c>
      <c r="EN654" s="1478"/>
      <c r="EO654" s="1478"/>
      <c r="EP654" s="1478"/>
      <c r="EQ654" s="1478"/>
      <c r="ER654" s="1478" t="e">
        <f t="shared" si="27"/>
        <v>#VALUE!</v>
      </c>
      <c r="ES654" s="1478"/>
      <c r="ET654" s="1478"/>
      <c r="EU654" s="1478"/>
      <c r="EV654" s="1478"/>
      <c r="EW654" s="1478" t="e">
        <f t="shared" si="28"/>
        <v>#VALUE!</v>
      </c>
      <c r="EX654" s="1478"/>
      <c r="EY654" s="1478"/>
      <c r="EZ654" s="1478"/>
      <c r="FA654" s="1478"/>
    </row>
    <row r="655" spans="1:157" ht="13.15" customHeight="1">
      <c r="A655" s="22"/>
      <c r="B655" t="s">
        <v>317</v>
      </c>
      <c r="G655" s="1387" t="s">
        <v>2758</v>
      </c>
      <c r="H655" s="1388"/>
      <c r="I655" s="1388"/>
      <c r="J655" s="1388"/>
      <c r="K655" s="1388"/>
      <c r="L655" s="1388"/>
      <c r="O655" s="33" t="s">
        <v>207</v>
      </c>
      <c r="P655" s="1451"/>
      <c r="Q655" s="1451"/>
      <c r="R655" s="1451"/>
      <c r="T655" s="22"/>
      <c r="U655" t="s">
        <v>317</v>
      </c>
      <c r="Z655" s="1388" t="s">
        <v>2661</v>
      </c>
      <c r="AA655" s="1388"/>
      <c r="AB655" s="1388"/>
      <c r="AC655" s="1388"/>
      <c r="AD655" s="1388"/>
      <c r="AE655" s="1388"/>
      <c r="AH655" s="33" t="s">
        <v>207</v>
      </c>
      <c r="AI655" s="1451"/>
      <c r="AJ655" s="1451"/>
      <c r="AK655" s="1451"/>
      <c r="AZ655" s="34"/>
      <c r="BA655" s="34"/>
      <c r="BB655" s="34"/>
      <c r="BC655" s="34"/>
      <c r="BD655" s="34"/>
      <c r="BE655" s="34"/>
      <c r="BF655" s="34"/>
      <c r="BG655" s="34"/>
      <c r="BH655" s="34"/>
      <c r="BI655" s="34"/>
      <c r="BJ655" s="34"/>
      <c r="BK655" s="34"/>
      <c r="BL655" s="34"/>
      <c r="BM655" s="34"/>
      <c r="BN655" s="1500">
        <f>SUM(BN645:BR654)</f>
        <v>0</v>
      </c>
      <c r="BO655" s="1502"/>
      <c r="BP655" s="1502"/>
      <c r="BQ655" s="1502"/>
      <c r="BR655" s="1501"/>
      <c r="BS655" s="1488">
        <f>SUM(BS645:BW654)</f>
        <v>0</v>
      </c>
      <c r="BT655" s="1489"/>
      <c r="BU655" s="1489"/>
      <c r="BV655" s="1489"/>
      <c r="BW655" s="1490"/>
      <c r="BX655" s="1488">
        <f>SUM(BX645:CB654)</f>
        <v>0</v>
      </c>
      <c r="BY655" s="1489"/>
      <c r="BZ655" s="1489"/>
      <c r="CA655" s="1489"/>
      <c r="CB655" s="1490"/>
      <c r="CC655" s="1488">
        <f>SUM(CC645:CG654)</f>
        <v>0</v>
      </c>
      <c r="CD655" s="1489"/>
      <c r="CE655" s="1489"/>
      <c r="CF655" s="1489"/>
      <c r="CG655" s="1490"/>
      <c r="CH655" s="1488">
        <f>SUM(CH645:CL654)</f>
        <v>0</v>
      </c>
      <c r="CI655" s="1489"/>
      <c r="CJ655" s="1489"/>
      <c r="CK655" s="1489"/>
      <c r="CL655" s="1490"/>
      <c r="CM655" s="1488">
        <f>SUM(CM645:CQ654)</f>
        <v>0</v>
      </c>
      <c r="CN655" s="1489"/>
      <c r="CO655" s="1489"/>
      <c r="CP655" s="1489"/>
      <c r="CQ655" s="1490"/>
      <c r="CR655" s="1047"/>
      <c r="CS655" s="1480">
        <f>SUM(CS645:CW654)</f>
        <v>0</v>
      </c>
      <c r="CT655" s="1480"/>
      <c r="CU655" s="1480"/>
      <c r="CV655" s="1480"/>
      <c r="CW655" s="1480"/>
      <c r="CX655" s="1480">
        <f>SUM(CX645:DB654)</f>
        <v>0</v>
      </c>
      <c r="CY655" s="1480"/>
      <c r="CZ655" s="1480"/>
      <c r="DA655" s="1480"/>
      <c r="DB655" s="1480"/>
      <c r="DC655" s="1480">
        <f>SUM(DC645:DG654)</f>
        <v>0</v>
      </c>
      <c r="DD655" s="1480"/>
      <c r="DE655" s="1480"/>
      <c r="DF655" s="1480"/>
      <c r="DG655" s="1480"/>
      <c r="DH655" s="1480">
        <f>SUM(DH645:DL654)</f>
        <v>0</v>
      </c>
      <c r="DI655" s="1480"/>
      <c r="DJ655" s="1480"/>
      <c r="DK655" s="1480"/>
      <c r="DL655" s="1480"/>
      <c r="DM655" s="1480">
        <f>SUM(DM645:DQ654)</f>
        <v>0</v>
      </c>
      <c r="DN655" s="1480"/>
      <c r="DO655" s="1480"/>
      <c r="DP655" s="1480"/>
      <c r="DQ655" s="1480"/>
      <c r="DR655" s="1480">
        <f>SUM(DR645:DV654)</f>
        <v>0</v>
      </c>
      <c r="DS655" s="1480"/>
      <c r="DT655" s="1480"/>
      <c r="DU655" s="1480"/>
      <c r="DV655" s="1480"/>
      <c r="DX655" s="1478" t="e">
        <f t="shared" si="29"/>
        <v>#VALUE!</v>
      </c>
      <c r="DY655" s="1478"/>
      <c r="DZ655" s="1478"/>
      <c r="EA655" s="1478"/>
      <c r="EB655" s="1478"/>
      <c r="EC655" s="1478" t="e">
        <f t="shared" si="24"/>
        <v>#VALUE!</v>
      </c>
      <c r="ED655" s="1478"/>
      <c r="EE655" s="1478"/>
      <c r="EF655" s="1478"/>
      <c r="EG655" s="1478"/>
      <c r="EH655" s="1478" t="e">
        <f t="shared" si="25"/>
        <v>#VALUE!</v>
      </c>
      <c r="EI655" s="1478"/>
      <c r="EJ655" s="1478"/>
      <c r="EK655" s="1478"/>
      <c r="EL655" s="1478"/>
      <c r="EM655" s="1478" t="e">
        <f t="shared" si="26"/>
        <v>#VALUE!</v>
      </c>
      <c r="EN655" s="1478"/>
      <c r="EO655" s="1478"/>
      <c r="EP655" s="1478"/>
      <c r="EQ655" s="1478"/>
      <c r="ER655" s="1478" t="e">
        <f t="shared" si="27"/>
        <v>#VALUE!</v>
      </c>
      <c r="ES655" s="1478"/>
      <c r="ET655" s="1478"/>
      <c r="EU655" s="1478"/>
      <c r="EV655" s="1478"/>
      <c r="EW655" s="1478" t="e">
        <f t="shared" si="28"/>
        <v>#VALUE!</v>
      </c>
      <c r="EX655" s="1478"/>
      <c r="EY655" s="1478"/>
      <c r="EZ655" s="1478"/>
      <c r="FA655" s="1478"/>
    </row>
    <row r="656" spans="1:157" ht="13.15" customHeight="1">
      <c r="A656" s="22"/>
      <c r="B656" t="s">
        <v>18</v>
      </c>
      <c r="H656" s="1368" t="s">
        <v>2754</v>
      </c>
      <c r="I656" s="1368"/>
      <c r="J656" s="1368"/>
      <c r="K656" s="1368"/>
      <c r="L656" s="1368"/>
      <c r="M656" s="1368"/>
      <c r="N656" s="1368"/>
      <c r="O656" s="1368"/>
      <c r="P656" s="1368"/>
      <c r="Q656" s="1368"/>
      <c r="R656" s="1368"/>
      <c r="T656" s="22"/>
      <c r="U656" t="s">
        <v>18</v>
      </c>
      <c r="AA656" s="1368" t="s">
        <v>2750</v>
      </c>
      <c r="AB656" s="1368"/>
      <c r="AC656" s="1368"/>
      <c r="AD656" s="1368"/>
      <c r="AE656" s="1368"/>
      <c r="AF656" s="1368"/>
      <c r="AG656" s="1368"/>
      <c r="AH656" s="1368"/>
      <c r="AI656" s="1368"/>
      <c r="AJ656" s="1368"/>
      <c r="AK656" s="1368"/>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29"/>
        <v>#VALUE!</v>
      </c>
      <c r="DY656" s="1478"/>
      <c r="DZ656" s="1478"/>
      <c r="EA656" s="1478"/>
      <c r="EB656" s="1478"/>
      <c r="EC656" s="1478" t="e">
        <f t="shared" si="24"/>
        <v>#VALUE!</v>
      </c>
      <c r="ED656" s="1478"/>
      <c r="EE656" s="1478"/>
      <c r="EF656" s="1478"/>
      <c r="EG656" s="1478"/>
      <c r="EH656" s="1478" t="e">
        <f t="shared" si="25"/>
        <v>#VALUE!</v>
      </c>
      <c r="EI656" s="1478"/>
      <c r="EJ656" s="1478"/>
      <c r="EK656" s="1478"/>
      <c r="EL656" s="1478"/>
      <c r="EM656" s="1478" t="e">
        <f t="shared" si="26"/>
        <v>#VALUE!</v>
      </c>
      <c r="EN656" s="1478"/>
      <c r="EO656" s="1478"/>
      <c r="EP656" s="1478"/>
      <c r="EQ656" s="1478"/>
      <c r="ER656" s="1478" t="e">
        <f t="shared" si="27"/>
        <v>#VALUE!</v>
      </c>
      <c r="ES656" s="1478"/>
      <c r="ET656" s="1478"/>
      <c r="EU656" s="1478"/>
      <c r="EV656" s="1478"/>
      <c r="EW656" s="1478" t="e">
        <f t="shared" si="28"/>
        <v>#VALUE!</v>
      </c>
      <c r="EX656" s="1478"/>
      <c r="EY656" s="1478"/>
      <c r="EZ656" s="1478"/>
      <c r="FA656" s="1478"/>
    </row>
    <row r="657" spans="1:157" ht="13.15" customHeight="1">
      <c r="A657" s="22"/>
      <c r="B657" t="s">
        <v>20</v>
      </c>
      <c r="N657" s="1367" t="s">
        <v>553</v>
      </c>
      <c r="O657" s="1367"/>
      <c r="T657" s="22"/>
      <c r="U657" t="s">
        <v>20</v>
      </c>
      <c r="AG657" s="1367" t="s">
        <v>553</v>
      </c>
      <c r="AH657" s="1367"/>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78">
        <f>SUM(CS655:DV655)</f>
        <v>0</v>
      </c>
      <c r="DS657" s="1478"/>
      <c r="DT657" s="1478"/>
      <c r="DU657" s="1478"/>
      <c r="DV657" s="1478"/>
      <c r="DX657" s="1478" t="e">
        <f t="shared" si="29"/>
        <v>#VALUE!</v>
      </c>
      <c r="DY657" s="1478"/>
      <c r="DZ657" s="1478"/>
      <c r="EA657" s="1478"/>
      <c r="EB657" s="1478"/>
      <c r="EC657" s="1478" t="e">
        <f t="shared" si="24"/>
        <v>#VALUE!</v>
      </c>
      <c r="ED657" s="1478"/>
      <c r="EE657" s="1478"/>
      <c r="EF657" s="1478"/>
      <c r="EG657" s="1478"/>
      <c r="EH657" s="1478" t="e">
        <f t="shared" si="25"/>
        <v>#VALUE!</v>
      </c>
      <c r="EI657" s="1478"/>
      <c r="EJ657" s="1478"/>
      <c r="EK657" s="1478"/>
      <c r="EL657" s="1478"/>
      <c r="EM657" s="1478" t="e">
        <f t="shared" si="26"/>
        <v>#VALUE!</v>
      </c>
      <c r="EN657" s="1478"/>
      <c r="EO657" s="1478"/>
      <c r="EP657" s="1478"/>
      <c r="EQ657" s="1478"/>
      <c r="ER657" s="1478" t="e">
        <f t="shared" si="27"/>
        <v>#VALUE!</v>
      </c>
      <c r="ES657" s="1478"/>
      <c r="ET657" s="1478"/>
      <c r="EU657" s="1478"/>
      <c r="EV657" s="1478"/>
      <c r="EW657" s="1478" t="e">
        <f t="shared" si="28"/>
        <v>#VALUE!</v>
      </c>
      <c r="EX657" s="1478"/>
      <c r="EY657" s="1478"/>
      <c r="EZ657" s="1478"/>
      <c r="FA657" s="1478"/>
    </row>
    <row r="658" spans="1:157" ht="13.1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78" t="e">
        <f t="shared" ref="DX658:DX667" si="42">DX620*(BN620/$BN$632)</f>
        <v>#VALUE!</v>
      </c>
      <c r="DY658" s="1478"/>
      <c r="DZ658" s="1478"/>
      <c r="EA658" s="1478"/>
      <c r="EB658" s="1478"/>
      <c r="EC658" s="1478" t="e">
        <f t="shared" ref="EC658:EC667" si="43">EC620*(BS620/$BS$632)</f>
        <v>#VALUE!</v>
      </c>
      <c r="ED658" s="1478"/>
      <c r="EE658" s="1478"/>
      <c r="EF658" s="1478"/>
      <c r="EG658" s="1478"/>
      <c r="EH658" s="1478" t="e">
        <f t="shared" ref="EH658:EH667" si="44">EH620*(BX620/$BX$632)</f>
        <v>#VALUE!</v>
      </c>
      <c r="EI658" s="1478"/>
      <c r="EJ658" s="1478"/>
      <c r="EK658" s="1478"/>
      <c r="EL658" s="1478"/>
      <c r="EM658" s="1478" t="e">
        <f t="shared" ref="EM658:EM667" si="45">EM620*(CC620/$CC$632)</f>
        <v>#VALUE!</v>
      </c>
      <c r="EN658" s="1478"/>
      <c r="EO658" s="1478"/>
      <c r="EP658" s="1478"/>
      <c r="EQ658" s="1478"/>
      <c r="ER658" s="1478" t="e">
        <f t="shared" ref="ER658:ER667" si="46">ER620*(CH620/$CH$632)</f>
        <v>#VALUE!</v>
      </c>
      <c r="ES658" s="1478"/>
      <c r="ET658" s="1478"/>
      <c r="EU658" s="1478"/>
      <c r="EV658" s="1478"/>
      <c r="EW658" s="1478" t="e">
        <f t="shared" ref="EW658:EW667" si="47">EW620*(CM620/$CM$632)</f>
        <v>#VALUE!</v>
      </c>
      <c r="EX658" s="1478"/>
      <c r="EY658" s="1478"/>
      <c r="EZ658" s="1478"/>
      <c r="FA658" s="1478"/>
    </row>
    <row r="659" spans="1:157" ht="13.15" customHeight="1">
      <c r="A659" s="55" t="s">
        <v>772</v>
      </c>
      <c r="B659" t="s">
        <v>471</v>
      </c>
      <c r="G659" s="1464">
        <f>C631</f>
        <v>0</v>
      </c>
      <c r="H659" s="1464"/>
      <c r="I659" s="1464"/>
      <c r="J659" s="1464"/>
      <c r="K659" s="1464"/>
      <c r="L659" s="1464"/>
      <c r="M659" s="1464"/>
      <c r="N659" s="1464"/>
      <c r="O659" s="1464"/>
      <c r="P659" s="1464"/>
      <c r="Q659" s="1464"/>
      <c r="R659" s="1464"/>
      <c r="T659" s="55" t="s">
        <v>592</v>
      </c>
      <c r="U659" t="s">
        <v>471</v>
      </c>
      <c r="Z659" s="1464">
        <f>C632</f>
        <v>0</v>
      </c>
      <c r="AA659" s="1464"/>
      <c r="AB659" s="1464"/>
      <c r="AC659" s="1464"/>
      <c r="AD659" s="1464"/>
      <c r="AE659" s="1464"/>
      <c r="AF659" s="1464"/>
      <c r="AG659" s="1464"/>
      <c r="AH659" s="1464"/>
      <c r="AI659" s="1464"/>
      <c r="AJ659" s="1464"/>
      <c r="AK659" s="146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2"/>
        <v>#VALUE!</v>
      </c>
      <c r="DY659" s="1478"/>
      <c r="DZ659" s="1478"/>
      <c r="EA659" s="1478"/>
      <c r="EB659" s="1478"/>
      <c r="EC659" s="1478" t="e">
        <f t="shared" si="43"/>
        <v>#VALUE!</v>
      </c>
      <c r="ED659" s="1478"/>
      <c r="EE659" s="1478"/>
      <c r="EF659" s="1478"/>
      <c r="EG659" s="1478"/>
      <c r="EH659" s="1478" t="e">
        <f t="shared" si="44"/>
        <v>#VALUE!</v>
      </c>
      <c r="EI659" s="1478"/>
      <c r="EJ659" s="1478"/>
      <c r="EK659" s="1478"/>
      <c r="EL659" s="1478"/>
      <c r="EM659" s="1478" t="e">
        <f t="shared" si="45"/>
        <v>#VALUE!</v>
      </c>
      <c r="EN659" s="1478"/>
      <c r="EO659" s="1478"/>
      <c r="EP659" s="1478"/>
      <c r="EQ659" s="1478"/>
      <c r="ER659" s="1478" t="e">
        <f t="shared" si="46"/>
        <v>#VALUE!</v>
      </c>
      <c r="ES659" s="1478"/>
      <c r="ET659" s="1478"/>
      <c r="EU659" s="1478"/>
      <c r="EV659" s="1478"/>
      <c r="EW659" s="1478" t="e">
        <f t="shared" si="47"/>
        <v>#VALUE!</v>
      </c>
      <c r="EX659" s="1478"/>
      <c r="EY659" s="1478"/>
      <c r="EZ659" s="1478"/>
      <c r="FA659" s="1478"/>
    </row>
    <row r="660" spans="1:157" ht="13.15" customHeight="1">
      <c r="A660" s="22"/>
      <c r="B660" t="s">
        <v>85</v>
      </c>
      <c r="G660" s="1368"/>
      <c r="H660" s="1368"/>
      <c r="I660" s="1368"/>
      <c r="J660" s="1368"/>
      <c r="K660" s="1368"/>
      <c r="L660" s="1368"/>
      <c r="M660" s="1368"/>
      <c r="N660" s="1368"/>
      <c r="O660" s="1368"/>
      <c r="P660" s="1368"/>
      <c r="Q660" s="1368"/>
      <c r="R660" s="1368"/>
      <c r="T660" s="22"/>
      <c r="U660" t="s">
        <v>85</v>
      </c>
      <c r="Z660" s="1368"/>
      <c r="AA660" s="1368"/>
      <c r="AB660" s="1368"/>
      <c r="AC660" s="1368"/>
      <c r="AD660" s="1368"/>
      <c r="AE660" s="1368"/>
      <c r="AF660" s="1368"/>
      <c r="AG660" s="1368"/>
      <c r="AH660" s="1368"/>
      <c r="AI660" s="1368"/>
      <c r="AJ660" s="1368"/>
      <c r="AK660" s="1368"/>
      <c r="AZ660" s="34"/>
      <c r="BA660" s="34"/>
      <c r="BB660" s="34"/>
      <c r="BC660" s="34"/>
      <c r="BD660" s="34"/>
      <c r="BE660" s="34"/>
      <c r="BF660" s="34"/>
      <c r="BG660" s="34"/>
      <c r="BH660" s="34"/>
      <c r="BI660" s="34"/>
      <c r="BJ660" s="34"/>
      <c r="BK660" s="34"/>
      <c r="BL660" s="34"/>
      <c r="BM660" s="34"/>
      <c r="BN660" s="1488">
        <f>BN632+BN641+BN655</f>
        <v>0</v>
      </c>
      <c r="BO660" s="1489"/>
      <c r="BP660" s="1489"/>
      <c r="BQ660" s="1489"/>
      <c r="BR660" s="1490"/>
      <c r="BS660" s="1488">
        <f>BS632+BS641+BS655</f>
        <v>35</v>
      </c>
      <c r="BT660" s="1489"/>
      <c r="BU660" s="1489"/>
      <c r="BV660" s="1489"/>
      <c r="BW660" s="1490"/>
      <c r="BX660" s="1488">
        <f>BX632+BX641+BX655</f>
        <v>28</v>
      </c>
      <c r="BY660" s="1489"/>
      <c r="BZ660" s="1489"/>
      <c r="CA660" s="1489"/>
      <c r="CB660" s="1490"/>
      <c r="CC660" s="1488">
        <f>CC632+CC641+CC655</f>
        <v>35</v>
      </c>
      <c r="CD660" s="1489"/>
      <c r="CE660" s="1489"/>
      <c r="CF660" s="1489"/>
      <c r="CG660" s="1490"/>
      <c r="CH660" s="1488">
        <f>CH632+CH641+CH655</f>
        <v>0</v>
      </c>
      <c r="CI660" s="1489"/>
      <c r="CJ660" s="1489"/>
      <c r="CK660" s="1489"/>
      <c r="CL660" s="1490"/>
      <c r="CM660" s="1481">
        <f>CM655+CM641+CM632</f>
        <v>0</v>
      </c>
      <c r="CN660" s="1482"/>
      <c r="CO660" s="1482"/>
      <c r="CP660" s="1482"/>
      <c r="CQ660" s="1483"/>
      <c r="CR660" s="3"/>
      <c r="CS660" s="895">
        <f>CS634+CS658</f>
        <v>193</v>
      </c>
      <c r="CT660" s="57" t="s">
        <v>2053</v>
      </c>
      <c r="CU660" s="3"/>
      <c r="CV660" s="3"/>
      <c r="CW660" s="3"/>
      <c r="CX660" s="3"/>
      <c r="CY660" s="3"/>
      <c r="CZ660" s="3"/>
      <c r="DA660" s="3"/>
      <c r="DB660" s="3"/>
      <c r="DC660" s="3"/>
      <c r="DD660" s="3"/>
      <c r="DE660" s="3"/>
      <c r="DF660" s="3"/>
      <c r="DX660" s="1478" t="e">
        <f t="shared" si="42"/>
        <v>#VALUE!</v>
      </c>
      <c r="DY660" s="1478"/>
      <c r="DZ660" s="1478"/>
      <c r="EA660" s="1478"/>
      <c r="EB660" s="1478"/>
      <c r="EC660" s="1478" t="e">
        <f t="shared" si="43"/>
        <v>#VALUE!</v>
      </c>
      <c r="ED660" s="1478"/>
      <c r="EE660" s="1478"/>
      <c r="EF660" s="1478"/>
      <c r="EG660" s="1478"/>
      <c r="EH660" s="1478" t="e">
        <f t="shared" si="44"/>
        <v>#VALUE!</v>
      </c>
      <c r="EI660" s="1478"/>
      <c r="EJ660" s="1478"/>
      <c r="EK660" s="1478"/>
      <c r="EL660" s="1478"/>
      <c r="EM660" s="1478" t="e">
        <f t="shared" si="45"/>
        <v>#VALUE!</v>
      </c>
      <c r="EN660" s="1478"/>
      <c r="EO660" s="1478"/>
      <c r="EP660" s="1478"/>
      <c r="EQ660" s="1478"/>
      <c r="ER660" s="1478" t="e">
        <f t="shared" si="46"/>
        <v>#VALUE!</v>
      </c>
      <c r="ES660" s="1478"/>
      <c r="ET660" s="1478"/>
      <c r="EU660" s="1478"/>
      <c r="EV660" s="1478"/>
      <c r="EW660" s="1478" t="e">
        <f t="shared" si="47"/>
        <v>#VALUE!</v>
      </c>
      <c r="EX660" s="1478"/>
      <c r="EY660" s="1478"/>
      <c r="EZ660" s="1478"/>
      <c r="FA660" s="1478"/>
    </row>
    <row r="661" spans="1:157" ht="13.15" customHeight="1">
      <c r="A661" s="22"/>
      <c r="B661" t="s">
        <v>588</v>
      </c>
      <c r="G661" s="1368"/>
      <c r="H661" s="1368"/>
      <c r="I661" s="1368"/>
      <c r="J661" s="1368"/>
      <c r="K661" s="1368"/>
      <c r="L661" s="1368"/>
      <c r="M661" s="1368"/>
      <c r="N661" s="1368"/>
      <c r="O661" s="1368"/>
      <c r="P661" s="1368"/>
      <c r="Q661" s="1368"/>
      <c r="R661" s="1368"/>
      <c r="T661" s="22"/>
      <c r="U661" t="s">
        <v>588</v>
      </c>
      <c r="Z661" s="1438"/>
      <c r="AA661" s="1438"/>
      <c r="AB661" s="1438"/>
      <c r="AC661" s="1438"/>
      <c r="AD661" s="1438"/>
      <c r="AE661" s="1438"/>
      <c r="AF661" s="1438"/>
      <c r="AG661" s="1438"/>
      <c r="AH661" s="1438"/>
      <c r="AI661" s="1438"/>
      <c r="AJ661" s="1438"/>
      <c r="AK661" s="143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2"/>
        <v>#VALUE!</v>
      </c>
      <c r="DY661" s="1478"/>
      <c r="DZ661" s="1478"/>
      <c r="EA661" s="1478"/>
      <c r="EB661" s="1478"/>
      <c r="EC661" s="1478" t="e">
        <f t="shared" si="43"/>
        <v>#VALUE!</v>
      </c>
      <c r="ED661" s="1478"/>
      <c r="EE661" s="1478"/>
      <c r="EF661" s="1478"/>
      <c r="EG661" s="1478"/>
      <c r="EH661" s="1478" t="e">
        <f t="shared" si="44"/>
        <v>#VALUE!</v>
      </c>
      <c r="EI661" s="1478"/>
      <c r="EJ661" s="1478"/>
      <c r="EK661" s="1478"/>
      <c r="EL661" s="1478"/>
      <c r="EM661" s="1478" t="e">
        <f t="shared" si="45"/>
        <v>#VALUE!</v>
      </c>
      <c r="EN661" s="1478"/>
      <c r="EO661" s="1478"/>
      <c r="EP661" s="1478"/>
      <c r="EQ661" s="1478"/>
      <c r="ER661" s="1478" t="e">
        <f t="shared" si="46"/>
        <v>#VALUE!</v>
      </c>
      <c r="ES661" s="1478"/>
      <c r="ET661" s="1478"/>
      <c r="EU661" s="1478"/>
      <c r="EV661" s="1478"/>
      <c r="EW661" s="1478" t="e">
        <f t="shared" si="47"/>
        <v>#VALUE!</v>
      </c>
      <c r="EX661" s="1478"/>
      <c r="EY661" s="1478"/>
      <c r="EZ661" s="1478"/>
      <c r="FA661" s="1478"/>
    </row>
    <row r="662" spans="1:157" ht="13.15" customHeight="1">
      <c r="A662" s="22"/>
      <c r="B662" t="s">
        <v>17</v>
      </c>
      <c r="G662" s="1368"/>
      <c r="H662" s="1368"/>
      <c r="I662" s="1368"/>
      <c r="J662" s="1368"/>
      <c r="K662" s="1368"/>
      <c r="L662" s="1368"/>
      <c r="M662" s="1368"/>
      <c r="N662" s="1368"/>
      <c r="O662" s="1368"/>
      <c r="P662" s="1368"/>
      <c r="Q662" s="1368"/>
      <c r="R662" s="1368"/>
      <c r="T662" s="22"/>
      <c r="U662" t="s">
        <v>17</v>
      </c>
      <c r="Z662" s="1438"/>
      <c r="AA662" s="1438"/>
      <c r="AB662" s="1438"/>
      <c r="AC662" s="1438"/>
      <c r="AD662" s="1438"/>
      <c r="AE662" s="1438"/>
      <c r="AF662" s="1438"/>
      <c r="AG662" s="1438"/>
      <c r="AH662" s="1438"/>
      <c r="AI662" s="1438"/>
      <c r="AJ662" s="1438"/>
      <c r="AK662" s="143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2"/>
        <v>#VALUE!</v>
      </c>
      <c r="DY662" s="1478"/>
      <c r="DZ662" s="1478"/>
      <c r="EA662" s="1478"/>
      <c r="EB662" s="1478"/>
      <c r="EC662" s="1478" t="e">
        <f t="shared" si="43"/>
        <v>#VALUE!</v>
      </c>
      <c r="ED662" s="1478"/>
      <c r="EE662" s="1478"/>
      <c r="EF662" s="1478"/>
      <c r="EG662" s="1478"/>
      <c r="EH662" s="1478" t="e">
        <f t="shared" si="44"/>
        <v>#VALUE!</v>
      </c>
      <c r="EI662" s="1478"/>
      <c r="EJ662" s="1478"/>
      <c r="EK662" s="1478"/>
      <c r="EL662" s="1478"/>
      <c r="EM662" s="1478" t="e">
        <f t="shared" si="45"/>
        <v>#VALUE!</v>
      </c>
      <c r="EN662" s="1478"/>
      <c r="EO662" s="1478"/>
      <c r="EP662" s="1478"/>
      <c r="EQ662" s="1478"/>
      <c r="ER662" s="1478" t="e">
        <f t="shared" si="46"/>
        <v>#VALUE!</v>
      </c>
      <c r="ES662" s="1478"/>
      <c r="ET662" s="1478"/>
      <c r="EU662" s="1478"/>
      <c r="EV662" s="1478"/>
      <c r="EW662" s="1478" t="e">
        <f t="shared" si="47"/>
        <v>#VALUE!</v>
      </c>
      <c r="EX662" s="1478"/>
      <c r="EY662" s="1478"/>
      <c r="EZ662" s="1478"/>
      <c r="FA662" s="1478"/>
    </row>
    <row r="663" spans="1:157" ht="13.15" customHeight="1">
      <c r="A663" s="22"/>
      <c r="B663" t="s">
        <v>317</v>
      </c>
      <c r="G663" s="1388"/>
      <c r="H663" s="1388"/>
      <c r="I663" s="1388"/>
      <c r="J663" s="1388"/>
      <c r="K663" s="1388"/>
      <c r="L663" s="1388"/>
      <c r="O663" s="33" t="s">
        <v>207</v>
      </c>
      <c r="P663" s="1451"/>
      <c r="Q663" s="1451"/>
      <c r="R663" s="1451"/>
      <c r="T663" s="22"/>
      <c r="U663" t="s">
        <v>317</v>
      </c>
      <c r="Z663" s="1388"/>
      <c r="AA663" s="1388"/>
      <c r="AB663" s="1388"/>
      <c r="AC663" s="1388"/>
      <c r="AD663" s="1388"/>
      <c r="AE663" s="1388"/>
      <c r="AH663" s="33" t="s">
        <v>207</v>
      </c>
      <c r="AI663" s="1451"/>
      <c r="AJ663" s="1451"/>
      <c r="AK663" s="145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2"/>
        <v>#VALUE!</v>
      </c>
      <c r="DY663" s="1478"/>
      <c r="DZ663" s="1478"/>
      <c r="EA663" s="1478"/>
      <c r="EB663" s="1478"/>
      <c r="EC663" s="1478" t="e">
        <f t="shared" si="43"/>
        <v>#VALUE!</v>
      </c>
      <c r="ED663" s="1478"/>
      <c r="EE663" s="1478"/>
      <c r="EF663" s="1478"/>
      <c r="EG663" s="1478"/>
      <c r="EH663" s="1478" t="e">
        <f t="shared" si="44"/>
        <v>#VALUE!</v>
      </c>
      <c r="EI663" s="1478"/>
      <c r="EJ663" s="1478"/>
      <c r="EK663" s="1478"/>
      <c r="EL663" s="1478"/>
      <c r="EM663" s="1478" t="e">
        <f t="shared" si="45"/>
        <v>#VALUE!</v>
      </c>
      <c r="EN663" s="1478"/>
      <c r="EO663" s="1478"/>
      <c r="EP663" s="1478"/>
      <c r="EQ663" s="1478"/>
      <c r="ER663" s="1478" t="e">
        <f t="shared" si="46"/>
        <v>#VALUE!</v>
      </c>
      <c r="ES663" s="1478"/>
      <c r="ET663" s="1478"/>
      <c r="EU663" s="1478"/>
      <c r="EV663" s="1478"/>
      <c r="EW663" s="1478" t="e">
        <f t="shared" si="47"/>
        <v>#VALUE!</v>
      </c>
      <c r="EX663" s="1478"/>
      <c r="EY663" s="1478"/>
      <c r="EZ663" s="1478"/>
      <c r="FA663" s="1478"/>
    </row>
    <row r="664" spans="1:157" ht="13.15" customHeight="1">
      <c r="A664" s="22"/>
      <c r="B664" t="s">
        <v>18</v>
      </c>
      <c r="H664" s="1368"/>
      <c r="I664" s="1368"/>
      <c r="J664" s="1368"/>
      <c r="K664" s="1368"/>
      <c r="L664" s="1368"/>
      <c r="M664" s="1368"/>
      <c r="N664" s="1368"/>
      <c r="O664" s="1368"/>
      <c r="P664" s="1368"/>
      <c r="Q664" s="1368"/>
      <c r="R664" s="1368"/>
      <c r="T664" s="22"/>
      <c r="U664" t="s">
        <v>18</v>
      </c>
      <c r="AA664" s="1368"/>
      <c r="AB664" s="1368"/>
      <c r="AC664" s="1368"/>
      <c r="AD664" s="1368"/>
      <c r="AE664" s="1368"/>
      <c r="AF664" s="1368"/>
      <c r="AG664" s="1368"/>
      <c r="AH664" s="1368"/>
      <c r="AI664" s="1368"/>
      <c r="AJ664" s="1368"/>
      <c r="AK664" s="136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2"/>
        <v>#VALUE!</v>
      </c>
      <c r="DY664" s="1478"/>
      <c r="DZ664" s="1478"/>
      <c r="EA664" s="1478"/>
      <c r="EB664" s="1478"/>
      <c r="EC664" s="1478" t="e">
        <f t="shared" si="43"/>
        <v>#VALUE!</v>
      </c>
      <c r="ED664" s="1478"/>
      <c r="EE664" s="1478"/>
      <c r="EF664" s="1478"/>
      <c r="EG664" s="1478"/>
      <c r="EH664" s="1478" t="e">
        <f t="shared" si="44"/>
        <v>#VALUE!</v>
      </c>
      <c r="EI664" s="1478"/>
      <c r="EJ664" s="1478"/>
      <c r="EK664" s="1478"/>
      <c r="EL664" s="1478"/>
      <c r="EM664" s="1478" t="e">
        <f t="shared" si="45"/>
        <v>#VALUE!</v>
      </c>
      <c r="EN664" s="1478"/>
      <c r="EO664" s="1478"/>
      <c r="EP664" s="1478"/>
      <c r="EQ664" s="1478"/>
      <c r="ER664" s="1478" t="e">
        <f t="shared" si="46"/>
        <v>#VALUE!</v>
      </c>
      <c r="ES664" s="1478"/>
      <c r="ET664" s="1478"/>
      <c r="EU664" s="1478"/>
      <c r="EV664" s="1478"/>
      <c r="EW664" s="1478" t="e">
        <f t="shared" si="47"/>
        <v>#VALUE!</v>
      </c>
      <c r="EX664" s="1478"/>
      <c r="EY664" s="1478"/>
      <c r="EZ664" s="1478"/>
      <c r="FA664" s="1478"/>
    </row>
    <row r="665" spans="1:157" ht="13.15" customHeight="1">
      <c r="A665" s="22"/>
      <c r="B665" t="s">
        <v>20</v>
      </c>
      <c r="N665" s="1367" t="s">
        <v>677</v>
      </c>
      <c r="O665" s="1367"/>
      <c r="T665" s="22"/>
      <c r="U665" t="s">
        <v>20</v>
      </c>
      <c r="AG665" s="1367" t="s">
        <v>677</v>
      </c>
      <c r="AH665" s="136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2"/>
        <v>#VALUE!</v>
      </c>
      <c r="DY665" s="1478"/>
      <c r="DZ665" s="1478"/>
      <c r="EA665" s="1478"/>
      <c r="EB665" s="1478"/>
      <c r="EC665" s="1478" t="e">
        <f t="shared" si="43"/>
        <v>#VALUE!</v>
      </c>
      <c r="ED665" s="1478"/>
      <c r="EE665" s="1478"/>
      <c r="EF665" s="1478"/>
      <c r="EG665" s="1478"/>
      <c r="EH665" s="1478" t="e">
        <f t="shared" si="44"/>
        <v>#VALUE!</v>
      </c>
      <c r="EI665" s="1478"/>
      <c r="EJ665" s="1478"/>
      <c r="EK665" s="1478"/>
      <c r="EL665" s="1478"/>
      <c r="EM665" s="1478" t="e">
        <f t="shared" si="45"/>
        <v>#VALUE!</v>
      </c>
      <c r="EN665" s="1478"/>
      <c r="EO665" s="1478"/>
      <c r="EP665" s="1478"/>
      <c r="EQ665" s="1478"/>
      <c r="ER665" s="1478" t="e">
        <f t="shared" si="46"/>
        <v>#VALUE!</v>
      </c>
      <c r="ES665" s="1478"/>
      <c r="ET665" s="1478"/>
      <c r="EU665" s="1478"/>
      <c r="EV665" s="1478"/>
      <c r="EW665" s="1478" t="e">
        <f t="shared" si="47"/>
        <v>#VALUE!</v>
      </c>
      <c r="EX665" s="1478"/>
      <c r="EY665" s="1478"/>
      <c r="EZ665" s="1478"/>
      <c r="FA665" s="1478"/>
    </row>
    <row r="666" spans="1:157" ht="13.1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2"/>
        <v>#VALUE!</v>
      </c>
      <c r="DY666" s="1478"/>
      <c r="DZ666" s="1478"/>
      <c r="EA666" s="1478"/>
      <c r="EB666" s="1478"/>
      <c r="EC666" s="1478" t="e">
        <f t="shared" si="43"/>
        <v>#VALUE!</v>
      </c>
      <c r="ED666" s="1478"/>
      <c r="EE666" s="1478"/>
      <c r="EF666" s="1478"/>
      <c r="EG666" s="1478"/>
      <c r="EH666" s="1478" t="e">
        <f t="shared" si="44"/>
        <v>#VALUE!</v>
      </c>
      <c r="EI666" s="1478"/>
      <c r="EJ666" s="1478"/>
      <c r="EK666" s="1478"/>
      <c r="EL666" s="1478"/>
      <c r="EM666" s="1478" t="e">
        <f t="shared" si="45"/>
        <v>#VALUE!</v>
      </c>
      <c r="EN666" s="1478"/>
      <c r="EO666" s="1478"/>
      <c r="EP666" s="1478"/>
      <c r="EQ666" s="1478"/>
      <c r="ER666" s="1478" t="e">
        <f t="shared" si="46"/>
        <v>#VALUE!</v>
      </c>
      <c r="ES666" s="1478"/>
      <c r="ET666" s="1478"/>
      <c r="EU666" s="1478"/>
      <c r="EV666" s="1478"/>
      <c r="EW666" s="1478" t="e">
        <f t="shared" si="47"/>
        <v>#VALUE!</v>
      </c>
      <c r="EX666" s="1478"/>
      <c r="EY666" s="1478"/>
      <c r="EZ666" s="1478"/>
      <c r="FA666" s="1478"/>
    </row>
    <row r="667" spans="1:157" ht="13.15" customHeight="1">
      <c r="A667" s="55" t="s">
        <v>463</v>
      </c>
      <c r="B667" t="s">
        <v>471</v>
      </c>
      <c r="G667" s="1464">
        <f>C633</f>
        <v>0</v>
      </c>
      <c r="H667" s="1464"/>
      <c r="I667" s="1464"/>
      <c r="J667" s="1464"/>
      <c r="K667" s="1464"/>
      <c r="L667" s="1464"/>
      <c r="M667" s="1464"/>
      <c r="N667" s="1464"/>
      <c r="O667" s="1464"/>
      <c r="P667" s="1464"/>
      <c r="Q667" s="1464"/>
      <c r="R667" s="1464"/>
      <c r="T667" s="55" t="s">
        <v>464</v>
      </c>
      <c r="U667" t="s">
        <v>471</v>
      </c>
      <c r="Z667" s="1464">
        <f>C634</f>
        <v>0</v>
      </c>
      <c r="AA667" s="1464"/>
      <c r="AB667" s="1464"/>
      <c r="AC667" s="1464"/>
      <c r="AD667" s="1464"/>
      <c r="AE667" s="1464"/>
      <c r="AF667" s="1464"/>
      <c r="AG667" s="1464"/>
      <c r="AH667" s="1464"/>
      <c r="AI667" s="1464"/>
      <c r="AJ667" s="1464"/>
      <c r="AK667" s="1464"/>
      <c r="AZ667" s="3"/>
      <c r="BA667" s="118">
        <f t="shared" ref="BA667:BA699" si="48">IF($G718=0,"N/A",VLOOKUP($T$189,TC_Rent,(MATCH($B718,bedrooms,FALSE))))</f>
        <v>2840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2"/>
        <v>#VALUE!</v>
      </c>
      <c r="DY667" s="1478"/>
      <c r="DZ667" s="1478"/>
      <c r="EA667" s="1478"/>
      <c r="EB667" s="1478"/>
      <c r="EC667" s="1478" t="e">
        <f t="shared" si="43"/>
        <v>#VALUE!</v>
      </c>
      <c r="ED667" s="1478"/>
      <c r="EE667" s="1478"/>
      <c r="EF667" s="1478"/>
      <c r="EG667" s="1478"/>
      <c r="EH667" s="1478" t="e">
        <f t="shared" si="44"/>
        <v>#VALUE!</v>
      </c>
      <c r="EI667" s="1478"/>
      <c r="EJ667" s="1478"/>
      <c r="EK667" s="1478"/>
      <c r="EL667" s="1478"/>
      <c r="EM667" s="1478" t="e">
        <f t="shared" si="45"/>
        <v>#VALUE!</v>
      </c>
      <c r="EN667" s="1478"/>
      <c r="EO667" s="1478"/>
      <c r="EP667" s="1478"/>
      <c r="EQ667" s="1478"/>
      <c r="ER667" s="1478" t="e">
        <f t="shared" si="46"/>
        <v>#VALUE!</v>
      </c>
      <c r="ES667" s="1478"/>
      <c r="ET667" s="1478"/>
      <c r="EU667" s="1478"/>
      <c r="EV667" s="1478"/>
      <c r="EW667" s="1478" t="e">
        <f t="shared" si="47"/>
        <v>#VALUE!</v>
      </c>
      <c r="EX667" s="1478"/>
      <c r="EY667" s="1478"/>
      <c r="EZ667" s="1478"/>
      <c r="FA667" s="1478"/>
    </row>
    <row r="668" spans="1:157" ht="13.15" customHeight="1">
      <c r="A668" s="22"/>
      <c r="B668" t="s">
        <v>85</v>
      </c>
      <c r="G668" s="1368"/>
      <c r="H668" s="1368"/>
      <c r="I668" s="1368"/>
      <c r="J668" s="1368"/>
      <c r="K668" s="1368"/>
      <c r="L668" s="1368"/>
      <c r="M668" s="1368"/>
      <c r="N668" s="1368"/>
      <c r="O668" s="1368"/>
      <c r="P668" s="1368"/>
      <c r="Q668" s="1368"/>
      <c r="R668" s="1368"/>
      <c r="T668" s="22"/>
      <c r="U668" t="s">
        <v>85</v>
      </c>
      <c r="Z668" s="1368"/>
      <c r="AA668" s="1368"/>
      <c r="AB668" s="1368"/>
      <c r="AC668" s="1368"/>
      <c r="AD668" s="1368"/>
      <c r="AE668" s="1368"/>
      <c r="AF668" s="1368"/>
      <c r="AG668" s="1368"/>
      <c r="AH668" s="1368"/>
      <c r="AI668" s="1368"/>
      <c r="AJ668" s="1368"/>
      <c r="AK668" s="1368"/>
      <c r="AZ668" s="3"/>
      <c r="BA668" s="118">
        <f t="shared" si="48"/>
        <v>2840</v>
      </c>
      <c r="BB668" s="3"/>
      <c r="BC668" s="3"/>
      <c r="BD668" s="3"/>
      <c r="BE668" s="3"/>
      <c r="BF668" s="218"/>
      <c r="BG668" s="315">
        <f t="shared" ref="BG668:BG700" si="49">G718</f>
        <v>7</v>
      </c>
      <c r="BH668" s="319">
        <f t="shared" ref="BH668:BH702" si="50">IF($BG$703=0,0,BG668/$BG$703)</f>
        <v>7.2164948453608241E-2</v>
      </c>
      <c r="BI668" s="320">
        <f t="shared" ref="BI668:BI691" si="51">IF(BH668=0,"",BH668*AC718)</f>
        <v>2.164948453608247E-2</v>
      </c>
      <c r="BJ668" s="3"/>
      <c r="BK668" s="3"/>
      <c r="BL668" s="3"/>
      <c r="BM668" s="3"/>
      <c r="BN668" s="3"/>
      <c r="BO668" s="3"/>
      <c r="BT668" s="315">
        <f t="shared" ref="BT668:BT700" si="52">G718</f>
        <v>7</v>
      </c>
      <c r="BU668" s="319">
        <f t="shared" ref="BU668:BU702" si="53">IF($BT$703=0,0,BT668/$BT$703)</f>
        <v>7.2164948453608241E-2</v>
      </c>
      <c r="BV668" s="320">
        <f t="shared" ref="BV668:BV700" si="54">IF(BU668=0,"",BU668*AH718)</f>
        <v>2.164948453608247E-2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3.15" customHeight="1">
      <c r="A669" s="22"/>
      <c r="B669" t="s">
        <v>588</v>
      </c>
      <c r="G669" s="1368"/>
      <c r="H669" s="1368"/>
      <c r="I669" s="1368"/>
      <c r="J669" s="1368"/>
      <c r="K669" s="1368"/>
      <c r="L669" s="1368"/>
      <c r="M669" s="1368"/>
      <c r="N669" s="1368"/>
      <c r="O669" s="1368"/>
      <c r="P669" s="1368"/>
      <c r="Q669" s="1368"/>
      <c r="R669" s="1368"/>
      <c r="T669" s="22"/>
      <c r="U669" t="s">
        <v>588</v>
      </c>
      <c r="Z669" s="1438"/>
      <c r="AA669" s="1438"/>
      <c r="AB669" s="1438"/>
      <c r="AC669" s="1438"/>
      <c r="AD669" s="1438"/>
      <c r="AE669" s="1438"/>
      <c r="AF669" s="1438"/>
      <c r="AG669" s="1438"/>
      <c r="AH669" s="1438"/>
      <c r="AI669" s="1438"/>
      <c r="AJ669" s="1438"/>
      <c r="AK669" s="1438"/>
      <c r="AZ669" s="3"/>
      <c r="BA669" s="118">
        <f t="shared" si="48"/>
        <v>2840</v>
      </c>
      <c r="BB669" s="3"/>
      <c r="BC669" s="3"/>
      <c r="BD669" s="3"/>
      <c r="BE669" s="3"/>
      <c r="BF669" s="218"/>
      <c r="BG669" s="316">
        <f t="shared" si="49"/>
        <v>4</v>
      </c>
      <c r="BH669" s="319">
        <f t="shared" si="50"/>
        <v>4.1237113402061855E-2</v>
      </c>
      <c r="BI669" s="320">
        <f t="shared" si="51"/>
        <v>2.0618556701030927E-2</v>
      </c>
      <c r="BJ669" s="3"/>
      <c r="BK669" s="3"/>
      <c r="BL669" s="3"/>
      <c r="BM669" s="3"/>
      <c r="BN669" s="3"/>
      <c r="BO669" s="3"/>
      <c r="BT669" s="316">
        <f t="shared" si="52"/>
        <v>4</v>
      </c>
      <c r="BU669" s="319">
        <f t="shared" si="53"/>
        <v>4.1237113402061855E-2</v>
      </c>
      <c r="BV669" s="320">
        <f t="shared" si="54"/>
        <v>2.0618556701030927E-2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3.15" customHeight="1">
      <c r="A670" s="22"/>
      <c r="B670" t="s">
        <v>17</v>
      </c>
      <c r="G670" s="1368"/>
      <c r="H670" s="1368"/>
      <c r="I670" s="1368"/>
      <c r="J670" s="1368"/>
      <c r="K670" s="1368"/>
      <c r="L670" s="1368"/>
      <c r="M670" s="1368"/>
      <c r="N670" s="1368"/>
      <c r="O670" s="1368"/>
      <c r="P670" s="1368"/>
      <c r="Q670" s="1368"/>
      <c r="R670" s="1368"/>
      <c r="T670" s="22"/>
      <c r="U670" t="s">
        <v>17</v>
      </c>
      <c r="Z670" s="1438"/>
      <c r="AA670" s="1438"/>
      <c r="AB670" s="1438"/>
      <c r="AC670" s="1438"/>
      <c r="AD670" s="1438"/>
      <c r="AE670" s="1438"/>
      <c r="AF670" s="1438"/>
      <c r="AG670" s="1438"/>
      <c r="AH670" s="1438"/>
      <c r="AI670" s="1438"/>
      <c r="AJ670" s="1438"/>
      <c r="AK670" s="1438"/>
      <c r="AZ670" s="3"/>
      <c r="BA670" s="118">
        <f t="shared" si="48"/>
        <v>2840</v>
      </c>
      <c r="BB670" s="3"/>
      <c r="BC670" s="3"/>
      <c r="BD670" s="3"/>
      <c r="BE670" s="3"/>
      <c r="BF670" s="218"/>
      <c r="BG670" s="316">
        <f t="shared" si="49"/>
        <v>20</v>
      </c>
      <c r="BH670" s="319">
        <f t="shared" si="50"/>
        <v>0.20618556701030927</v>
      </c>
      <c r="BI670" s="320">
        <f t="shared" si="51"/>
        <v>0.12371134020618556</v>
      </c>
      <c r="BJ670" s="3"/>
      <c r="BK670" s="3"/>
      <c r="BL670" s="3"/>
      <c r="BM670" s="3"/>
      <c r="BN670" s="3"/>
      <c r="BO670" s="3"/>
      <c r="BT670" s="316">
        <f t="shared" si="52"/>
        <v>20</v>
      </c>
      <c r="BU670" s="319">
        <f t="shared" si="53"/>
        <v>0.20618556701030927</v>
      </c>
      <c r="BV670" s="320">
        <f t="shared" si="54"/>
        <v>0.12371134020618556</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1449.6</v>
      </c>
      <c r="ED670" s="1478"/>
      <c r="EE670" s="1478"/>
      <c r="EF670" s="1478"/>
      <c r="EG670" s="1478"/>
      <c r="EH670" s="1478">
        <f>SUMIF(EH635:EL669,"&gt;0")</f>
        <v>1886.2857142857142</v>
      </c>
      <c r="EI670" s="1478"/>
      <c r="EJ670" s="1478"/>
      <c r="EK670" s="1478"/>
      <c r="EL670" s="1478"/>
      <c r="EM670" s="1478">
        <f>SUMIF(EM635:EQ669,"&gt;0")</f>
        <v>2219</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3.15" customHeight="1">
      <c r="A671" s="22"/>
      <c r="B671" t="s">
        <v>317</v>
      </c>
      <c r="G671" s="1388"/>
      <c r="H671" s="1388"/>
      <c r="I671" s="1388"/>
      <c r="J671" s="1388"/>
      <c r="K671" s="1388"/>
      <c r="L671" s="1388"/>
      <c r="O671" s="33" t="s">
        <v>207</v>
      </c>
      <c r="P671" s="1451"/>
      <c r="Q671" s="1451"/>
      <c r="R671" s="1451"/>
      <c r="T671" s="22"/>
      <c r="U671" t="s">
        <v>317</v>
      </c>
      <c r="Z671" s="1388"/>
      <c r="AA671" s="1388"/>
      <c r="AB671" s="1388"/>
      <c r="AC671" s="1388"/>
      <c r="AD671" s="1388"/>
      <c r="AE671" s="1388"/>
      <c r="AH671" s="33" t="s">
        <v>207</v>
      </c>
      <c r="AI671" s="1451"/>
      <c r="AJ671" s="1451"/>
      <c r="AK671" s="1451"/>
      <c r="AZ671" s="3"/>
      <c r="BA671" s="118">
        <f t="shared" si="48"/>
        <v>3410</v>
      </c>
      <c r="BB671" s="3"/>
      <c r="BC671" s="3"/>
      <c r="BD671" s="3"/>
      <c r="BE671" s="3"/>
      <c r="BF671" s="218"/>
      <c r="BG671" s="316">
        <f t="shared" si="49"/>
        <v>4</v>
      </c>
      <c r="BH671" s="319">
        <f t="shared" si="50"/>
        <v>4.1237113402061855E-2</v>
      </c>
      <c r="BI671" s="320">
        <f t="shared" si="51"/>
        <v>2.8865979381443297E-2</v>
      </c>
      <c r="BJ671" s="3"/>
      <c r="BK671" s="3"/>
      <c r="BL671" s="3"/>
      <c r="BM671" s="3"/>
      <c r="BN671" s="3"/>
      <c r="BO671" s="3"/>
      <c r="BT671" s="316">
        <f t="shared" si="52"/>
        <v>4</v>
      </c>
      <c r="BU671" s="319">
        <f t="shared" si="53"/>
        <v>4.1237113402061855E-2</v>
      </c>
      <c r="BV671" s="320">
        <f t="shared" si="54"/>
        <v>2.8865979381443297E-2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368"/>
      <c r="I672" s="1368"/>
      <c r="J672" s="1368"/>
      <c r="K672" s="1368"/>
      <c r="L672" s="1368"/>
      <c r="M672" s="1368"/>
      <c r="N672" s="1368"/>
      <c r="O672" s="1368"/>
      <c r="P672" s="1368"/>
      <c r="Q672" s="1368"/>
      <c r="R672" s="1368"/>
      <c r="T672" s="22"/>
      <c r="U672" t="s">
        <v>18</v>
      </c>
      <c r="AA672" s="1368"/>
      <c r="AB672" s="1368"/>
      <c r="AC672" s="1368"/>
      <c r="AD672" s="1368"/>
      <c r="AE672" s="1368"/>
      <c r="AF672" s="1368"/>
      <c r="AG672" s="1368"/>
      <c r="AH672" s="1368"/>
      <c r="AI672" s="1368"/>
      <c r="AJ672" s="1368"/>
      <c r="AK672" s="1368"/>
      <c r="AZ672" s="3"/>
      <c r="BA672" s="118">
        <f t="shared" si="48"/>
        <v>3410</v>
      </c>
      <c r="BB672" s="3"/>
      <c r="BC672" s="3"/>
      <c r="BD672" s="3"/>
      <c r="BE672" s="3"/>
      <c r="BF672" s="218"/>
      <c r="BG672" s="316">
        <f t="shared" si="49"/>
        <v>4</v>
      </c>
      <c r="BH672" s="319">
        <f t="shared" si="50"/>
        <v>4.1237113402061855E-2</v>
      </c>
      <c r="BI672" s="320">
        <f t="shared" si="51"/>
        <v>1.2371134020618556E-2</v>
      </c>
      <c r="BJ672" s="3"/>
      <c r="BK672" s="3"/>
      <c r="BL672" s="3"/>
      <c r="BM672" s="3"/>
      <c r="BN672" s="3"/>
      <c r="BO672" s="3"/>
      <c r="BT672" s="316">
        <f t="shared" si="52"/>
        <v>4</v>
      </c>
      <c r="BU672" s="319">
        <f t="shared" si="53"/>
        <v>4.1237113402061855E-2</v>
      </c>
      <c r="BV672" s="320">
        <f t="shared" si="54"/>
        <v>1.2371134020618556E-2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15" customHeight="1">
      <c r="A673" s="22"/>
      <c r="B673" t="s">
        <v>20</v>
      </c>
      <c r="N673" s="1367" t="s">
        <v>677</v>
      </c>
      <c r="O673" s="1367"/>
      <c r="T673" s="22"/>
      <c r="U673" t="s">
        <v>20</v>
      </c>
      <c r="AG673" s="1367" t="s">
        <v>677</v>
      </c>
      <c r="AH673" s="1367"/>
      <c r="AZ673" s="3"/>
      <c r="BA673" s="118">
        <f t="shared" si="48"/>
        <v>3410</v>
      </c>
      <c r="BB673" s="3"/>
      <c r="BC673" s="3"/>
      <c r="BD673" s="3"/>
      <c r="BE673" s="3"/>
      <c r="BF673" s="218"/>
      <c r="BG673" s="316">
        <f t="shared" si="49"/>
        <v>3</v>
      </c>
      <c r="BH673" s="319">
        <f t="shared" si="50"/>
        <v>3.0927835051546393E-2</v>
      </c>
      <c r="BI673" s="320">
        <f t="shared" si="51"/>
        <v>1.5463917525773196E-2</v>
      </c>
      <c r="BJ673" s="3"/>
      <c r="BK673" s="3"/>
      <c r="BL673" s="3"/>
      <c r="BM673" s="3"/>
      <c r="BN673" s="3"/>
      <c r="BO673" s="3"/>
      <c r="BT673" s="316">
        <f t="shared" si="52"/>
        <v>3</v>
      </c>
      <c r="BU673" s="319">
        <f t="shared" si="53"/>
        <v>3.0927835051546393E-2</v>
      </c>
      <c r="BV673" s="320">
        <f t="shared" si="54"/>
        <v>1.5463917525773196E-2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15" customHeight="1">
      <c r="A674" s="22"/>
      <c r="T674" s="22"/>
      <c r="AZ674" s="3"/>
      <c r="BA674" s="118">
        <f t="shared" si="48"/>
        <v>3410</v>
      </c>
      <c r="BB674" s="3"/>
      <c r="BC674" s="3"/>
      <c r="BD674" s="3"/>
      <c r="BE674" s="3"/>
      <c r="BF674" s="218"/>
      <c r="BG674" s="316">
        <f t="shared" si="49"/>
        <v>10</v>
      </c>
      <c r="BH674" s="319">
        <f t="shared" si="50"/>
        <v>0.10309278350515463</v>
      </c>
      <c r="BI674" s="320">
        <f t="shared" si="51"/>
        <v>6.1855670103092779E-2</v>
      </c>
      <c r="BJ674" s="3"/>
      <c r="BK674" s="3"/>
      <c r="BL674" s="3"/>
      <c r="BM674" s="3"/>
      <c r="BN674" s="3"/>
      <c r="BO674" s="3"/>
      <c r="BT674" s="316">
        <f t="shared" si="52"/>
        <v>10</v>
      </c>
      <c r="BU674" s="319">
        <f t="shared" si="53"/>
        <v>0.10309278350515463</v>
      </c>
      <c r="BV674" s="320">
        <f t="shared" si="54"/>
        <v>6.1855670103092779E-2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15" customHeight="1">
      <c r="A675" s="55" t="s">
        <v>469</v>
      </c>
      <c r="B675" t="s">
        <v>471</v>
      </c>
      <c r="G675" s="1464">
        <f>C635</f>
        <v>0</v>
      </c>
      <c r="H675" s="1464"/>
      <c r="I675" s="1464"/>
      <c r="J675" s="1464"/>
      <c r="K675" s="1464"/>
      <c r="L675" s="1464"/>
      <c r="M675" s="1464"/>
      <c r="N675" s="1464"/>
      <c r="O675" s="1464"/>
      <c r="P675" s="1464"/>
      <c r="Q675" s="1464"/>
      <c r="R675" s="1464"/>
      <c r="T675" s="55" t="s">
        <v>654</v>
      </c>
      <c r="U675" t="s">
        <v>471</v>
      </c>
      <c r="Z675" s="1464">
        <f>C636</f>
        <v>0</v>
      </c>
      <c r="AA675" s="1464"/>
      <c r="AB675" s="1464"/>
      <c r="AC675" s="1464"/>
      <c r="AD675" s="1464"/>
      <c r="AE675" s="1464"/>
      <c r="AF675" s="1464"/>
      <c r="AG675" s="1464"/>
      <c r="AH675" s="1464"/>
      <c r="AI675" s="1464"/>
      <c r="AJ675" s="1464"/>
      <c r="AK675" s="1464"/>
      <c r="AZ675" s="3"/>
      <c r="BA675" s="118">
        <f t="shared" si="48"/>
        <v>3940</v>
      </c>
      <c r="BB675" s="3"/>
      <c r="BC675" s="3"/>
      <c r="BD675" s="3"/>
      <c r="BE675" s="3"/>
      <c r="BF675" s="218"/>
      <c r="BG675" s="316">
        <f t="shared" si="49"/>
        <v>11</v>
      </c>
      <c r="BH675" s="319">
        <f t="shared" si="50"/>
        <v>0.1134020618556701</v>
      </c>
      <c r="BI675" s="320">
        <f t="shared" si="51"/>
        <v>7.9381443298969068E-2</v>
      </c>
      <c r="BJ675" s="3"/>
      <c r="BK675" s="3"/>
      <c r="BL675" s="3"/>
      <c r="BM675" s="3"/>
      <c r="BN675" s="3"/>
      <c r="BO675" s="3"/>
      <c r="BT675" s="316">
        <f t="shared" si="52"/>
        <v>11</v>
      </c>
      <c r="BU675" s="319">
        <f t="shared" si="53"/>
        <v>0.1134020618556701</v>
      </c>
      <c r="BV675" s="320">
        <f t="shared" si="54"/>
        <v>7.9381443298969068E-2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15" customHeight="1">
      <c r="A676" s="22"/>
      <c r="B676" t="s">
        <v>85</v>
      </c>
      <c r="G676" s="1368"/>
      <c r="H676" s="1368"/>
      <c r="I676" s="1368"/>
      <c r="J676" s="1368"/>
      <c r="K676" s="1368"/>
      <c r="L676" s="1368"/>
      <c r="M676" s="1368"/>
      <c r="N676" s="1368"/>
      <c r="O676" s="1368"/>
      <c r="P676" s="1368"/>
      <c r="Q676" s="1368"/>
      <c r="R676" s="1368"/>
      <c r="T676" s="22"/>
      <c r="U676" t="s">
        <v>85</v>
      </c>
      <c r="Z676" s="1368"/>
      <c r="AA676" s="1368"/>
      <c r="AB676" s="1368"/>
      <c r="AC676" s="1368"/>
      <c r="AD676" s="1368"/>
      <c r="AE676" s="1368"/>
      <c r="AF676" s="1368"/>
      <c r="AG676" s="1368"/>
      <c r="AH676" s="1368"/>
      <c r="AI676" s="1368"/>
      <c r="AJ676" s="1368"/>
      <c r="AK676" s="1368"/>
      <c r="AZ676" s="3"/>
      <c r="BA676" s="118">
        <f t="shared" si="48"/>
        <v>3940</v>
      </c>
      <c r="BB676" s="3"/>
      <c r="BC676" s="3"/>
      <c r="BD676" s="3"/>
      <c r="BE676" s="3"/>
      <c r="BF676" s="218"/>
      <c r="BG676" s="316">
        <f t="shared" si="49"/>
        <v>4</v>
      </c>
      <c r="BH676" s="319">
        <f t="shared" si="50"/>
        <v>4.1237113402061855E-2</v>
      </c>
      <c r="BI676" s="320">
        <f t="shared" si="51"/>
        <v>1.2371134020618556E-2</v>
      </c>
      <c r="BJ676" s="3"/>
      <c r="BK676" s="3"/>
      <c r="BL676" s="3"/>
      <c r="BM676" s="3"/>
      <c r="BN676" s="3"/>
      <c r="BO676" s="3"/>
      <c r="BT676" s="316">
        <f t="shared" si="52"/>
        <v>4</v>
      </c>
      <c r="BU676" s="319">
        <f t="shared" si="53"/>
        <v>4.1237113402061855E-2</v>
      </c>
      <c r="BV676" s="320">
        <f t="shared" si="54"/>
        <v>1.2371134020618556E-2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15" customHeight="1">
      <c r="A677" s="22"/>
      <c r="B677" t="s">
        <v>588</v>
      </c>
      <c r="G677" s="1368"/>
      <c r="H677" s="1368"/>
      <c r="I677" s="1368"/>
      <c r="J677" s="1368"/>
      <c r="K677" s="1368"/>
      <c r="L677" s="1368"/>
      <c r="M677" s="1368"/>
      <c r="N677" s="1368"/>
      <c r="O677" s="1368"/>
      <c r="P677" s="1368"/>
      <c r="Q677" s="1368"/>
      <c r="R677" s="1368"/>
      <c r="T677" s="22"/>
      <c r="U677" t="s">
        <v>588</v>
      </c>
      <c r="Z677" s="1438"/>
      <c r="AA677" s="1438"/>
      <c r="AB677" s="1438"/>
      <c r="AC677" s="1438"/>
      <c r="AD677" s="1438"/>
      <c r="AE677" s="1438"/>
      <c r="AF677" s="1438"/>
      <c r="AG677" s="1438"/>
      <c r="AH677" s="1438"/>
      <c r="AI677" s="1438"/>
      <c r="AJ677" s="1438"/>
      <c r="AK677" s="1438"/>
      <c r="AZ677" s="3"/>
      <c r="BA677" s="118">
        <f t="shared" si="48"/>
        <v>3940</v>
      </c>
      <c r="BB677" s="3"/>
      <c r="BC677" s="3"/>
      <c r="BD677" s="3"/>
      <c r="BE677" s="3"/>
      <c r="BF677" s="218"/>
      <c r="BG677" s="316">
        <f t="shared" si="49"/>
        <v>4</v>
      </c>
      <c r="BH677" s="319">
        <f t="shared" si="50"/>
        <v>4.1237113402061855E-2</v>
      </c>
      <c r="BI677" s="320">
        <f t="shared" si="51"/>
        <v>2.0618556701030927E-2</v>
      </c>
      <c r="BJ677" s="3"/>
      <c r="BK677" s="3"/>
      <c r="BL677" s="3"/>
      <c r="BM677" s="3"/>
      <c r="BN677" s="3"/>
      <c r="BO677" s="3"/>
      <c r="BT677" s="316">
        <f t="shared" si="52"/>
        <v>4</v>
      </c>
      <c r="BU677" s="319">
        <f t="shared" si="53"/>
        <v>4.1237113402061855E-2</v>
      </c>
      <c r="BV677" s="320">
        <f t="shared" si="54"/>
        <v>2.0618556701030927E-2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15" customHeight="1">
      <c r="A678" s="22"/>
      <c r="B678" t="s">
        <v>17</v>
      </c>
      <c r="G678" s="1368"/>
      <c r="H678" s="1368"/>
      <c r="I678" s="1368"/>
      <c r="J678" s="1368"/>
      <c r="K678" s="1368"/>
      <c r="L678" s="1368"/>
      <c r="M678" s="1368"/>
      <c r="N678" s="1368"/>
      <c r="O678" s="1368"/>
      <c r="P678" s="1368"/>
      <c r="Q678" s="1368"/>
      <c r="R678" s="1368"/>
      <c r="T678" s="22"/>
      <c r="U678" t="s">
        <v>17</v>
      </c>
      <c r="Z678" s="1438"/>
      <c r="AA678" s="1438"/>
      <c r="AB678" s="1438"/>
      <c r="AC678" s="1438"/>
      <c r="AD678" s="1438"/>
      <c r="AE678" s="1438"/>
      <c r="AF678" s="1438"/>
      <c r="AG678" s="1438"/>
      <c r="AH678" s="1438"/>
      <c r="AI678" s="1438"/>
      <c r="AJ678" s="1438"/>
      <c r="AK678" s="1438"/>
      <c r="AZ678" s="3"/>
      <c r="BA678" s="118">
        <f t="shared" si="48"/>
        <v>3940</v>
      </c>
      <c r="BB678" s="3"/>
      <c r="BC678" s="3"/>
      <c r="BD678" s="3"/>
      <c r="BE678" s="3"/>
      <c r="BF678" s="218"/>
      <c r="BG678" s="316">
        <f t="shared" si="49"/>
        <v>10</v>
      </c>
      <c r="BH678" s="319">
        <f t="shared" si="50"/>
        <v>0.10309278350515463</v>
      </c>
      <c r="BI678" s="320">
        <f t="shared" si="51"/>
        <v>6.1855670103092779E-2</v>
      </c>
      <c r="BJ678" s="3"/>
      <c r="BK678" s="3"/>
      <c r="BL678" s="3"/>
      <c r="BM678" s="3"/>
      <c r="BN678" s="3"/>
      <c r="BO678" s="3"/>
      <c r="BT678" s="316">
        <f t="shared" si="52"/>
        <v>10</v>
      </c>
      <c r="BU678" s="319">
        <f t="shared" si="53"/>
        <v>0.10309278350515463</v>
      </c>
      <c r="BV678" s="320">
        <f t="shared" si="54"/>
        <v>6.1855670103092779E-2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15" customHeight="1">
      <c r="A679" s="22"/>
      <c r="B679" t="s">
        <v>317</v>
      </c>
      <c r="G679" s="1388"/>
      <c r="H679" s="1388"/>
      <c r="I679" s="1388"/>
      <c r="J679" s="1388"/>
      <c r="K679" s="1388"/>
      <c r="L679" s="1388"/>
      <c r="O679" s="33" t="s">
        <v>207</v>
      </c>
      <c r="P679" s="1451"/>
      <c r="Q679" s="1451"/>
      <c r="R679" s="1451"/>
      <c r="T679" s="22"/>
      <c r="U679" t="s">
        <v>317</v>
      </c>
      <c r="Z679" s="1388"/>
      <c r="AA679" s="1388"/>
      <c r="AB679" s="1388"/>
      <c r="AC679" s="1388"/>
      <c r="AD679" s="1388"/>
      <c r="AE679" s="1388"/>
      <c r="AH679" s="33" t="s">
        <v>207</v>
      </c>
      <c r="AI679" s="1451"/>
      <c r="AJ679" s="1451"/>
      <c r="AK679" s="1451"/>
      <c r="AZ679" s="3"/>
      <c r="BA679" s="118" t="str">
        <f t="shared" si="48"/>
        <v>N/A</v>
      </c>
      <c r="BB679" s="3"/>
      <c r="BC679" s="3"/>
      <c r="BD679" s="3"/>
      <c r="BE679" s="3"/>
      <c r="BF679" s="218"/>
      <c r="BG679" s="316">
        <f t="shared" si="49"/>
        <v>16</v>
      </c>
      <c r="BH679" s="319">
        <f t="shared" si="50"/>
        <v>0.16494845360824742</v>
      </c>
      <c r="BI679" s="320">
        <f t="shared" si="51"/>
        <v>0.11546391752577319</v>
      </c>
      <c r="BJ679" s="3"/>
      <c r="BK679" s="3"/>
      <c r="BL679" s="3"/>
      <c r="BM679" s="3"/>
      <c r="BN679" s="3"/>
      <c r="BO679" s="3"/>
      <c r="BT679" s="316">
        <f t="shared" si="52"/>
        <v>16</v>
      </c>
      <c r="BU679" s="319">
        <f t="shared" si="53"/>
        <v>0.16494845360824742</v>
      </c>
      <c r="BV679" s="320">
        <f t="shared" si="54"/>
        <v>0.11546391752577319</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15" customHeight="1">
      <c r="A680" s="22"/>
      <c r="B680" t="s">
        <v>18</v>
      </c>
      <c r="H680" s="1368"/>
      <c r="I680" s="1368"/>
      <c r="J680" s="1368"/>
      <c r="K680" s="1368"/>
      <c r="L680" s="1368"/>
      <c r="M680" s="1368"/>
      <c r="N680" s="1368"/>
      <c r="O680" s="1368"/>
      <c r="P680" s="1368"/>
      <c r="Q680" s="1368"/>
      <c r="R680" s="1368"/>
      <c r="T680" s="22"/>
      <c r="U680" t="s">
        <v>18</v>
      </c>
      <c r="AA680" s="1368"/>
      <c r="AB680" s="1368"/>
      <c r="AC680" s="1368"/>
      <c r="AD680" s="1368"/>
      <c r="AE680" s="1368"/>
      <c r="AF680" s="1368"/>
      <c r="AG680" s="1368"/>
      <c r="AH680" s="1368"/>
      <c r="AI680" s="1368"/>
      <c r="AJ680" s="1368"/>
      <c r="AK680" s="1368"/>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15" customHeight="1">
      <c r="A681" s="22"/>
      <c r="B681" t="s">
        <v>20</v>
      </c>
      <c r="N681" s="1367" t="s">
        <v>677</v>
      </c>
      <c r="O681" s="1367"/>
      <c r="T681" s="22"/>
      <c r="U681" t="s">
        <v>20</v>
      </c>
      <c r="AG681" s="1367" t="s">
        <v>677</v>
      </c>
      <c r="AH681" s="1367"/>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1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15" customHeight="1">
      <c r="A683" s="55" t="s">
        <v>363</v>
      </c>
      <c r="B683" t="s">
        <v>471</v>
      </c>
      <c r="G683" s="1464">
        <f>C637</f>
        <v>0</v>
      </c>
      <c r="H683" s="1464"/>
      <c r="I683" s="1464"/>
      <c r="J683" s="1464"/>
      <c r="K683" s="1464"/>
      <c r="L683" s="1464"/>
      <c r="M683" s="1464"/>
      <c r="N683" s="1464"/>
      <c r="O683" s="1464"/>
      <c r="P683" s="1464"/>
      <c r="Q683" s="1464"/>
      <c r="R683" s="1464"/>
      <c r="T683" s="55" t="s">
        <v>364</v>
      </c>
      <c r="U683" t="s">
        <v>471</v>
      </c>
      <c r="Z683" s="1464">
        <f>C638</f>
        <v>0</v>
      </c>
      <c r="AA683" s="1464"/>
      <c r="AB683" s="1464"/>
      <c r="AC683" s="1464"/>
      <c r="AD683" s="1464"/>
      <c r="AE683" s="1464"/>
      <c r="AF683" s="1464"/>
      <c r="AG683" s="1464"/>
      <c r="AH683" s="1464"/>
      <c r="AI683" s="1464"/>
      <c r="AJ683" s="1464"/>
      <c r="AK683" s="146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15" customHeight="1">
      <c r="B684" t="s">
        <v>85</v>
      </c>
      <c r="G684" s="1368"/>
      <c r="H684" s="1368"/>
      <c r="I684" s="1368"/>
      <c r="J684" s="1368"/>
      <c r="K684" s="1368"/>
      <c r="L684" s="1368"/>
      <c r="M684" s="1368"/>
      <c r="N684" s="1368"/>
      <c r="O684" s="1368"/>
      <c r="P684" s="1368"/>
      <c r="Q684" s="1368"/>
      <c r="R684" s="1368"/>
      <c r="T684" s="22"/>
      <c r="U684" t="s">
        <v>85</v>
      </c>
      <c r="Z684" s="1368"/>
      <c r="AA684" s="1368"/>
      <c r="AB684" s="1368"/>
      <c r="AC684" s="1368"/>
      <c r="AD684" s="1368"/>
      <c r="AE684" s="1368"/>
      <c r="AF684" s="1368"/>
      <c r="AG684" s="1368"/>
      <c r="AH684" s="1368"/>
      <c r="AI684" s="1368"/>
      <c r="AJ684" s="1368"/>
      <c r="AK684" s="1368"/>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15" customHeight="1">
      <c r="B685" t="s">
        <v>588</v>
      </c>
      <c r="G685" s="1368"/>
      <c r="H685" s="1368"/>
      <c r="I685" s="1368"/>
      <c r="J685" s="1368"/>
      <c r="K685" s="1368"/>
      <c r="L685" s="1368"/>
      <c r="M685" s="1368"/>
      <c r="N685" s="1368"/>
      <c r="O685" s="1368"/>
      <c r="P685" s="1368"/>
      <c r="Q685" s="1368"/>
      <c r="R685" s="1368"/>
      <c r="U685" t="s">
        <v>588</v>
      </c>
      <c r="Z685" s="1438"/>
      <c r="AA685" s="1438"/>
      <c r="AB685" s="1438"/>
      <c r="AC685" s="1438"/>
      <c r="AD685" s="1438"/>
      <c r="AE685" s="1438"/>
      <c r="AF685" s="1438"/>
      <c r="AG685" s="1438"/>
      <c r="AH685" s="1438"/>
      <c r="AI685" s="1438"/>
      <c r="AJ685" s="1438"/>
      <c r="AK685" s="143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15" customHeight="1">
      <c r="B686" t="s">
        <v>17</v>
      </c>
      <c r="G686" s="1368"/>
      <c r="H686" s="1368"/>
      <c r="I686" s="1368"/>
      <c r="J686" s="1368"/>
      <c r="K686" s="1368"/>
      <c r="L686" s="1368"/>
      <c r="M686" s="1368"/>
      <c r="N686" s="1368"/>
      <c r="O686" s="1368"/>
      <c r="P686" s="1368"/>
      <c r="Q686" s="1368"/>
      <c r="R686" s="1368"/>
      <c r="U686" t="s">
        <v>17</v>
      </c>
      <c r="Z686" s="1438"/>
      <c r="AA686" s="1438"/>
      <c r="AB686" s="1438"/>
      <c r="AC686" s="1438"/>
      <c r="AD686" s="1438"/>
      <c r="AE686" s="1438"/>
      <c r="AF686" s="1438"/>
      <c r="AG686" s="1438"/>
      <c r="AH686" s="1438"/>
      <c r="AI686" s="1438"/>
      <c r="AJ686" s="1438"/>
      <c r="AK686" s="143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15" customHeight="1">
      <c r="B687" t="s">
        <v>317</v>
      </c>
      <c r="G687" s="1388"/>
      <c r="H687" s="1388"/>
      <c r="I687" s="1388"/>
      <c r="J687" s="1388"/>
      <c r="K687" s="1388"/>
      <c r="L687" s="1388"/>
      <c r="O687" s="33" t="s">
        <v>207</v>
      </c>
      <c r="P687" s="1451"/>
      <c r="Q687" s="1451"/>
      <c r="R687" s="1451"/>
      <c r="U687" t="s">
        <v>317</v>
      </c>
      <c r="Z687" s="1388"/>
      <c r="AA687" s="1388"/>
      <c r="AB687" s="1388"/>
      <c r="AC687" s="1388"/>
      <c r="AD687" s="1388"/>
      <c r="AE687" s="1388"/>
      <c r="AH687" s="33" t="s">
        <v>207</v>
      </c>
      <c r="AI687" s="1451"/>
      <c r="AJ687" s="1451"/>
      <c r="AK687" s="145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15" customHeight="1">
      <c r="B688" t="s">
        <v>18</v>
      </c>
      <c r="H688" s="1368"/>
      <c r="I688" s="1368"/>
      <c r="J688" s="1368"/>
      <c r="K688" s="1368"/>
      <c r="L688" s="1368"/>
      <c r="M688" s="1368"/>
      <c r="N688" s="1368"/>
      <c r="O688" s="1368"/>
      <c r="P688" s="1368"/>
      <c r="Q688" s="1368"/>
      <c r="R688" s="1368"/>
      <c r="U688" t="s">
        <v>18</v>
      </c>
      <c r="AA688" s="1368"/>
      <c r="AB688" s="1368"/>
      <c r="AC688" s="1368"/>
      <c r="AD688" s="1368"/>
      <c r="AE688" s="1368"/>
      <c r="AF688" s="1368"/>
      <c r="AG688" s="1368"/>
      <c r="AH688" s="1368"/>
      <c r="AI688" s="1368"/>
      <c r="AJ688" s="1368"/>
      <c r="AK688" s="1368"/>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15" customHeight="1">
      <c r="B689" t="s">
        <v>20</v>
      </c>
      <c r="N689" s="1367" t="s">
        <v>677</v>
      </c>
      <c r="O689" s="1367"/>
      <c r="U689" t="s">
        <v>20</v>
      </c>
      <c r="AG689" s="1367" t="s">
        <v>677</v>
      </c>
      <c r="AH689" s="1367"/>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1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1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1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15" customHeight="1">
      <c r="B693" s="135"/>
      <c r="C693" s="135"/>
      <c r="E693" s="136" t="s">
        <v>437</v>
      </c>
      <c r="F693" s="135"/>
      <c r="G693" s="135"/>
      <c r="H693" s="135"/>
      <c r="AE693" s="1367" t="s">
        <v>553</v>
      </c>
      <c r="AF693" s="1367"/>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15" customHeight="1">
      <c r="B694" s="135"/>
      <c r="C694" s="135"/>
      <c r="D694" s="136" t="s">
        <v>440</v>
      </c>
      <c r="E694" s="135"/>
      <c r="F694" s="135"/>
      <c r="G694" s="135"/>
      <c r="H694" s="135"/>
      <c r="AE694" s="1367" t="s">
        <v>677</v>
      </c>
      <c r="AF694" s="1367"/>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15" customHeight="1">
      <c r="B695" s="135"/>
      <c r="C695" s="135"/>
      <c r="D695" s="136" t="s">
        <v>939</v>
      </c>
      <c r="E695" s="135"/>
      <c r="F695" s="135"/>
      <c r="G695" s="135"/>
      <c r="H695" s="135"/>
      <c r="AE695" s="1676">
        <v>45531</v>
      </c>
      <c r="AF695" s="1676"/>
      <c r="AG695" s="1676"/>
      <c r="AH695" s="1676"/>
      <c r="AI695" s="167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15" customHeight="1">
      <c r="B696" s="135"/>
      <c r="C696" s="135"/>
      <c r="D696" s="343" t="s">
        <v>1002</v>
      </c>
      <c r="E696" s="135"/>
      <c r="F696" s="135"/>
      <c r="G696" s="135"/>
      <c r="H696" s="135"/>
      <c r="AE696" s="1759">
        <v>45637</v>
      </c>
      <c r="AF696" s="1759"/>
      <c r="AG696" s="1759"/>
      <c r="AH696" s="1759"/>
      <c r="AI696" s="175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1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15" customHeight="1">
      <c r="B698" s="135"/>
      <c r="C698" s="135"/>
      <c r="D698" s="136" t="s">
        <v>825</v>
      </c>
      <c r="E698" s="135"/>
      <c r="F698" s="135"/>
      <c r="G698" s="135"/>
      <c r="H698" s="135"/>
      <c r="AE698" s="1676">
        <v>45637</v>
      </c>
      <c r="AF698" s="1676"/>
      <c r="AG698" s="1676"/>
      <c r="AH698" s="1676"/>
      <c r="AI698" s="167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15" customHeight="1">
      <c r="B699" s="135"/>
      <c r="C699" s="135"/>
      <c r="D699" s="136" t="s">
        <v>438</v>
      </c>
      <c r="E699" s="135"/>
      <c r="F699" s="135"/>
      <c r="G699" s="135"/>
      <c r="H699" s="135"/>
      <c r="AE699" s="1871">
        <v>0.50249999999999995</v>
      </c>
      <c r="AF699" s="1871"/>
      <c r="AG699" s="1871"/>
      <c r="AH699" s="1871"/>
      <c r="AI699" s="187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15" customHeight="1">
      <c r="B700" s="135"/>
      <c r="C700" s="135"/>
      <c r="D700" s="136" t="s">
        <v>439</v>
      </c>
      <c r="E700" s="135"/>
      <c r="F700" s="135"/>
      <c r="G700" s="135"/>
      <c r="H700" s="135"/>
      <c r="W700" s="1464" t="str">
        <f>H335</f>
        <v>San Diego Housing Commission</v>
      </c>
      <c r="X700" s="1464"/>
      <c r="Y700" s="1464"/>
      <c r="Z700" s="1464"/>
      <c r="AA700" s="1464"/>
      <c r="AB700" s="1464"/>
      <c r="AC700" s="1464"/>
      <c r="AD700" s="1464"/>
      <c r="AE700" s="1464"/>
      <c r="AF700" s="1464"/>
      <c r="AG700" s="1464"/>
      <c r="AH700" s="1464"/>
      <c r="AI700" s="1464"/>
      <c r="AJ700" s="1464"/>
      <c r="AK700" s="146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1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15" customHeight="1">
      <c r="B702" s="135"/>
      <c r="C702" s="135"/>
      <c r="D702" s="136" t="s">
        <v>441</v>
      </c>
      <c r="E702" s="135"/>
      <c r="F702" s="135"/>
      <c r="G702" s="135"/>
      <c r="H702" s="135"/>
      <c r="AE702" s="1367" t="s">
        <v>677</v>
      </c>
      <c r="AF702" s="1367"/>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15" customHeight="1">
      <c r="B703" s="135"/>
      <c r="C703" s="135"/>
      <c r="D703" s="136" t="s">
        <v>444</v>
      </c>
      <c r="E703" s="135"/>
      <c r="F703" s="135"/>
      <c r="G703" s="135"/>
      <c r="H703" s="135"/>
      <c r="W703" s="1368"/>
      <c r="X703" s="1368"/>
      <c r="Y703" s="1368"/>
      <c r="Z703" s="1368"/>
      <c r="AA703" s="1368"/>
      <c r="AB703" s="1368"/>
      <c r="AC703" s="1368"/>
      <c r="AD703" s="1368"/>
      <c r="AE703" s="1368"/>
      <c r="AF703" s="1368"/>
      <c r="AG703" s="1368"/>
      <c r="AH703" s="1368"/>
      <c r="AI703" s="1368"/>
      <c r="AJ703" s="1368"/>
      <c r="AK703" s="1368"/>
      <c r="AZ703" s="34"/>
      <c r="BA703" s="34"/>
      <c r="BB703" s="34"/>
      <c r="BC703" s="34"/>
      <c r="BD703" s="34"/>
      <c r="BE703" s="3"/>
      <c r="BF703" s="312" t="s">
        <v>914</v>
      </c>
      <c r="BG703" s="321">
        <f>SUM(BG668:BG702)</f>
        <v>97</v>
      </c>
      <c r="BH703" s="322">
        <f>SUM(BH668:BH702)</f>
        <v>0.99999999999999989</v>
      </c>
      <c r="BI703" s="322">
        <f>SUM(BI668:BI702)</f>
        <v>0.5742268041237113</v>
      </c>
      <c r="BN703" s="3"/>
      <c r="BO703" s="3"/>
      <c r="BT703" s="893">
        <f>SUM(BT668:BT702)</f>
        <v>97</v>
      </c>
      <c r="BU703" s="322">
        <f>SUM(BU668:BU702)</f>
        <v>0.99999999999999989</v>
      </c>
      <c r="BV703" s="322">
        <f>SUM(BV668:BV702)</f>
        <v>0.5742268041237113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15" customHeight="1">
      <c r="B704" s="135"/>
      <c r="C704" s="135"/>
      <c r="D704" s="136" t="s">
        <v>87</v>
      </c>
      <c r="E704" s="135"/>
      <c r="F704" s="135"/>
      <c r="G704" s="135"/>
      <c r="H704" s="135"/>
      <c r="J704" s="1368"/>
      <c r="K704" s="1368"/>
      <c r="L704" s="1368"/>
      <c r="M704" s="1368"/>
      <c r="N704" s="1368"/>
      <c r="O704" s="1368"/>
      <c r="P704" s="1368"/>
      <c r="Q704" s="1368"/>
      <c r="R704" s="1368"/>
      <c r="S704" s="1368"/>
      <c r="T704" s="1368"/>
      <c r="U704" s="1368"/>
      <c r="V704" s="1368"/>
      <c r="W704" s="1368"/>
      <c r="X704" s="1368"/>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15" customHeight="1">
      <c r="B705" s="135"/>
      <c r="C705" s="135"/>
      <c r="D705" s="136" t="s">
        <v>88</v>
      </c>
      <c r="J705" s="1388"/>
      <c r="K705" s="1388"/>
      <c r="L705" s="1388"/>
      <c r="M705" s="1388"/>
      <c r="N705" s="1388"/>
      <c r="O705" s="1388"/>
      <c r="P705" s="4" t="s">
        <v>207</v>
      </c>
      <c r="Q705" s="4"/>
      <c r="R705" s="1451"/>
      <c r="S705" s="1451"/>
      <c r="T705" s="145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15" customHeight="1">
      <c r="B706" s="135"/>
      <c r="C706" s="135"/>
      <c r="D706" s="136" t="s">
        <v>445</v>
      </c>
      <c r="W706" s="1368" t="s">
        <v>308</v>
      </c>
      <c r="X706" s="1368"/>
      <c r="Y706" s="1368"/>
      <c r="Z706" s="1368"/>
      <c r="AA706" s="1368"/>
      <c r="AB706" s="1368"/>
      <c r="AC706" s="1368"/>
      <c r="AD706" s="1368"/>
      <c r="AE706" s="1368"/>
      <c r="AF706" s="1368"/>
      <c r="AG706" s="1368"/>
      <c r="AH706" s="1368"/>
      <c r="AI706" s="1368"/>
      <c r="AJ706" s="1368"/>
      <c r="AK706" s="136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15" customHeight="1">
      <c r="B707" s="135"/>
      <c r="C707" s="135"/>
      <c r="D707" s="136"/>
      <c r="E707" s="1368" t="s">
        <v>335</v>
      </c>
      <c r="F707" s="1368"/>
      <c r="G707" s="1368"/>
      <c r="H707" s="1368"/>
      <c r="I707" s="1368"/>
      <c r="J707" s="1368"/>
      <c r="K707" s="1368"/>
      <c r="L707" s="1368"/>
      <c r="M707" s="1368"/>
      <c r="N707" s="1368"/>
      <c r="O707" s="1368"/>
      <c r="P707" s="1368"/>
      <c r="Q707" s="1368"/>
      <c r="R707" s="1368"/>
      <c r="S707" s="1368"/>
      <c r="T707" s="1368"/>
      <c r="U707" s="1368"/>
      <c r="V707" s="1368"/>
      <c r="W707" s="1368"/>
      <c r="X707" s="1368"/>
      <c r="Y707" s="1368"/>
      <c r="Z707" s="1368"/>
      <c r="AA707" s="1368"/>
      <c r="AB707" s="1368"/>
      <c r="AC707" s="1368"/>
      <c r="AD707" s="1368"/>
      <c r="AE707" s="1368"/>
      <c r="AF707" s="1368"/>
      <c r="AG707" s="1368"/>
      <c r="AH707" s="1368"/>
      <c r="AI707" s="1368"/>
      <c r="AJ707" s="1368"/>
      <c r="AK707" s="136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15"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15"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15"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1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1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15" customHeight="1">
      <c r="B714" s="1372" t="s">
        <v>390</v>
      </c>
      <c r="C714" s="1373"/>
      <c r="D714" s="1373"/>
      <c r="E714" s="1373"/>
      <c r="F714" s="1374"/>
      <c r="G714" s="1372" t="s">
        <v>286</v>
      </c>
      <c r="H714" s="1373"/>
      <c r="I714" s="1373"/>
      <c r="J714" s="1374"/>
      <c r="K714" s="1748" t="s">
        <v>1866</v>
      </c>
      <c r="L714" s="1749"/>
      <c r="M714" s="1749"/>
      <c r="N714" s="1750"/>
      <c r="O714" s="1372" t="s">
        <v>455</v>
      </c>
      <c r="P714" s="1373"/>
      <c r="Q714" s="1373"/>
      <c r="R714" s="1373"/>
      <c r="S714" s="1374"/>
      <c r="T714" s="1479" t="s">
        <v>2250</v>
      </c>
      <c r="U714" s="1373"/>
      <c r="V714" s="1373"/>
      <c r="W714" s="1374"/>
      <c r="X714" s="1479" t="s">
        <v>2252</v>
      </c>
      <c r="Y714" s="1373"/>
      <c r="Z714" s="1373"/>
      <c r="AA714" s="1373"/>
      <c r="AB714" s="1374"/>
      <c r="AC714" s="1479" t="s">
        <v>2251</v>
      </c>
      <c r="AD714" s="1373"/>
      <c r="AE714" s="1373"/>
      <c r="AF714" s="1373"/>
      <c r="AG714" s="1374"/>
      <c r="AH714" s="1479" t="s">
        <v>2253</v>
      </c>
      <c r="AI714" s="1373"/>
      <c r="AJ714" s="1374"/>
      <c r="AK714" s="1479" t="s">
        <v>2287</v>
      </c>
      <c r="AL714" s="1373"/>
      <c r="AM714" s="1373"/>
      <c r="AN714" s="1373"/>
      <c r="AO714" s="137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15" customHeight="1">
      <c r="B715" s="1375"/>
      <c r="C715" s="1376"/>
      <c r="D715" s="1376"/>
      <c r="E715" s="1376"/>
      <c r="F715" s="1377"/>
      <c r="G715" s="1375"/>
      <c r="H715" s="1376"/>
      <c r="I715" s="1376"/>
      <c r="J715" s="1377"/>
      <c r="K715" s="1751"/>
      <c r="L715" s="1752"/>
      <c r="M715" s="1752"/>
      <c r="N715" s="1753"/>
      <c r="O715" s="1375"/>
      <c r="P715" s="1376"/>
      <c r="Q715" s="1376"/>
      <c r="R715" s="1376"/>
      <c r="S715" s="1377"/>
      <c r="T715" s="1375"/>
      <c r="U715" s="1376"/>
      <c r="V715" s="1376"/>
      <c r="W715" s="1377"/>
      <c r="X715" s="1375"/>
      <c r="Y715" s="1376"/>
      <c r="Z715" s="1376"/>
      <c r="AA715" s="1376"/>
      <c r="AB715" s="1377"/>
      <c r="AC715" s="1375"/>
      <c r="AD715" s="1376"/>
      <c r="AE715" s="1376"/>
      <c r="AF715" s="1376"/>
      <c r="AG715" s="1377"/>
      <c r="AH715" s="1375"/>
      <c r="AI715" s="1376"/>
      <c r="AJ715" s="1377"/>
      <c r="AK715" s="1375"/>
      <c r="AL715" s="1376"/>
      <c r="AM715" s="1376"/>
      <c r="AN715" s="1376"/>
      <c r="AO715" s="137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15" customHeight="1">
      <c r="A716" s="4"/>
      <c r="B716" s="1375"/>
      <c r="C716" s="1376"/>
      <c r="D716" s="1376"/>
      <c r="E716" s="1376"/>
      <c r="F716" s="1377"/>
      <c r="G716" s="1375"/>
      <c r="H716" s="1376"/>
      <c r="I716" s="1376"/>
      <c r="J716" s="1377"/>
      <c r="K716" s="1751"/>
      <c r="L716" s="1752"/>
      <c r="M716" s="1752"/>
      <c r="N716" s="1753"/>
      <c r="O716" s="1375"/>
      <c r="P716" s="1376"/>
      <c r="Q716" s="1376"/>
      <c r="R716" s="1376"/>
      <c r="S716" s="1377"/>
      <c r="T716" s="1375"/>
      <c r="U716" s="1376"/>
      <c r="V716" s="1376"/>
      <c r="W716" s="1377"/>
      <c r="X716" s="1375"/>
      <c r="Y716" s="1376"/>
      <c r="Z716" s="1376"/>
      <c r="AA716" s="1376"/>
      <c r="AB716" s="1377"/>
      <c r="AC716" s="1375"/>
      <c r="AD716" s="1376"/>
      <c r="AE716" s="1376"/>
      <c r="AF716" s="1376"/>
      <c r="AG716" s="1377"/>
      <c r="AH716" s="1375"/>
      <c r="AI716" s="1376"/>
      <c r="AJ716" s="1377"/>
      <c r="AK716" s="1375"/>
      <c r="AL716" s="1376"/>
      <c r="AM716" s="1376"/>
      <c r="AN716" s="1376"/>
      <c r="AO716" s="137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15" customHeight="1">
      <c r="A717" s="4"/>
      <c r="B717" s="1378"/>
      <c r="C717" s="1379"/>
      <c r="D717" s="1379"/>
      <c r="E717" s="1379"/>
      <c r="F717" s="1380"/>
      <c r="G717" s="1378"/>
      <c r="H717" s="1379"/>
      <c r="I717" s="1379"/>
      <c r="J717" s="1380"/>
      <c r="K717" s="1751"/>
      <c r="L717" s="1752"/>
      <c r="M717" s="1752"/>
      <c r="N717" s="1753"/>
      <c r="O717" s="1378"/>
      <c r="P717" s="1379"/>
      <c r="Q717" s="1379"/>
      <c r="R717" s="1379"/>
      <c r="S717" s="1380"/>
      <c r="T717" s="1378"/>
      <c r="U717" s="1379"/>
      <c r="V717" s="1379"/>
      <c r="W717" s="1380"/>
      <c r="X717" s="1378"/>
      <c r="Y717" s="1379"/>
      <c r="Z717" s="1379"/>
      <c r="AA717" s="1379"/>
      <c r="AB717" s="1380"/>
      <c r="AC717" s="1378"/>
      <c r="AD717" s="1379"/>
      <c r="AE717" s="1379"/>
      <c r="AF717" s="1379"/>
      <c r="AG717" s="1380"/>
      <c r="AH717" s="1378"/>
      <c r="AI717" s="1379"/>
      <c r="AJ717" s="1380"/>
      <c r="AK717" s="1378"/>
      <c r="AL717" s="1379"/>
      <c r="AM717" s="1379"/>
      <c r="AN717" s="1379"/>
      <c r="AO717" s="138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15" customHeight="1">
      <c r="A718" s="4"/>
      <c r="B718" s="1355" t="s">
        <v>326</v>
      </c>
      <c r="C718" s="1356"/>
      <c r="D718" s="1356"/>
      <c r="E718" s="1356"/>
      <c r="F718" s="1357"/>
      <c r="G718" s="1384">
        <v>7</v>
      </c>
      <c r="H718" s="1385"/>
      <c r="I718" s="1385"/>
      <c r="J718" s="1386"/>
      <c r="K718" s="1381">
        <v>491</v>
      </c>
      <c r="L718" s="1382"/>
      <c r="M718" s="1382"/>
      <c r="N718" s="1383"/>
      <c r="O718" s="1361">
        <v>768</v>
      </c>
      <c r="P718" s="1362"/>
      <c r="Q718" s="1362"/>
      <c r="R718" s="1362"/>
      <c r="S718" s="1363"/>
      <c r="T718" s="1361">
        <v>84</v>
      </c>
      <c r="U718" s="1362"/>
      <c r="V718" s="1362"/>
      <c r="W718" s="1363"/>
      <c r="X718" s="1364">
        <f t="shared" ref="X718:X741" si="59">O718+T718</f>
        <v>852</v>
      </c>
      <c r="Y718" s="1365"/>
      <c r="Z718" s="1365"/>
      <c r="AA718" s="1365"/>
      <c r="AB718" s="1366"/>
      <c r="AC718" s="1369">
        <v>0.3</v>
      </c>
      <c r="AD718" s="1370"/>
      <c r="AE718" s="1370"/>
      <c r="AF718" s="1370"/>
      <c r="AG718" s="1371"/>
      <c r="AH718" s="1358">
        <f t="shared" ref="AH718:AH751" si="60">IF($AC718&gt;0,($X718/$BA667), "")</f>
        <v>0.3</v>
      </c>
      <c r="AI718" s="1359"/>
      <c r="AJ718" s="1360"/>
      <c r="AK718" s="1355" t="s">
        <v>599</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15" customHeight="1">
      <c r="A719" s="4"/>
      <c r="B719" s="1355" t="s">
        <v>326</v>
      </c>
      <c r="C719" s="1356"/>
      <c r="D719" s="1356"/>
      <c r="E719" s="1356"/>
      <c r="F719" s="1357"/>
      <c r="G719" s="1384">
        <v>4</v>
      </c>
      <c r="H719" s="1385"/>
      <c r="I719" s="1385"/>
      <c r="J719" s="1386"/>
      <c r="K719" s="1381">
        <v>491</v>
      </c>
      <c r="L719" s="1382"/>
      <c r="M719" s="1382"/>
      <c r="N719" s="1383"/>
      <c r="O719" s="1361">
        <v>1336</v>
      </c>
      <c r="P719" s="1362"/>
      <c r="Q719" s="1362"/>
      <c r="R719" s="1362"/>
      <c r="S719" s="1363"/>
      <c r="T719" s="1361">
        <v>84</v>
      </c>
      <c r="U719" s="1362"/>
      <c r="V719" s="1362"/>
      <c r="W719" s="1363"/>
      <c r="X719" s="1364">
        <f t="shared" si="59"/>
        <v>1420</v>
      </c>
      <c r="Y719" s="1365"/>
      <c r="Z719" s="1365"/>
      <c r="AA719" s="1365"/>
      <c r="AB719" s="1366"/>
      <c r="AC719" s="1369">
        <v>0.5</v>
      </c>
      <c r="AD719" s="1370"/>
      <c r="AE719" s="1370"/>
      <c r="AF719" s="1370"/>
      <c r="AG719" s="1371"/>
      <c r="AH719" s="1358">
        <f t="shared" si="60"/>
        <v>0.5</v>
      </c>
      <c r="AI719" s="1359"/>
      <c r="AJ719" s="1360"/>
      <c r="AK719" s="1355" t="s">
        <v>599</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15" customHeight="1">
      <c r="A720" s="4"/>
      <c r="B720" s="1355" t="s">
        <v>326</v>
      </c>
      <c r="C720" s="1356"/>
      <c r="D720" s="1356"/>
      <c r="E720" s="1356"/>
      <c r="F720" s="1357"/>
      <c r="G720" s="1384">
        <v>20</v>
      </c>
      <c r="H720" s="1385"/>
      <c r="I720" s="1385"/>
      <c r="J720" s="1386"/>
      <c r="K720" s="1381">
        <v>491</v>
      </c>
      <c r="L720" s="1382"/>
      <c r="M720" s="1382"/>
      <c r="N720" s="1383"/>
      <c r="O720" s="1361">
        <v>1620</v>
      </c>
      <c r="P720" s="1362"/>
      <c r="Q720" s="1362"/>
      <c r="R720" s="1362"/>
      <c r="S720" s="1363"/>
      <c r="T720" s="1361">
        <v>84</v>
      </c>
      <c r="U720" s="1362"/>
      <c r="V720" s="1362"/>
      <c r="W720" s="1363"/>
      <c r="X720" s="1364">
        <f t="shared" si="59"/>
        <v>1704</v>
      </c>
      <c r="Y720" s="1365"/>
      <c r="Z720" s="1365"/>
      <c r="AA720" s="1365"/>
      <c r="AB720" s="1366"/>
      <c r="AC720" s="1369">
        <v>0.6</v>
      </c>
      <c r="AD720" s="1370"/>
      <c r="AE720" s="1370"/>
      <c r="AF720" s="1370"/>
      <c r="AG720" s="1371"/>
      <c r="AH720" s="1358">
        <f t="shared" si="60"/>
        <v>0.6</v>
      </c>
      <c r="AI720" s="1359"/>
      <c r="AJ720" s="1360"/>
      <c r="AK720" s="1355" t="s">
        <v>599</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15" customHeight="1">
      <c r="B721" s="1355" t="s">
        <v>326</v>
      </c>
      <c r="C721" s="1356"/>
      <c r="D721" s="1356"/>
      <c r="E721" s="1356"/>
      <c r="F721" s="1357"/>
      <c r="G721" s="1384">
        <v>4</v>
      </c>
      <c r="H721" s="1385"/>
      <c r="I721" s="1385"/>
      <c r="J721" s="1386"/>
      <c r="K721" s="1381">
        <v>491</v>
      </c>
      <c r="L721" s="1382"/>
      <c r="M721" s="1382"/>
      <c r="N721" s="1383"/>
      <c r="O721" s="1361">
        <v>1904</v>
      </c>
      <c r="P721" s="1362"/>
      <c r="Q721" s="1362"/>
      <c r="R721" s="1362"/>
      <c r="S721" s="1363"/>
      <c r="T721" s="1361">
        <v>84</v>
      </c>
      <c r="U721" s="1362"/>
      <c r="V721" s="1362"/>
      <c r="W721" s="1363"/>
      <c r="X721" s="1364">
        <f t="shared" si="59"/>
        <v>1988</v>
      </c>
      <c r="Y721" s="1365"/>
      <c r="Z721" s="1365"/>
      <c r="AA721" s="1365"/>
      <c r="AB721" s="1366"/>
      <c r="AC721" s="1369">
        <v>0.7</v>
      </c>
      <c r="AD721" s="1370"/>
      <c r="AE721" s="1370"/>
      <c r="AF721" s="1370"/>
      <c r="AG721" s="1371"/>
      <c r="AH721" s="1358">
        <f t="shared" si="60"/>
        <v>0.7</v>
      </c>
      <c r="AI721" s="1359"/>
      <c r="AJ721" s="1360"/>
      <c r="AK721" s="1355" t="s">
        <v>599</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15" customHeight="1">
      <c r="B722" s="1355" t="s">
        <v>163</v>
      </c>
      <c r="C722" s="1356"/>
      <c r="D722" s="1356"/>
      <c r="E722" s="1356"/>
      <c r="F722" s="1357"/>
      <c r="G722" s="1384">
        <v>4</v>
      </c>
      <c r="H722" s="1385"/>
      <c r="I722" s="1385"/>
      <c r="J722" s="1386"/>
      <c r="K722" s="1381">
        <v>706</v>
      </c>
      <c r="L722" s="1382"/>
      <c r="M722" s="1382"/>
      <c r="N722" s="1383"/>
      <c r="O722" s="1361">
        <v>912</v>
      </c>
      <c r="P722" s="1362"/>
      <c r="Q722" s="1362"/>
      <c r="R722" s="1362"/>
      <c r="S722" s="1363"/>
      <c r="T722" s="1361">
        <v>111</v>
      </c>
      <c r="U722" s="1362"/>
      <c r="V722" s="1362"/>
      <c r="W722" s="1363"/>
      <c r="X722" s="1364">
        <f t="shared" si="59"/>
        <v>1023</v>
      </c>
      <c r="Y722" s="1365"/>
      <c r="Z722" s="1365"/>
      <c r="AA722" s="1365"/>
      <c r="AB722" s="1366"/>
      <c r="AC722" s="1369">
        <v>0.3</v>
      </c>
      <c r="AD722" s="1370"/>
      <c r="AE722" s="1370"/>
      <c r="AF722" s="1370"/>
      <c r="AG722" s="1371"/>
      <c r="AH722" s="1358">
        <f t="shared" si="60"/>
        <v>0.3</v>
      </c>
      <c r="AI722" s="1359"/>
      <c r="AJ722" s="1360"/>
      <c r="AK722" s="1355" t="s">
        <v>599</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15" customHeight="1">
      <c r="B723" s="1355" t="s">
        <v>163</v>
      </c>
      <c r="C723" s="1356"/>
      <c r="D723" s="1356"/>
      <c r="E723" s="1356"/>
      <c r="F723" s="1357"/>
      <c r="G723" s="1384">
        <v>3</v>
      </c>
      <c r="H723" s="1385"/>
      <c r="I723" s="1385"/>
      <c r="J723" s="1386"/>
      <c r="K723" s="1381">
        <v>706</v>
      </c>
      <c r="L723" s="1382"/>
      <c r="M723" s="1382"/>
      <c r="N723" s="1383"/>
      <c r="O723" s="1361">
        <v>1594</v>
      </c>
      <c r="P723" s="1362"/>
      <c r="Q723" s="1362"/>
      <c r="R723" s="1362"/>
      <c r="S723" s="1363"/>
      <c r="T723" s="1361">
        <v>111</v>
      </c>
      <c r="U723" s="1362"/>
      <c r="V723" s="1362"/>
      <c r="W723" s="1363"/>
      <c r="X723" s="1364">
        <f t="shared" si="59"/>
        <v>1705</v>
      </c>
      <c r="Y723" s="1365"/>
      <c r="Z723" s="1365"/>
      <c r="AA723" s="1365"/>
      <c r="AB723" s="1366"/>
      <c r="AC723" s="1369">
        <v>0.5</v>
      </c>
      <c r="AD723" s="1370"/>
      <c r="AE723" s="1370"/>
      <c r="AF723" s="1370"/>
      <c r="AG723" s="1371"/>
      <c r="AH723" s="1358">
        <f t="shared" si="60"/>
        <v>0.5</v>
      </c>
      <c r="AI723" s="1359"/>
      <c r="AJ723" s="1360"/>
      <c r="AK723" s="1355" t="s">
        <v>599</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15" customHeight="1">
      <c r="B724" s="1355" t="s">
        <v>163</v>
      </c>
      <c r="C724" s="1356"/>
      <c r="D724" s="1356"/>
      <c r="E724" s="1356"/>
      <c r="F724" s="1357"/>
      <c r="G724" s="1384">
        <v>10</v>
      </c>
      <c r="H724" s="1385"/>
      <c r="I724" s="1385"/>
      <c r="J724" s="1386"/>
      <c r="K724" s="1381">
        <v>706</v>
      </c>
      <c r="L724" s="1382"/>
      <c r="M724" s="1382"/>
      <c r="N724" s="1383"/>
      <c r="O724" s="1361">
        <v>1935</v>
      </c>
      <c r="P724" s="1362"/>
      <c r="Q724" s="1362"/>
      <c r="R724" s="1362"/>
      <c r="S724" s="1363"/>
      <c r="T724" s="1361">
        <v>111</v>
      </c>
      <c r="U724" s="1362"/>
      <c r="V724" s="1362"/>
      <c r="W724" s="1363"/>
      <c r="X724" s="1364">
        <f t="shared" si="59"/>
        <v>2046</v>
      </c>
      <c r="Y724" s="1365"/>
      <c r="Z724" s="1365"/>
      <c r="AA724" s="1365"/>
      <c r="AB724" s="1366"/>
      <c r="AC724" s="1369">
        <v>0.6</v>
      </c>
      <c r="AD724" s="1370"/>
      <c r="AE724" s="1370"/>
      <c r="AF724" s="1370"/>
      <c r="AG724" s="1371"/>
      <c r="AH724" s="1358">
        <f t="shared" si="60"/>
        <v>0.6</v>
      </c>
      <c r="AI724" s="1359"/>
      <c r="AJ724" s="1360"/>
      <c r="AK724" s="1355" t="s">
        <v>599</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15" customHeight="1">
      <c r="B725" s="1355" t="s">
        <v>163</v>
      </c>
      <c r="C725" s="1356"/>
      <c r="D725" s="1356"/>
      <c r="E725" s="1356"/>
      <c r="F725" s="1357"/>
      <c r="G725" s="1384">
        <v>11</v>
      </c>
      <c r="H725" s="1385"/>
      <c r="I725" s="1385"/>
      <c r="J725" s="1386"/>
      <c r="K725" s="1381">
        <v>706</v>
      </c>
      <c r="L725" s="1382"/>
      <c r="M725" s="1382"/>
      <c r="N725" s="1383"/>
      <c r="O725" s="1361">
        <v>2276</v>
      </c>
      <c r="P725" s="1362"/>
      <c r="Q725" s="1362"/>
      <c r="R725" s="1362"/>
      <c r="S725" s="1363"/>
      <c r="T725" s="1361">
        <v>111</v>
      </c>
      <c r="U725" s="1362"/>
      <c r="V725" s="1362"/>
      <c r="W725" s="1363"/>
      <c r="X725" s="1364">
        <f t="shared" si="59"/>
        <v>2387</v>
      </c>
      <c r="Y725" s="1365"/>
      <c r="Z725" s="1365"/>
      <c r="AA725" s="1365"/>
      <c r="AB725" s="1366"/>
      <c r="AC725" s="1369">
        <v>0.7</v>
      </c>
      <c r="AD725" s="1370"/>
      <c r="AE725" s="1370"/>
      <c r="AF725" s="1370"/>
      <c r="AG725" s="1371"/>
      <c r="AH725" s="1358">
        <f t="shared" si="60"/>
        <v>0.7</v>
      </c>
      <c r="AI725" s="1359"/>
      <c r="AJ725" s="1360"/>
      <c r="AK725" s="1355" t="s">
        <v>599</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15" customHeight="1">
      <c r="B726" s="1355" t="s">
        <v>164</v>
      </c>
      <c r="C726" s="1356"/>
      <c r="D726" s="1356"/>
      <c r="E726" s="1356"/>
      <c r="F726" s="1357"/>
      <c r="G726" s="1384">
        <v>4</v>
      </c>
      <c r="H726" s="1385"/>
      <c r="I726" s="1385"/>
      <c r="J726" s="1386"/>
      <c r="K726" s="1381">
        <v>989</v>
      </c>
      <c r="L726" s="1382"/>
      <c r="M726" s="1382"/>
      <c r="N726" s="1383"/>
      <c r="O726" s="1361">
        <v>1037</v>
      </c>
      <c r="P726" s="1362"/>
      <c r="Q726" s="1362"/>
      <c r="R726" s="1362"/>
      <c r="S726" s="1363"/>
      <c r="T726" s="1361">
        <v>145</v>
      </c>
      <c r="U726" s="1362"/>
      <c r="V726" s="1362"/>
      <c r="W726" s="1363"/>
      <c r="X726" s="1364">
        <f t="shared" si="59"/>
        <v>1182</v>
      </c>
      <c r="Y726" s="1365"/>
      <c r="Z726" s="1365"/>
      <c r="AA726" s="1365"/>
      <c r="AB726" s="1366"/>
      <c r="AC726" s="1369">
        <v>0.3</v>
      </c>
      <c r="AD726" s="1370"/>
      <c r="AE726" s="1370"/>
      <c r="AF726" s="1370"/>
      <c r="AG726" s="1371"/>
      <c r="AH726" s="1358">
        <f t="shared" si="60"/>
        <v>0.3</v>
      </c>
      <c r="AI726" s="1359"/>
      <c r="AJ726" s="1360"/>
      <c r="AK726" s="1355" t="s">
        <v>599</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15" customHeight="1">
      <c r="A727" s="4"/>
      <c r="B727" s="1355" t="s">
        <v>164</v>
      </c>
      <c r="C727" s="1356"/>
      <c r="D727" s="1356"/>
      <c r="E727" s="1356"/>
      <c r="F727" s="1357"/>
      <c r="G727" s="1384">
        <v>4</v>
      </c>
      <c r="H727" s="1385"/>
      <c r="I727" s="1385"/>
      <c r="J727" s="1386"/>
      <c r="K727" s="1381">
        <v>989</v>
      </c>
      <c r="L727" s="1382"/>
      <c r="M727" s="1382"/>
      <c r="N727" s="1383"/>
      <c r="O727" s="1361">
        <v>1825</v>
      </c>
      <c r="P727" s="1362"/>
      <c r="Q727" s="1362"/>
      <c r="R727" s="1362"/>
      <c r="S727" s="1363"/>
      <c r="T727" s="1361">
        <v>145</v>
      </c>
      <c r="U727" s="1362"/>
      <c r="V727" s="1362"/>
      <c r="W727" s="1363"/>
      <c r="X727" s="1364">
        <f t="shared" si="59"/>
        <v>1970</v>
      </c>
      <c r="Y727" s="1365"/>
      <c r="Z727" s="1365"/>
      <c r="AA727" s="1365"/>
      <c r="AB727" s="1366"/>
      <c r="AC727" s="1369">
        <v>0.5</v>
      </c>
      <c r="AD727" s="1370"/>
      <c r="AE727" s="1370"/>
      <c r="AF727" s="1370"/>
      <c r="AG727" s="1371"/>
      <c r="AH727" s="1358">
        <f t="shared" si="60"/>
        <v>0.5</v>
      </c>
      <c r="AI727" s="1359"/>
      <c r="AJ727" s="1360"/>
      <c r="AK727" s="1355" t="s">
        <v>599</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15" customHeight="1">
      <c r="A728" s="4"/>
      <c r="B728" s="1355" t="s">
        <v>164</v>
      </c>
      <c r="C728" s="1356"/>
      <c r="D728" s="1356"/>
      <c r="E728" s="1356"/>
      <c r="F728" s="1357"/>
      <c r="G728" s="1384">
        <v>10</v>
      </c>
      <c r="H728" s="1385"/>
      <c r="I728" s="1385"/>
      <c r="J728" s="1386"/>
      <c r="K728" s="1381">
        <v>989</v>
      </c>
      <c r="L728" s="1382"/>
      <c r="M728" s="1382"/>
      <c r="N728" s="1383"/>
      <c r="O728" s="1361">
        <v>2219</v>
      </c>
      <c r="P728" s="1362"/>
      <c r="Q728" s="1362"/>
      <c r="R728" s="1362"/>
      <c r="S728" s="1363"/>
      <c r="T728" s="1361">
        <v>145</v>
      </c>
      <c r="U728" s="1362"/>
      <c r="V728" s="1362"/>
      <c r="W728" s="1363"/>
      <c r="X728" s="1364">
        <f t="shared" si="59"/>
        <v>2364</v>
      </c>
      <c r="Y728" s="1365"/>
      <c r="Z728" s="1365"/>
      <c r="AA728" s="1365"/>
      <c r="AB728" s="1366"/>
      <c r="AC728" s="1369">
        <v>0.6</v>
      </c>
      <c r="AD728" s="1370"/>
      <c r="AE728" s="1370"/>
      <c r="AF728" s="1370"/>
      <c r="AG728" s="1371"/>
      <c r="AH728" s="1358">
        <f t="shared" si="60"/>
        <v>0.6</v>
      </c>
      <c r="AI728" s="1359"/>
      <c r="AJ728" s="1360"/>
      <c r="AK728" s="1355" t="s">
        <v>599</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15" customHeight="1">
      <c r="A729" s="4"/>
      <c r="B729" s="1355" t="s">
        <v>164</v>
      </c>
      <c r="C729" s="1356"/>
      <c r="D729" s="1356"/>
      <c r="E729" s="1356"/>
      <c r="F729" s="1357"/>
      <c r="G729" s="1384">
        <v>16</v>
      </c>
      <c r="H729" s="1385"/>
      <c r="I729" s="1385"/>
      <c r="J729" s="1386"/>
      <c r="K729" s="1381">
        <v>989</v>
      </c>
      <c r="L729" s="1382"/>
      <c r="M729" s="1382"/>
      <c r="N729" s="1383"/>
      <c r="O729" s="1361">
        <v>2613</v>
      </c>
      <c r="P729" s="1362"/>
      <c r="Q729" s="1362"/>
      <c r="R729" s="1362"/>
      <c r="S729" s="1363"/>
      <c r="T729" s="1361">
        <v>145</v>
      </c>
      <c r="U729" s="1362"/>
      <c r="V729" s="1362"/>
      <c r="W729" s="1363"/>
      <c r="X729" s="1364">
        <f t="shared" si="59"/>
        <v>2758</v>
      </c>
      <c r="Y729" s="1365"/>
      <c r="Z729" s="1365"/>
      <c r="AA729" s="1365"/>
      <c r="AB729" s="1366"/>
      <c r="AC729" s="1369">
        <v>0.7</v>
      </c>
      <c r="AD729" s="1370"/>
      <c r="AE729" s="1370"/>
      <c r="AF729" s="1370"/>
      <c r="AG729" s="1371"/>
      <c r="AH729" s="1358">
        <f t="shared" si="60"/>
        <v>0.7</v>
      </c>
      <c r="AI729" s="1359"/>
      <c r="AJ729" s="1360"/>
      <c r="AK729" s="1355" t="s">
        <v>599</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15" customHeight="1">
      <c r="B730" s="1355"/>
      <c r="C730" s="1356"/>
      <c r="D730" s="1356"/>
      <c r="E730" s="1356"/>
      <c r="F730" s="1357"/>
      <c r="G730" s="1384"/>
      <c r="H730" s="1385"/>
      <c r="I730" s="1385"/>
      <c r="J730" s="1386"/>
      <c r="K730" s="1381"/>
      <c r="L730" s="1382"/>
      <c r="M730" s="1382"/>
      <c r="N730" s="1383"/>
      <c r="O730" s="1361"/>
      <c r="P730" s="1362"/>
      <c r="Q730" s="1362"/>
      <c r="R730" s="1362"/>
      <c r="S730" s="1363"/>
      <c r="T730" s="1361"/>
      <c r="U730" s="1362"/>
      <c r="V730" s="1362"/>
      <c r="W730" s="1363"/>
      <c r="X730" s="1364">
        <f t="shared" si="59"/>
        <v>0</v>
      </c>
      <c r="Y730" s="1365"/>
      <c r="Z730" s="1365"/>
      <c r="AA730" s="1365"/>
      <c r="AB730" s="1366"/>
      <c r="AC730" s="1369"/>
      <c r="AD730" s="1370"/>
      <c r="AE730" s="1370"/>
      <c r="AF730" s="1370"/>
      <c r="AG730" s="1371"/>
      <c r="AH730" s="1358" t="str">
        <f t="shared" si="60"/>
        <v/>
      </c>
      <c r="AI730" s="1359"/>
      <c r="AJ730" s="1360"/>
      <c r="AK730" s="1355" t="s">
        <v>599</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15" customHeight="1">
      <c r="B731" s="1355"/>
      <c r="C731" s="1356"/>
      <c r="D731" s="1356"/>
      <c r="E731" s="1356"/>
      <c r="F731" s="1357"/>
      <c r="G731" s="1384"/>
      <c r="H731" s="1385"/>
      <c r="I731" s="1385"/>
      <c r="J731" s="1386"/>
      <c r="K731" s="1381"/>
      <c r="L731" s="1382"/>
      <c r="M731" s="1382"/>
      <c r="N731" s="1383"/>
      <c r="O731" s="1361"/>
      <c r="P731" s="1362"/>
      <c r="Q731" s="1362"/>
      <c r="R731" s="1362"/>
      <c r="S731" s="1363"/>
      <c r="T731" s="1361"/>
      <c r="U731" s="1362"/>
      <c r="V731" s="1362"/>
      <c r="W731" s="1363"/>
      <c r="X731" s="1364">
        <f t="shared" si="59"/>
        <v>0</v>
      </c>
      <c r="Y731" s="1365"/>
      <c r="Z731" s="1365"/>
      <c r="AA731" s="1365"/>
      <c r="AB731" s="1366"/>
      <c r="AC731" s="1369"/>
      <c r="AD731" s="1370"/>
      <c r="AE731" s="1370"/>
      <c r="AF731" s="1370"/>
      <c r="AG731" s="1371"/>
      <c r="AH731" s="1358" t="str">
        <f t="shared" si="60"/>
        <v/>
      </c>
      <c r="AI731" s="1359"/>
      <c r="AJ731" s="1360"/>
      <c r="AK731" s="1355" t="s">
        <v>599</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15" customHeight="1">
      <c r="B732" s="1355"/>
      <c r="C732" s="1356"/>
      <c r="D732" s="1356"/>
      <c r="E732" s="1356"/>
      <c r="F732" s="1357"/>
      <c r="G732" s="1384"/>
      <c r="H732" s="1385"/>
      <c r="I732" s="1385"/>
      <c r="J732" s="1386"/>
      <c r="K732" s="1381"/>
      <c r="L732" s="1382"/>
      <c r="M732" s="1382"/>
      <c r="N732" s="1383"/>
      <c r="O732" s="1361"/>
      <c r="P732" s="1362"/>
      <c r="Q732" s="1362"/>
      <c r="R732" s="1362"/>
      <c r="S732" s="1363"/>
      <c r="T732" s="1361"/>
      <c r="U732" s="1362"/>
      <c r="V732" s="1362"/>
      <c r="W732" s="1363"/>
      <c r="X732" s="1364">
        <f t="shared" si="59"/>
        <v>0</v>
      </c>
      <c r="Y732" s="1365"/>
      <c r="Z732" s="1365"/>
      <c r="AA732" s="1365"/>
      <c r="AB732" s="1366"/>
      <c r="AC732" s="1369"/>
      <c r="AD732" s="1370"/>
      <c r="AE732" s="1370"/>
      <c r="AF732" s="1370"/>
      <c r="AG732" s="1371"/>
      <c r="AH732" s="1358" t="str">
        <f t="shared" si="60"/>
        <v/>
      </c>
      <c r="AI732" s="1359"/>
      <c r="AJ732" s="1360"/>
      <c r="AK732" s="1355" t="s">
        <v>599</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15" customHeight="1">
      <c r="B733" s="1355"/>
      <c r="C733" s="1356"/>
      <c r="D733" s="1356"/>
      <c r="E733" s="1356"/>
      <c r="F733" s="1357"/>
      <c r="G733" s="1384"/>
      <c r="H733" s="1385"/>
      <c r="I733" s="1385"/>
      <c r="J733" s="1386"/>
      <c r="K733" s="1381"/>
      <c r="L733" s="1382"/>
      <c r="M733" s="1382"/>
      <c r="N733" s="1383"/>
      <c r="O733" s="1361"/>
      <c r="P733" s="1362"/>
      <c r="Q733" s="1362"/>
      <c r="R733" s="1362"/>
      <c r="S733" s="1363"/>
      <c r="T733" s="1361"/>
      <c r="U733" s="1362"/>
      <c r="V733" s="1362"/>
      <c r="W733" s="1363"/>
      <c r="X733" s="1364">
        <f t="shared" si="59"/>
        <v>0</v>
      </c>
      <c r="Y733" s="1365"/>
      <c r="Z733" s="1365"/>
      <c r="AA733" s="1365"/>
      <c r="AB733" s="1366"/>
      <c r="AC733" s="1369"/>
      <c r="AD733" s="1370"/>
      <c r="AE733" s="1370"/>
      <c r="AF733" s="1370"/>
      <c r="AG733" s="1371"/>
      <c r="AH733" s="1358" t="str">
        <f t="shared" si="60"/>
        <v/>
      </c>
      <c r="AI733" s="1359"/>
      <c r="AJ733" s="1360"/>
      <c r="AK733" s="1355" t="s">
        <v>599</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15" customHeight="1">
      <c r="B734" s="1355"/>
      <c r="C734" s="1356"/>
      <c r="D734" s="1356"/>
      <c r="E734" s="1356"/>
      <c r="F734" s="1357"/>
      <c r="G734" s="1384"/>
      <c r="H734" s="1385"/>
      <c r="I734" s="1385"/>
      <c r="J734" s="1386"/>
      <c r="K734" s="1381"/>
      <c r="L734" s="1382"/>
      <c r="M734" s="1382"/>
      <c r="N734" s="1383"/>
      <c r="O734" s="1361"/>
      <c r="P734" s="1362"/>
      <c r="Q734" s="1362"/>
      <c r="R734" s="1362"/>
      <c r="S734" s="1363"/>
      <c r="T734" s="1361"/>
      <c r="U734" s="1362"/>
      <c r="V734" s="1362"/>
      <c r="W734" s="1363"/>
      <c r="X734" s="1364">
        <f t="shared" si="59"/>
        <v>0</v>
      </c>
      <c r="Y734" s="1365"/>
      <c r="Z734" s="1365"/>
      <c r="AA734" s="1365"/>
      <c r="AB734" s="1366"/>
      <c r="AC734" s="1369"/>
      <c r="AD734" s="1370"/>
      <c r="AE734" s="1370"/>
      <c r="AF734" s="1370"/>
      <c r="AG734" s="1371"/>
      <c r="AH734" s="1358" t="str">
        <f t="shared" si="60"/>
        <v/>
      </c>
      <c r="AI734" s="1359"/>
      <c r="AJ734" s="1360"/>
      <c r="AK734" s="1355" t="s">
        <v>599</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15" customHeight="1">
      <c r="B735" s="1355"/>
      <c r="C735" s="1356"/>
      <c r="D735" s="1356"/>
      <c r="E735" s="1356"/>
      <c r="F735" s="1357"/>
      <c r="G735" s="1384"/>
      <c r="H735" s="1385"/>
      <c r="I735" s="1385"/>
      <c r="J735" s="1386"/>
      <c r="K735" s="1381"/>
      <c r="L735" s="1382"/>
      <c r="M735" s="1382"/>
      <c r="N735" s="1383"/>
      <c r="O735" s="1361"/>
      <c r="P735" s="1362"/>
      <c r="Q735" s="1362"/>
      <c r="R735" s="1362"/>
      <c r="S735" s="1363"/>
      <c r="T735" s="1361"/>
      <c r="U735" s="1362"/>
      <c r="V735" s="1362"/>
      <c r="W735" s="1363"/>
      <c r="X735" s="1364">
        <f t="shared" si="59"/>
        <v>0</v>
      </c>
      <c r="Y735" s="1365"/>
      <c r="Z735" s="1365"/>
      <c r="AA735" s="1365"/>
      <c r="AB735" s="1366"/>
      <c r="AC735" s="1369"/>
      <c r="AD735" s="1370"/>
      <c r="AE735" s="1370"/>
      <c r="AF735" s="1370"/>
      <c r="AG735" s="1371"/>
      <c r="AH735" s="1358" t="str">
        <f t="shared" si="60"/>
        <v/>
      </c>
      <c r="AI735" s="1359"/>
      <c r="AJ735" s="1360"/>
      <c r="AK735" s="1355" t="s">
        <v>599</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15" customHeight="1">
      <c r="B736" s="1355"/>
      <c r="C736" s="1356"/>
      <c r="D736" s="1356"/>
      <c r="E736" s="1356"/>
      <c r="F736" s="1357"/>
      <c r="G736" s="1384"/>
      <c r="H736" s="1385"/>
      <c r="I736" s="1385"/>
      <c r="J736" s="1386"/>
      <c r="K736" s="1381"/>
      <c r="L736" s="1382"/>
      <c r="M736" s="1382"/>
      <c r="N736" s="1383"/>
      <c r="O736" s="1361"/>
      <c r="P736" s="1362"/>
      <c r="Q736" s="1362"/>
      <c r="R736" s="1362"/>
      <c r="S736" s="1363"/>
      <c r="T736" s="1361"/>
      <c r="U736" s="1362"/>
      <c r="V736" s="1362"/>
      <c r="W736" s="1363"/>
      <c r="X736" s="1364">
        <f t="shared" si="59"/>
        <v>0</v>
      </c>
      <c r="Y736" s="1365"/>
      <c r="Z736" s="1365"/>
      <c r="AA736" s="1365"/>
      <c r="AB736" s="1366"/>
      <c r="AC736" s="1369"/>
      <c r="AD736" s="1370"/>
      <c r="AE736" s="1370"/>
      <c r="AF736" s="1370"/>
      <c r="AG736" s="1371"/>
      <c r="AH736" s="1358" t="str">
        <f t="shared" si="60"/>
        <v/>
      </c>
      <c r="AI736" s="1359"/>
      <c r="AJ736" s="1360"/>
      <c r="AK736" s="1355" t="s">
        <v>599</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15" customHeight="1">
      <c r="B737" s="1355"/>
      <c r="C737" s="1356"/>
      <c r="D737" s="1356"/>
      <c r="E737" s="1356"/>
      <c r="F737" s="1357"/>
      <c r="G737" s="1384"/>
      <c r="H737" s="1385"/>
      <c r="I737" s="1385"/>
      <c r="J737" s="1386"/>
      <c r="K737" s="1381"/>
      <c r="L737" s="1382"/>
      <c r="M737" s="1382"/>
      <c r="N737" s="1383"/>
      <c r="O737" s="1361"/>
      <c r="P737" s="1362"/>
      <c r="Q737" s="1362"/>
      <c r="R737" s="1362"/>
      <c r="S737" s="1363"/>
      <c r="T737" s="1361"/>
      <c r="U737" s="1362"/>
      <c r="V737" s="1362"/>
      <c r="W737" s="1363"/>
      <c r="X737" s="1364">
        <f t="shared" si="59"/>
        <v>0</v>
      </c>
      <c r="Y737" s="1365"/>
      <c r="Z737" s="1365"/>
      <c r="AA737" s="1365"/>
      <c r="AB737" s="1366"/>
      <c r="AC737" s="1369"/>
      <c r="AD737" s="1370"/>
      <c r="AE737" s="1370"/>
      <c r="AF737" s="1370"/>
      <c r="AG737" s="1371"/>
      <c r="AH737" s="1358" t="str">
        <f t="shared" si="60"/>
        <v/>
      </c>
      <c r="AI737" s="1359"/>
      <c r="AJ737" s="1360"/>
      <c r="AK737" s="1355" t="s">
        <v>599</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15" customHeight="1">
      <c r="B738" s="1355"/>
      <c r="C738" s="1356"/>
      <c r="D738" s="1356"/>
      <c r="E738" s="1356"/>
      <c r="F738" s="1357"/>
      <c r="G738" s="1384"/>
      <c r="H738" s="1385"/>
      <c r="I738" s="1385"/>
      <c r="J738" s="1386"/>
      <c r="K738" s="1381"/>
      <c r="L738" s="1382"/>
      <c r="M738" s="1382"/>
      <c r="N738" s="1383"/>
      <c r="O738" s="1361"/>
      <c r="P738" s="1362"/>
      <c r="Q738" s="1362"/>
      <c r="R738" s="1362"/>
      <c r="S738" s="1363"/>
      <c r="T738" s="1361"/>
      <c r="U738" s="1362"/>
      <c r="V738" s="1362"/>
      <c r="W738" s="1363"/>
      <c r="X738" s="1364">
        <f t="shared" si="59"/>
        <v>0</v>
      </c>
      <c r="Y738" s="1365"/>
      <c r="Z738" s="1365"/>
      <c r="AA738" s="1365"/>
      <c r="AB738" s="1366"/>
      <c r="AC738" s="1369"/>
      <c r="AD738" s="1370"/>
      <c r="AE738" s="1370"/>
      <c r="AF738" s="1370"/>
      <c r="AG738" s="1371"/>
      <c r="AH738" s="1358" t="str">
        <f t="shared" si="60"/>
        <v/>
      </c>
      <c r="AI738" s="1359"/>
      <c r="AJ738" s="1360"/>
      <c r="AK738" s="1355" t="s">
        <v>599</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15" customHeight="1">
      <c r="B739" s="1355"/>
      <c r="C739" s="1356"/>
      <c r="D739" s="1356"/>
      <c r="E739" s="1356"/>
      <c r="F739" s="1357"/>
      <c r="G739" s="1384"/>
      <c r="H739" s="1385"/>
      <c r="I739" s="1385"/>
      <c r="J739" s="1386"/>
      <c r="K739" s="1381"/>
      <c r="L739" s="1382"/>
      <c r="M739" s="1382"/>
      <c r="N739" s="1383"/>
      <c r="O739" s="1361"/>
      <c r="P739" s="1362"/>
      <c r="Q739" s="1362"/>
      <c r="R739" s="1362"/>
      <c r="S739" s="1363"/>
      <c r="T739" s="1361"/>
      <c r="U739" s="1362"/>
      <c r="V739" s="1362"/>
      <c r="W739" s="1363"/>
      <c r="X739" s="1364">
        <f t="shared" si="59"/>
        <v>0</v>
      </c>
      <c r="Y739" s="1365"/>
      <c r="Z739" s="1365"/>
      <c r="AA739" s="1365"/>
      <c r="AB739" s="1366"/>
      <c r="AC739" s="1369"/>
      <c r="AD739" s="1370"/>
      <c r="AE739" s="1370"/>
      <c r="AF739" s="1370"/>
      <c r="AG739" s="1371"/>
      <c r="AH739" s="1358" t="str">
        <f t="shared" si="60"/>
        <v/>
      </c>
      <c r="AI739" s="1359"/>
      <c r="AJ739" s="1360"/>
      <c r="AK739" s="1355" t="s">
        <v>599</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15" customHeight="1">
      <c r="B740" s="1355"/>
      <c r="C740" s="1356"/>
      <c r="D740" s="1356"/>
      <c r="E740" s="1356"/>
      <c r="F740" s="1357"/>
      <c r="G740" s="1384"/>
      <c r="H740" s="1385"/>
      <c r="I740" s="1385"/>
      <c r="J740" s="1386"/>
      <c r="K740" s="1381"/>
      <c r="L740" s="1382"/>
      <c r="M740" s="1382"/>
      <c r="N740" s="1383"/>
      <c r="O740" s="1361"/>
      <c r="P740" s="1362"/>
      <c r="Q740" s="1362"/>
      <c r="R740" s="1362"/>
      <c r="S740" s="1363"/>
      <c r="T740" s="1361"/>
      <c r="U740" s="1362"/>
      <c r="V740" s="1362"/>
      <c r="W740" s="1363"/>
      <c r="X740" s="1364">
        <f t="shared" si="59"/>
        <v>0</v>
      </c>
      <c r="Y740" s="1365"/>
      <c r="Z740" s="1365"/>
      <c r="AA740" s="1365"/>
      <c r="AB740" s="1366"/>
      <c r="AC740" s="1369"/>
      <c r="AD740" s="1370"/>
      <c r="AE740" s="1370"/>
      <c r="AF740" s="1370"/>
      <c r="AG740" s="1371"/>
      <c r="AH740" s="1358" t="str">
        <f t="shared" si="60"/>
        <v/>
      </c>
      <c r="AI740" s="1359"/>
      <c r="AJ740" s="1360"/>
      <c r="AK740" s="1355" t="s">
        <v>599</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15" customHeight="1">
      <c r="B741" s="1355"/>
      <c r="C741" s="1356"/>
      <c r="D741" s="1356"/>
      <c r="E741" s="1356"/>
      <c r="F741" s="1357"/>
      <c r="G741" s="1384"/>
      <c r="H741" s="1385"/>
      <c r="I741" s="1385"/>
      <c r="J741" s="1386"/>
      <c r="K741" s="1381"/>
      <c r="L741" s="1382"/>
      <c r="M741" s="1382"/>
      <c r="N741" s="1383"/>
      <c r="O741" s="1361"/>
      <c r="P741" s="1362"/>
      <c r="Q741" s="1362"/>
      <c r="R741" s="1362"/>
      <c r="S741" s="1363"/>
      <c r="T741" s="1361"/>
      <c r="U741" s="1362"/>
      <c r="V741" s="1362"/>
      <c r="W741" s="1363"/>
      <c r="X741" s="1364">
        <f t="shared" si="59"/>
        <v>0</v>
      </c>
      <c r="Y741" s="1365"/>
      <c r="Z741" s="1365"/>
      <c r="AA741" s="1365"/>
      <c r="AB741" s="1366"/>
      <c r="AC741" s="1369"/>
      <c r="AD741" s="1370"/>
      <c r="AE741" s="1370"/>
      <c r="AF741" s="1370"/>
      <c r="AG741" s="1371"/>
      <c r="AH741" s="1358" t="str">
        <f t="shared" si="60"/>
        <v/>
      </c>
      <c r="AI741" s="1359"/>
      <c r="AJ741" s="1360"/>
      <c r="AK741" s="1355" t="s">
        <v>599</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15" customHeight="1">
      <c r="B742" s="1355"/>
      <c r="C742" s="1356"/>
      <c r="D742" s="1356"/>
      <c r="E742" s="1356"/>
      <c r="F742" s="1357"/>
      <c r="G742" s="1384"/>
      <c r="H742" s="1385"/>
      <c r="I742" s="1385"/>
      <c r="J742" s="1386"/>
      <c r="K742" s="1381"/>
      <c r="L742" s="1382"/>
      <c r="M742" s="1382"/>
      <c r="N742" s="1383"/>
      <c r="O742" s="1361"/>
      <c r="P742" s="1362"/>
      <c r="Q742" s="1362"/>
      <c r="R742" s="1362"/>
      <c r="S742" s="1363"/>
      <c r="T742" s="1361"/>
      <c r="U742" s="1362"/>
      <c r="V742" s="1362"/>
      <c r="W742" s="1363"/>
      <c r="X742" s="1364">
        <f t="shared" ref="X742:X751" si="61">O742+T742</f>
        <v>0</v>
      </c>
      <c r="Y742" s="1365"/>
      <c r="Z742" s="1365"/>
      <c r="AA742" s="1365"/>
      <c r="AB742" s="1366"/>
      <c r="AC742" s="1369"/>
      <c r="AD742" s="1370"/>
      <c r="AE742" s="1370"/>
      <c r="AF742" s="1370"/>
      <c r="AG742" s="1371"/>
      <c r="AH742" s="1358" t="str">
        <f t="shared" si="60"/>
        <v/>
      </c>
      <c r="AI742" s="1359"/>
      <c r="AJ742" s="1360"/>
      <c r="AK742" s="1355" t="s">
        <v>599</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15" customHeight="1">
      <c r="A743"/>
      <c r="B743" s="1355"/>
      <c r="C743" s="1356"/>
      <c r="D743" s="1356"/>
      <c r="E743" s="1356"/>
      <c r="F743" s="1357"/>
      <c r="G743" s="1384"/>
      <c r="H743" s="1385"/>
      <c r="I743" s="1385"/>
      <c r="J743" s="1386"/>
      <c r="K743" s="1381"/>
      <c r="L743" s="1382"/>
      <c r="M743" s="1382"/>
      <c r="N743" s="1383"/>
      <c r="O743" s="1361"/>
      <c r="P743" s="1362"/>
      <c r="Q743" s="1362"/>
      <c r="R743" s="1362"/>
      <c r="S743" s="1363"/>
      <c r="T743" s="1361"/>
      <c r="U743" s="1362"/>
      <c r="V743" s="1362"/>
      <c r="W743" s="1363"/>
      <c r="X743" s="1364">
        <f t="shared" si="61"/>
        <v>0</v>
      </c>
      <c r="Y743" s="1365"/>
      <c r="Z743" s="1365"/>
      <c r="AA743" s="1365"/>
      <c r="AB743" s="1366"/>
      <c r="AC743" s="1369"/>
      <c r="AD743" s="1370"/>
      <c r="AE743" s="1370"/>
      <c r="AF743" s="1370"/>
      <c r="AG743" s="1371"/>
      <c r="AH743" s="1358" t="str">
        <f t="shared" si="60"/>
        <v/>
      </c>
      <c r="AI743" s="1359"/>
      <c r="AJ743" s="1360"/>
      <c r="AK743" s="1355" t="s">
        <v>599</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55"/>
      <c r="C744" s="1356"/>
      <c r="D744" s="1356"/>
      <c r="E744" s="1356"/>
      <c r="F744" s="1357"/>
      <c r="G744" s="1384"/>
      <c r="H744" s="1385"/>
      <c r="I744" s="1385"/>
      <c r="J744" s="1386"/>
      <c r="K744" s="1381"/>
      <c r="L744" s="1382"/>
      <c r="M744" s="1382"/>
      <c r="N744" s="1383"/>
      <c r="O744" s="1361"/>
      <c r="P744" s="1362"/>
      <c r="Q744" s="1362"/>
      <c r="R744" s="1362"/>
      <c r="S744" s="1363"/>
      <c r="T744" s="1361"/>
      <c r="U744" s="1362"/>
      <c r="V744" s="1362"/>
      <c r="W744" s="1363"/>
      <c r="X744" s="1364">
        <f t="shared" si="61"/>
        <v>0</v>
      </c>
      <c r="Y744" s="1365"/>
      <c r="Z744" s="1365"/>
      <c r="AA744" s="1365"/>
      <c r="AB744" s="1366"/>
      <c r="AC744" s="1369"/>
      <c r="AD744" s="1370"/>
      <c r="AE744" s="1370"/>
      <c r="AF744" s="1370"/>
      <c r="AG744" s="1371"/>
      <c r="AH744" s="1358" t="str">
        <f t="shared" si="60"/>
        <v/>
      </c>
      <c r="AI744" s="1359"/>
      <c r="AJ744" s="1360"/>
      <c r="AK744" s="1355" t="s">
        <v>599</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15" customHeight="1">
      <c r="B745" s="1355"/>
      <c r="C745" s="1356"/>
      <c r="D745" s="1356"/>
      <c r="E745" s="1356"/>
      <c r="F745" s="1357"/>
      <c r="G745" s="1384"/>
      <c r="H745" s="1385"/>
      <c r="I745" s="1385"/>
      <c r="J745" s="1386"/>
      <c r="K745" s="1381"/>
      <c r="L745" s="1382"/>
      <c r="M745" s="1382"/>
      <c r="N745" s="1383"/>
      <c r="O745" s="1361"/>
      <c r="P745" s="1362"/>
      <c r="Q745" s="1362"/>
      <c r="R745" s="1362"/>
      <c r="S745" s="1363"/>
      <c r="T745" s="1361"/>
      <c r="U745" s="1362"/>
      <c r="V745" s="1362"/>
      <c r="W745" s="1363"/>
      <c r="X745" s="1364">
        <f t="shared" si="61"/>
        <v>0</v>
      </c>
      <c r="Y745" s="1365"/>
      <c r="Z745" s="1365"/>
      <c r="AA745" s="1365"/>
      <c r="AB745" s="1366"/>
      <c r="AC745" s="1369"/>
      <c r="AD745" s="1370"/>
      <c r="AE745" s="1370"/>
      <c r="AF745" s="1370"/>
      <c r="AG745" s="1371"/>
      <c r="AH745" s="1358" t="str">
        <f t="shared" si="60"/>
        <v/>
      </c>
      <c r="AI745" s="1359"/>
      <c r="AJ745" s="1360"/>
      <c r="AK745" s="1355" t="s">
        <v>599</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15" customHeight="1">
      <c r="B746" s="1355"/>
      <c r="C746" s="1356"/>
      <c r="D746" s="1356"/>
      <c r="E746" s="1356"/>
      <c r="F746" s="1357"/>
      <c r="G746" s="1384"/>
      <c r="H746" s="1385"/>
      <c r="I746" s="1385"/>
      <c r="J746" s="1386"/>
      <c r="K746" s="1381"/>
      <c r="L746" s="1382"/>
      <c r="M746" s="1382"/>
      <c r="N746" s="1383"/>
      <c r="O746" s="1361"/>
      <c r="P746" s="1362"/>
      <c r="Q746" s="1362"/>
      <c r="R746" s="1362"/>
      <c r="S746" s="1363"/>
      <c r="T746" s="1361"/>
      <c r="U746" s="1362"/>
      <c r="V746" s="1362"/>
      <c r="W746" s="1363"/>
      <c r="X746" s="1364">
        <f t="shared" si="61"/>
        <v>0</v>
      </c>
      <c r="Y746" s="1365"/>
      <c r="Z746" s="1365"/>
      <c r="AA746" s="1365"/>
      <c r="AB746" s="1366"/>
      <c r="AC746" s="1369"/>
      <c r="AD746" s="1370"/>
      <c r="AE746" s="1370"/>
      <c r="AF746" s="1370"/>
      <c r="AG746" s="1371"/>
      <c r="AH746" s="1358" t="str">
        <f t="shared" si="60"/>
        <v/>
      </c>
      <c r="AI746" s="1359"/>
      <c r="AJ746" s="1360"/>
      <c r="AK746" s="1355" t="s">
        <v>599</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15" customHeight="1">
      <c r="B747" s="1355"/>
      <c r="C747" s="1356"/>
      <c r="D747" s="1356"/>
      <c r="E747" s="1356"/>
      <c r="F747" s="1357"/>
      <c r="G747" s="1384"/>
      <c r="H747" s="1385"/>
      <c r="I747" s="1385"/>
      <c r="J747" s="1386"/>
      <c r="K747" s="1381"/>
      <c r="L747" s="1382"/>
      <c r="M747" s="1382"/>
      <c r="N747" s="1383"/>
      <c r="O747" s="1361"/>
      <c r="P747" s="1362"/>
      <c r="Q747" s="1362"/>
      <c r="R747" s="1362"/>
      <c r="S747" s="1363"/>
      <c r="T747" s="1361"/>
      <c r="U747" s="1362"/>
      <c r="V747" s="1362"/>
      <c r="W747" s="1363"/>
      <c r="X747" s="1364">
        <f t="shared" si="61"/>
        <v>0</v>
      </c>
      <c r="Y747" s="1365"/>
      <c r="Z747" s="1365"/>
      <c r="AA747" s="1365"/>
      <c r="AB747" s="1366"/>
      <c r="AC747" s="1369"/>
      <c r="AD747" s="1370"/>
      <c r="AE747" s="1370"/>
      <c r="AF747" s="1370"/>
      <c r="AG747" s="1371"/>
      <c r="AH747" s="1358" t="str">
        <f t="shared" si="60"/>
        <v/>
      </c>
      <c r="AI747" s="1359"/>
      <c r="AJ747" s="1360"/>
      <c r="AK747" s="1355" t="s">
        <v>599</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15" customHeight="1">
      <c r="A748"/>
      <c r="B748" s="1355"/>
      <c r="C748" s="1356"/>
      <c r="D748" s="1356"/>
      <c r="E748" s="1356"/>
      <c r="F748" s="1357"/>
      <c r="G748" s="1384"/>
      <c r="H748" s="1385"/>
      <c r="I748" s="1385"/>
      <c r="J748" s="1386"/>
      <c r="K748" s="1381"/>
      <c r="L748" s="1382"/>
      <c r="M748" s="1382"/>
      <c r="N748" s="1383"/>
      <c r="O748" s="1361"/>
      <c r="P748" s="1362"/>
      <c r="Q748" s="1362"/>
      <c r="R748" s="1362"/>
      <c r="S748" s="1363"/>
      <c r="T748" s="1361"/>
      <c r="U748" s="1362"/>
      <c r="V748" s="1362"/>
      <c r="W748" s="1363"/>
      <c r="X748" s="1364">
        <f t="shared" si="61"/>
        <v>0</v>
      </c>
      <c r="Y748" s="1365"/>
      <c r="Z748" s="1365"/>
      <c r="AA748" s="1365"/>
      <c r="AB748" s="1366"/>
      <c r="AC748" s="1369"/>
      <c r="AD748" s="1370"/>
      <c r="AE748" s="1370"/>
      <c r="AF748" s="1370"/>
      <c r="AG748" s="1371"/>
      <c r="AH748" s="1358" t="str">
        <f t="shared" si="60"/>
        <v/>
      </c>
      <c r="AI748" s="1359"/>
      <c r="AJ748" s="1360"/>
      <c r="AK748" s="1355" t="s">
        <v>599</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15" customHeight="1">
      <c r="A749"/>
      <c r="B749" s="1355"/>
      <c r="C749" s="1356"/>
      <c r="D749" s="1356"/>
      <c r="E749" s="1356"/>
      <c r="F749" s="1357"/>
      <c r="G749" s="1384"/>
      <c r="H749" s="1385"/>
      <c r="I749" s="1385"/>
      <c r="J749" s="1386"/>
      <c r="K749" s="1381"/>
      <c r="L749" s="1382"/>
      <c r="M749" s="1382"/>
      <c r="N749" s="1383"/>
      <c r="O749" s="1361"/>
      <c r="P749" s="1362"/>
      <c r="Q749" s="1362"/>
      <c r="R749" s="1362"/>
      <c r="S749" s="1363"/>
      <c r="T749" s="1361"/>
      <c r="U749" s="1362"/>
      <c r="V749" s="1362"/>
      <c r="W749" s="1363"/>
      <c r="X749" s="1364">
        <f t="shared" si="61"/>
        <v>0</v>
      </c>
      <c r="Y749" s="1365"/>
      <c r="Z749" s="1365"/>
      <c r="AA749" s="1365"/>
      <c r="AB749" s="1366"/>
      <c r="AC749" s="1369"/>
      <c r="AD749" s="1370"/>
      <c r="AE749" s="1370"/>
      <c r="AF749" s="1370"/>
      <c r="AG749" s="1371"/>
      <c r="AH749" s="1358" t="str">
        <f t="shared" si="60"/>
        <v/>
      </c>
      <c r="AI749" s="1359"/>
      <c r="AJ749" s="1360"/>
      <c r="AK749" s="1355" t="s">
        <v>599</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15" customHeight="1">
      <c r="A750"/>
      <c r="B750" s="1355"/>
      <c r="C750" s="1356"/>
      <c r="D750" s="1356"/>
      <c r="E750" s="1356"/>
      <c r="F750" s="1357"/>
      <c r="G750" s="1384"/>
      <c r="H750" s="1385"/>
      <c r="I750" s="1385"/>
      <c r="J750" s="1386"/>
      <c r="K750" s="1381"/>
      <c r="L750" s="1382"/>
      <c r="M750" s="1382"/>
      <c r="N750" s="1383"/>
      <c r="O750" s="1361"/>
      <c r="P750" s="1362"/>
      <c r="Q750" s="1362"/>
      <c r="R750" s="1362"/>
      <c r="S750" s="1363"/>
      <c r="T750" s="1361"/>
      <c r="U750" s="1362"/>
      <c r="V750" s="1362"/>
      <c r="W750" s="1363"/>
      <c r="X750" s="1364">
        <f t="shared" si="61"/>
        <v>0</v>
      </c>
      <c r="Y750" s="1365"/>
      <c r="Z750" s="1365"/>
      <c r="AA750" s="1365"/>
      <c r="AB750" s="1366"/>
      <c r="AC750" s="1369"/>
      <c r="AD750" s="1370"/>
      <c r="AE750" s="1370"/>
      <c r="AF750" s="1370"/>
      <c r="AG750" s="1371"/>
      <c r="AH750" s="1358" t="str">
        <f t="shared" si="60"/>
        <v/>
      </c>
      <c r="AI750" s="1359"/>
      <c r="AJ750" s="1360"/>
      <c r="AK750" s="1355" t="s">
        <v>599</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15" customHeight="1">
      <c r="A751"/>
      <c r="B751" s="1355"/>
      <c r="C751" s="1356"/>
      <c r="D751" s="1356"/>
      <c r="E751" s="1356"/>
      <c r="F751" s="1357"/>
      <c r="G751" s="1384"/>
      <c r="H751" s="1385"/>
      <c r="I751" s="1385"/>
      <c r="J751" s="1386"/>
      <c r="K751" s="1381"/>
      <c r="L751" s="1382"/>
      <c r="M751" s="1382"/>
      <c r="N751" s="1383"/>
      <c r="O751" s="1361"/>
      <c r="P751" s="1362"/>
      <c r="Q751" s="1362"/>
      <c r="R751" s="1362"/>
      <c r="S751" s="1363"/>
      <c r="T751" s="1361"/>
      <c r="U751" s="1362"/>
      <c r="V751" s="1362"/>
      <c r="W751" s="1363"/>
      <c r="X751" s="1364">
        <f t="shared" si="61"/>
        <v>0</v>
      </c>
      <c r="Y751" s="1365"/>
      <c r="Z751" s="1365"/>
      <c r="AA751" s="1365"/>
      <c r="AB751" s="1366"/>
      <c r="AC751" s="1369"/>
      <c r="AD751" s="1370"/>
      <c r="AE751" s="1370"/>
      <c r="AF751" s="1370"/>
      <c r="AG751" s="1371"/>
      <c r="AH751" s="1358" t="str">
        <f t="shared" si="60"/>
        <v/>
      </c>
      <c r="AI751" s="1359"/>
      <c r="AJ751" s="1360"/>
      <c r="AK751" s="1355" t="s">
        <v>599</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15" customHeight="1">
      <c r="A752"/>
      <c r="B752" s="1355"/>
      <c r="C752" s="1356"/>
      <c r="D752" s="1356"/>
      <c r="E752" s="1356"/>
      <c r="F752" s="1357"/>
      <c r="G752" s="1384"/>
      <c r="H752" s="1385"/>
      <c r="I752" s="1385"/>
      <c r="J752" s="1386"/>
      <c r="K752" s="1381"/>
      <c r="L752" s="1382"/>
      <c r="M752" s="1382"/>
      <c r="N752" s="1383"/>
      <c r="O752" s="1361"/>
      <c r="P752" s="1362"/>
      <c r="Q752" s="1362"/>
      <c r="R752" s="1362"/>
      <c r="S752" s="1363"/>
      <c r="T752" s="1361"/>
      <c r="U752" s="1362"/>
      <c r="V752" s="1362"/>
      <c r="W752" s="1363"/>
      <c r="X752" s="1364">
        <f>O752+T752</f>
        <v>0</v>
      </c>
      <c r="Y752" s="1365"/>
      <c r="Z752" s="1365"/>
      <c r="AA752" s="1365"/>
      <c r="AB752" s="1366"/>
      <c r="AC752" s="1369"/>
      <c r="AD752" s="1370"/>
      <c r="AE752" s="1370"/>
      <c r="AF752" s="1370"/>
      <c r="AG752" s="1371"/>
      <c r="AH752" s="1358" t="str">
        <f>IF($AC752&gt;0,($X752/$BA701), "")</f>
        <v/>
      </c>
      <c r="AI752" s="1359"/>
      <c r="AJ752" s="1360"/>
      <c r="AK752" s="1355" t="s">
        <v>599</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15" customHeight="1">
      <c r="A753"/>
      <c r="B753" s="1458" t="s">
        <v>125</v>
      </c>
      <c r="C753" s="1459"/>
      <c r="D753" s="1459"/>
      <c r="E753" s="1459"/>
      <c r="F753" s="1460"/>
      <c r="G753" s="1603">
        <f>SUM(G718:G752)</f>
        <v>97</v>
      </c>
      <c r="H753" s="1604"/>
      <c r="I753" s="1604"/>
      <c r="J753" s="1605"/>
      <c r="K753" s="937" t="s">
        <v>124</v>
      </c>
      <c r="L753" s="5"/>
      <c r="M753" s="5"/>
      <c r="N753" s="46"/>
      <c r="O753" s="1364">
        <f>SUMPRODUCT(G718:G752,O718:O752)</f>
        <v>178998</v>
      </c>
      <c r="P753" s="1365"/>
      <c r="Q753" s="1365"/>
      <c r="R753" s="1365"/>
      <c r="S753" s="1366"/>
      <c r="T753"/>
      <c r="U753"/>
      <c r="V753"/>
      <c r="W753"/>
      <c r="X753" s="939" t="s">
        <v>915</v>
      </c>
      <c r="Y753" s="938"/>
      <c r="Z753" s="938"/>
      <c r="AA753" s="938"/>
      <c r="AB753" s="940"/>
      <c r="AC753" s="1640">
        <f>BI703</f>
        <v>0.5742268041237113</v>
      </c>
      <c r="AD753" s="1641"/>
      <c r="AE753" s="1641"/>
      <c r="AF753" s="1641"/>
      <c r="AG753" s="1642"/>
      <c r="AH753" s="1640">
        <f>IFERROR(BV703,"")</f>
        <v>0.5742268041237113</v>
      </c>
      <c r="AI753" s="1641"/>
      <c r="AJ753" s="16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15" customHeight="1">
      <c r="A754"/>
      <c r="B754" s="1391" t="s">
        <v>2181</v>
      </c>
      <c r="C754" s="1391"/>
      <c r="D754" s="1391"/>
      <c r="E754" s="1391"/>
      <c r="F754" s="1391"/>
      <c r="G754" s="1391"/>
      <c r="H754" s="1391"/>
      <c r="I754" s="1391"/>
      <c r="J754" s="1391"/>
      <c r="K754" s="1391"/>
      <c r="L754" s="1391"/>
      <c r="M754" s="1391"/>
      <c r="N754" s="1391"/>
      <c r="O754" s="1391"/>
      <c r="P754" s="1391"/>
      <c r="Q754" s="1391"/>
      <c r="R754" s="1391"/>
      <c r="S754" s="1391"/>
      <c r="T754" s="1391"/>
      <c r="U754" s="1391"/>
      <c r="V754" s="1391"/>
      <c r="W754" s="1391"/>
      <c r="X754" s="1391"/>
      <c r="Y754" s="1391"/>
      <c r="Z754" s="1391"/>
      <c r="AA754" s="1391"/>
      <c r="AB754" s="1391"/>
      <c r="AC754" s="1391"/>
      <c r="AD754" s="1391"/>
      <c r="AE754" s="1391"/>
      <c r="AF754" s="1391"/>
      <c r="AG754" s="1391"/>
      <c r="AH754" s="139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391"/>
      <c r="C755" s="1391"/>
      <c r="D755" s="1391"/>
      <c r="E755" s="1391"/>
      <c r="F755" s="1391"/>
      <c r="G755" s="1391"/>
      <c r="H755" s="1391"/>
      <c r="I755" s="1391"/>
      <c r="J755" s="1391"/>
      <c r="K755" s="1391"/>
      <c r="L755" s="1391"/>
      <c r="M755" s="1391"/>
      <c r="N755" s="1391"/>
      <c r="O755" s="1391"/>
      <c r="P755" s="1391"/>
      <c r="Q755" s="1391"/>
      <c r="R755" s="1391"/>
      <c r="S755" s="1391"/>
      <c r="T755" s="1391"/>
      <c r="U755" s="1391"/>
      <c r="V755" s="1391"/>
      <c r="W755" s="1391"/>
      <c r="X755" s="1391"/>
      <c r="Y755" s="1391"/>
      <c r="Z755" s="1391"/>
      <c r="AA755" s="1391"/>
      <c r="AB755" s="1391"/>
      <c r="AC755" s="1391"/>
      <c r="AD755" s="1391"/>
      <c r="AE755" s="1391"/>
      <c r="AF755" s="1391"/>
      <c r="AG755" s="1391"/>
      <c r="AH755" s="139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15" customHeight="1">
      <c r="A756" s="3"/>
      <c r="B756" s="3"/>
      <c r="C756" s="118" t="s">
        <v>2179</v>
      </c>
      <c r="D756" s="1067"/>
      <c r="E756" s="1067"/>
      <c r="F756" s="1067"/>
      <c r="G756" s="1068"/>
      <c r="H756" s="1068"/>
      <c r="I756" s="1068"/>
      <c r="J756" s="1068"/>
      <c r="K756" s="1067"/>
      <c r="L756" s="1067"/>
      <c r="M756" s="1067"/>
      <c r="N756" s="1067"/>
      <c r="O756" s="1492">
        <f>CS634</f>
        <v>193</v>
      </c>
      <c r="P756" s="1492"/>
      <c r="Q756" s="1492"/>
      <c r="R756" s="1492"/>
      <c r="S756" s="1004"/>
      <c r="T756" s="1004"/>
      <c r="U756" s="118" t="s">
        <v>2180</v>
      </c>
      <c r="V756" s="1067"/>
      <c r="W756" s="1067"/>
      <c r="X756" s="1067"/>
      <c r="Y756" s="1068"/>
      <c r="Z756" s="1068"/>
      <c r="AA756" s="1068"/>
      <c r="AB756" s="1068"/>
      <c r="AC756" s="1067"/>
      <c r="AD756" s="1067"/>
      <c r="AE756" s="1067"/>
      <c r="AF756" s="1067"/>
      <c r="AG756" s="1613"/>
      <c r="AH756" s="1613"/>
      <c r="AI756" s="1613"/>
      <c r="AJ756" s="161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15" customHeight="1">
      <c r="B757" s="57"/>
      <c r="C757" s="1404" t="str">
        <f>IF(G753&lt;&gt;AG440,"! Total Low-Income Units in the Unit Mix Table above does not match the number of Total Low-Income Units on row #"&amp;TEXT(ROW(D440),"#"),"")</f>
        <v/>
      </c>
      <c r="D757" s="1404"/>
      <c r="E757" s="1404"/>
      <c r="F757" s="1404"/>
      <c r="G757" s="1404"/>
      <c r="H757" s="1404"/>
      <c r="I757" s="1404"/>
      <c r="J757" s="1404"/>
      <c r="K757" s="1404"/>
      <c r="L757" s="1404"/>
      <c r="M757" s="1404"/>
      <c r="N757" s="1404"/>
      <c r="O757" s="1404"/>
      <c r="P757" s="1404"/>
      <c r="Q757" s="1404"/>
      <c r="R757" s="1404"/>
      <c r="S757" s="1404"/>
      <c r="T757" s="1404"/>
      <c r="U757" s="1404"/>
      <c r="V757" s="1404"/>
      <c r="W757" s="1404"/>
      <c r="X757" s="1404"/>
      <c r="Y757" s="1404"/>
      <c r="Z757" s="1404"/>
      <c r="AA757" s="1404"/>
      <c r="AB757" s="1404"/>
      <c r="AC757" s="1404"/>
      <c r="AD757" s="1404"/>
      <c r="AE757" s="1404"/>
      <c r="AF757" s="1404"/>
      <c r="AG757" s="1404"/>
      <c r="AH757" s="1404"/>
      <c r="AI757" s="1404"/>
      <c r="AJ757" s="1404"/>
      <c r="AK757" s="1404"/>
      <c r="AL757" s="1404"/>
      <c r="AM757" s="140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15" customHeight="1">
      <c r="B758" s="57"/>
      <c r="C758" s="1404"/>
      <c r="D758" s="1404"/>
      <c r="E758" s="1404"/>
      <c r="F758" s="1404"/>
      <c r="G758" s="1404"/>
      <c r="H758" s="1404"/>
      <c r="I758" s="1404"/>
      <c r="J758" s="1404"/>
      <c r="K758" s="1404"/>
      <c r="L758" s="1404"/>
      <c r="M758" s="1404"/>
      <c r="N758" s="1404"/>
      <c r="O758" s="1404"/>
      <c r="P758" s="1404"/>
      <c r="Q758" s="1404"/>
      <c r="R758" s="1404"/>
      <c r="S758" s="1404"/>
      <c r="T758" s="1404"/>
      <c r="U758" s="1404"/>
      <c r="V758" s="1404"/>
      <c r="W758" s="1404"/>
      <c r="X758" s="1404"/>
      <c r="Y758" s="1404"/>
      <c r="Z758" s="1404"/>
      <c r="AA758" s="1404"/>
      <c r="AB758" s="1404"/>
      <c r="AC758" s="1404"/>
      <c r="AD758" s="1404"/>
      <c r="AE758" s="1404"/>
      <c r="AF758" s="1404"/>
      <c r="AG758" s="1404"/>
      <c r="AH758" s="1404"/>
      <c r="AI758" s="1404"/>
      <c r="AJ758" s="1404"/>
      <c r="AK758" s="1404"/>
      <c r="AL758" s="1404"/>
      <c r="AM758" s="140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1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6" t="s">
        <v>599</v>
      </c>
      <c r="AE759" s="1606"/>
      <c r="AF759" s="160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1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1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1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15" customHeight="1">
      <c r="A763" s="3"/>
      <c r="B763" s="1067"/>
      <c r="C763" s="1272" t="s">
        <v>2404</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1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1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15" customHeight="1">
      <c r="A766" s="3"/>
      <c r="B766" s="1067"/>
      <c r="C766" s="1272" t="s">
        <v>2405</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1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1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15" customHeight="1">
      <c r="J769" s="1372" t="s">
        <v>390</v>
      </c>
      <c r="K769" s="1373"/>
      <c r="L769" s="1373"/>
      <c r="M769" s="1373"/>
      <c r="N769" s="1374"/>
      <c r="O769" s="1390" t="s">
        <v>286</v>
      </c>
      <c r="P769" s="1390"/>
      <c r="Q769" s="1390"/>
      <c r="R769" s="1390"/>
      <c r="S769" s="1390"/>
      <c r="T769" s="1748" t="s">
        <v>1866</v>
      </c>
      <c r="U769" s="1749"/>
      <c r="V769" s="1749"/>
      <c r="W769" s="1750"/>
      <c r="X769" s="1372" t="s">
        <v>455</v>
      </c>
      <c r="Y769" s="1373"/>
      <c r="Z769" s="1373"/>
      <c r="AA769" s="1373"/>
      <c r="AB769" s="1374"/>
      <c r="AC769" s="1372" t="s">
        <v>287</v>
      </c>
      <c r="AD769" s="1373"/>
      <c r="AE769" s="1373"/>
      <c r="AF769" s="1373"/>
      <c r="AG769" s="137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15" customHeight="1">
      <c r="J770" s="1375"/>
      <c r="K770" s="1376"/>
      <c r="L770" s="1376"/>
      <c r="M770" s="1376"/>
      <c r="N770" s="1377"/>
      <c r="O770" s="1390"/>
      <c r="P770" s="1390"/>
      <c r="Q770" s="1390"/>
      <c r="R770" s="1390"/>
      <c r="S770" s="1390"/>
      <c r="T770" s="1751"/>
      <c r="U770" s="1752"/>
      <c r="V770" s="1752"/>
      <c r="W770" s="1753"/>
      <c r="X770" s="1375"/>
      <c r="Y770" s="1376"/>
      <c r="Z770" s="1376"/>
      <c r="AA770" s="1376"/>
      <c r="AB770" s="1377"/>
      <c r="AC770" s="1375"/>
      <c r="AD770" s="1376"/>
      <c r="AE770" s="1376"/>
      <c r="AF770" s="1376"/>
      <c r="AG770" s="137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15" customHeight="1">
      <c r="J771" s="1375"/>
      <c r="K771" s="1376"/>
      <c r="L771" s="1376"/>
      <c r="M771" s="1376"/>
      <c r="N771" s="1377"/>
      <c r="O771" s="1390"/>
      <c r="P771" s="1390"/>
      <c r="Q771" s="1390"/>
      <c r="R771" s="1390"/>
      <c r="S771" s="1390"/>
      <c r="T771" s="1751"/>
      <c r="U771" s="1752"/>
      <c r="V771" s="1752"/>
      <c r="W771" s="1753"/>
      <c r="X771" s="1375"/>
      <c r="Y771" s="1376"/>
      <c r="Z771" s="1376"/>
      <c r="AA771" s="1376"/>
      <c r="AB771" s="1377"/>
      <c r="AC771" s="1375"/>
      <c r="AD771" s="1376"/>
      <c r="AE771" s="1376"/>
      <c r="AF771" s="1376"/>
      <c r="AG771" s="137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15" customHeight="1">
      <c r="J772" s="1378"/>
      <c r="K772" s="1379"/>
      <c r="L772" s="1379"/>
      <c r="M772" s="1379"/>
      <c r="N772" s="1380"/>
      <c r="O772" s="1390"/>
      <c r="P772" s="1390"/>
      <c r="Q772" s="1390"/>
      <c r="R772" s="1390"/>
      <c r="S772" s="1390"/>
      <c r="T772" s="1754"/>
      <c r="U772" s="1755"/>
      <c r="V772" s="1755"/>
      <c r="W772" s="1756"/>
      <c r="X772" s="1378"/>
      <c r="Y772" s="1379"/>
      <c r="Z772" s="1379"/>
      <c r="AA772" s="1379"/>
      <c r="AB772" s="1380"/>
      <c r="AC772" s="1378"/>
      <c r="AD772" s="1379"/>
      <c r="AE772" s="1379"/>
      <c r="AF772" s="1379"/>
      <c r="AG772" s="138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15" customHeight="1">
      <c r="J773" s="1355" t="s">
        <v>164</v>
      </c>
      <c r="K773" s="1356"/>
      <c r="L773" s="1356"/>
      <c r="M773" s="1356"/>
      <c r="N773" s="1357"/>
      <c r="O773" s="1389">
        <v>1</v>
      </c>
      <c r="P773" s="1389"/>
      <c r="Q773" s="1389"/>
      <c r="R773" s="1389"/>
      <c r="S773" s="1389"/>
      <c r="T773" s="1381">
        <v>1100</v>
      </c>
      <c r="U773" s="1382"/>
      <c r="V773" s="1382"/>
      <c r="W773" s="1383"/>
      <c r="X773" s="1361"/>
      <c r="Y773" s="1362"/>
      <c r="Z773" s="1362"/>
      <c r="AA773" s="1362"/>
      <c r="AB773" s="1363"/>
      <c r="AC773" s="1364">
        <f>X773*O773</f>
        <v>0</v>
      </c>
      <c r="AD773" s="1365"/>
      <c r="AE773" s="1365"/>
      <c r="AF773" s="1365"/>
      <c r="AG773" s="136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15" customHeight="1">
      <c r="J774" s="1355"/>
      <c r="K774" s="1356"/>
      <c r="L774" s="1356"/>
      <c r="M774" s="1356"/>
      <c r="N774" s="1357"/>
      <c r="O774" s="1389"/>
      <c r="P774" s="1389"/>
      <c r="Q774" s="1389"/>
      <c r="R774" s="1389"/>
      <c r="S774" s="1389"/>
      <c r="T774" s="1381"/>
      <c r="U774" s="1382"/>
      <c r="V774" s="1382"/>
      <c r="W774" s="1383"/>
      <c r="X774" s="1361"/>
      <c r="Y774" s="1362"/>
      <c r="Z774" s="1362"/>
      <c r="AA774" s="1362"/>
      <c r="AB774" s="1363"/>
      <c r="AC774" s="1364">
        <f>X774*O774</f>
        <v>0</v>
      </c>
      <c r="AD774" s="1365"/>
      <c r="AE774" s="1365"/>
      <c r="AF774" s="1365"/>
      <c r="AG774" s="136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15" customHeight="1">
      <c r="J775" s="1355"/>
      <c r="K775" s="1356"/>
      <c r="L775" s="1356"/>
      <c r="M775" s="1356"/>
      <c r="N775" s="1357"/>
      <c r="O775" s="1389"/>
      <c r="P775" s="1389"/>
      <c r="Q775" s="1389"/>
      <c r="R775" s="1389"/>
      <c r="S775" s="1389"/>
      <c r="T775" s="1381"/>
      <c r="U775" s="1382"/>
      <c r="V775" s="1382"/>
      <c r="W775" s="1383"/>
      <c r="X775" s="1361"/>
      <c r="Y775" s="1362"/>
      <c r="Z775" s="1362"/>
      <c r="AA775" s="1362"/>
      <c r="AB775" s="1363"/>
      <c r="AC775" s="1364">
        <f>X775*O775</f>
        <v>0</v>
      </c>
      <c r="AD775" s="1365"/>
      <c r="AE775" s="1365"/>
      <c r="AF775" s="1365"/>
      <c r="AG775" s="136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15" customHeight="1">
      <c r="J776" s="1355"/>
      <c r="K776" s="1356"/>
      <c r="L776" s="1356"/>
      <c r="M776" s="1356"/>
      <c r="N776" s="1357"/>
      <c r="O776" s="1389"/>
      <c r="P776" s="1389"/>
      <c r="Q776" s="1389"/>
      <c r="R776" s="1389"/>
      <c r="S776" s="1389"/>
      <c r="T776" s="1381"/>
      <c r="U776" s="1382"/>
      <c r="V776" s="1382"/>
      <c r="W776" s="1383"/>
      <c r="X776" s="1361"/>
      <c r="Y776" s="1362"/>
      <c r="Z776" s="1362"/>
      <c r="AA776" s="1362"/>
      <c r="AB776" s="1363"/>
      <c r="AC776" s="1364">
        <f>X776*O776</f>
        <v>0</v>
      </c>
      <c r="AD776" s="1365"/>
      <c r="AE776" s="1365"/>
      <c r="AF776" s="1365"/>
      <c r="AG776" s="136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15" customHeight="1">
      <c r="J777" s="1458" t="s">
        <v>125</v>
      </c>
      <c r="K777" s="1459"/>
      <c r="L777" s="1459"/>
      <c r="M777" s="1459"/>
      <c r="N777" s="1460"/>
      <c r="O777" s="1500">
        <f>SUM(O773:S776)</f>
        <v>1</v>
      </c>
      <c r="P777" s="1502"/>
      <c r="Q777" s="1502"/>
      <c r="R777" s="1502"/>
      <c r="S777" s="1501"/>
      <c r="X777" s="1458" t="s">
        <v>124</v>
      </c>
      <c r="Y777" s="1459"/>
      <c r="Z777" s="1459"/>
      <c r="AA777" s="1459"/>
      <c r="AB777" s="1460"/>
      <c r="AC777" s="1364">
        <f>SUM(AC773:AG776)</f>
        <v>0</v>
      </c>
      <c r="AD777" s="1365"/>
      <c r="AE777" s="1365"/>
      <c r="AF777" s="1365"/>
      <c r="AG777" s="136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1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15" customHeight="1">
      <c r="B779" s="56"/>
      <c r="C779" s="56"/>
      <c r="D779" s="56"/>
      <c r="E779" s="56"/>
      <c r="F779" s="56"/>
      <c r="G779" s="6"/>
      <c r="H779" s="6"/>
      <c r="I779" s="6"/>
      <c r="J779" s="1454" t="s">
        <v>677</v>
      </c>
      <c r="K779" s="145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1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1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1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15" customHeight="1">
      <c r="J783" s="1372" t="s">
        <v>390</v>
      </c>
      <c r="K783" s="1373"/>
      <c r="L783" s="1373"/>
      <c r="M783" s="1373"/>
      <c r="N783" s="1374"/>
      <c r="O783" s="1390" t="s">
        <v>286</v>
      </c>
      <c r="P783" s="1390"/>
      <c r="Q783" s="1390"/>
      <c r="R783" s="1390"/>
      <c r="S783" s="1390"/>
      <c r="T783" s="1748" t="s">
        <v>1866</v>
      </c>
      <c r="U783" s="1749"/>
      <c r="V783" s="1749"/>
      <c r="W783" s="1750"/>
      <c r="X783" s="1372" t="s">
        <v>455</v>
      </c>
      <c r="Y783" s="1373"/>
      <c r="Z783" s="1373"/>
      <c r="AA783" s="1373"/>
      <c r="AB783" s="1374"/>
      <c r="AC783" s="1372" t="s">
        <v>287</v>
      </c>
      <c r="AD783" s="1373"/>
      <c r="AE783" s="1373"/>
      <c r="AF783" s="1373"/>
      <c r="AG783" s="137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15" customHeight="1">
      <c r="J784" s="1375"/>
      <c r="K784" s="1376"/>
      <c r="L784" s="1376"/>
      <c r="M784" s="1376"/>
      <c r="N784" s="1377"/>
      <c r="O784" s="1390"/>
      <c r="P784" s="1390"/>
      <c r="Q784" s="1390"/>
      <c r="R784" s="1390"/>
      <c r="S784" s="1390"/>
      <c r="T784" s="1751"/>
      <c r="U784" s="1752"/>
      <c r="V784" s="1752"/>
      <c r="W784" s="1753"/>
      <c r="X784" s="1375"/>
      <c r="Y784" s="1376"/>
      <c r="Z784" s="1376"/>
      <c r="AA784" s="1376"/>
      <c r="AB784" s="1377"/>
      <c r="AC784" s="1375"/>
      <c r="AD784" s="1376"/>
      <c r="AE784" s="1376"/>
      <c r="AF784" s="1376"/>
      <c r="AG784" s="137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15" customHeight="1">
      <c r="J785" s="1375"/>
      <c r="K785" s="1376"/>
      <c r="L785" s="1376"/>
      <c r="M785" s="1376"/>
      <c r="N785" s="1377"/>
      <c r="O785" s="1390"/>
      <c r="P785" s="1390"/>
      <c r="Q785" s="1390"/>
      <c r="R785" s="1390"/>
      <c r="S785" s="1390"/>
      <c r="T785" s="1751"/>
      <c r="U785" s="1752"/>
      <c r="V785" s="1752"/>
      <c r="W785" s="1753"/>
      <c r="X785" s="1375"/>
      <c r="Y785" s="1376"/>
      <c r="Z785" s="1376"/>
      <c r="AA785" s="1376"/>
      <c r="AB785" s="1377"/>
      <c r="AC785" s="1375"/>
      <c r="AD785" s="1376"/>
      <c r="AE785" s="1376"/>
      <c r="AF785" s="1376"/>
      <c r="AG785" s="137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15" customHeight="1">
      <c r="J786" s="1378"/>
      <c r="K786" s="1379"/>
      <c r="L786" s="1379"/>
      <c r="M786" s="1379"/>
      <c r="N786" s="1380"/>
      <c r="O786" s="1390"/>
      <c r="P786" s="1390"/>
      <c r="Q786" s="1390"/>
      <c r="R786" s="1390"/>
      <c r="S786" s="1390"/>
      <c r="T786" s="1754"/>
      <c r="U786" s="1755"/>
      <c r="V786" s="1755"/>
      <c r="W786" s="1756"/>
      <c r="X786" s="1378"/>
      <c r="Y786" s="1379"/>
      <c r="Z786" s="1379"/>
      <c r="AA786" s="1379"/>
      <c r="AB786" s="1380"/>
      <c r="AC786" s="1378"/>
      <c r="AD786" s="1379"/>
      <c r="AE786" s="1379"/>
      <c r="AF786" s="1379"/>
      <c r="AG786" s="138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15" customHeight="1">
      <c r="J787" s="1355"/>
      <c r="K787" s="1356"/>
      <c r="L787" s="1356"/>
      <c r="M787" s="1356"/>
      <c r="N787" s="1357"/>
      <c r="O787" s="1389"/>
      <c r="P787" s="1389"/>
      <c r="Q787" s="1389"/>
      <c r="R787" s="1389"/>
      <c r="S787" s="1389"/>
      <c r="T787" s="1381"/>
      <c r="U787" s="1382"/>
      <c r="V787" s="1382"/>
      <c r="W787" s="1383"/>
      <c r="X787" s="1361"/>
      <c r="Y787" s="1362"/>
      <c r="Z787" s="1362"/>
      <c r="AA787" s="1362"/>
      <c r="AB787" s="1363"/>
      <c r="AC787" s="1364">
        <f t="shared" ref="AC787:AC796" si="62">X787*O787</f>
        <v>0</v>
      </c>
      <c r="AD787" s="1365"/>
      <c r="AE787" s="1365"/>
      <c r="AF787" s="1365"/>
      <c r="AG787" s="136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15" customHeight="1">
      <c r="A788"/>
      <c r="B788"/>
      <c r="C788"/>
      <c r="D788"/>
      <c r="E788"/>
      <c r="F788"/>
      <c r="G788"/>
      <c r="H788"/>
      <c r="I788"/>
      <c r="J788" s="1355"/>
      <c r="K788" s="1356"/>
      <c r="L788" s="1356"/>
      <c r="M788" s="1356"/>
      <c r="N788" s="1357"/>
      <c r="O788" s="1389"/>
      <c r="P788" s="1389"/>
      <c r="Q788" s="1389"/>
      <c r="R788" s="1389"/>
      <c r="S788" s="1389"/>
      <c r="T788" s="1381"/>
      <c r="U788" s="1382"/>
      <c r="V788" s="1382"/>
      <c r="W788" s="1383"/>
      <c r="X788" s="1361"/>
      <c r="Y788" s="1362"/>
      <c r="Z788" s="1362"/>
      <c r="AA788" s="1362"/>
      <c r="AB788" s="1363"/>
      <c r="AC788" s="1364">
        <f t="shared" si="62"/>
        <v>0</v>
      </c>
      <c r="AD788" s="1365"/>
      <c r="AE788" s="1365"/>
      <c r="AF788" s="1365"/>
      <c r="AG788" s="136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15" customHeight="1">
      <c r="A789"/>
      <c r="B789"/>
      <c r="C789"/>
      <c r="D789"/>
      <c r="E789"/>
      <c r="F789"/>
      <c r="G789"/>
      <c r="H789"/>
      <c r="I789"/>
      <c r="J789" s="1355"/>
      <c r="K789" s="1356"/>
      <c r="L789" s="1356"/>
      <c r="M789" s="1356"/>
      <c r="N789" s="1357"/>
      <c r="O789" s="1389"/>
      <c r="P789" s="1389"/>
      <c r="Q789" s="1389"/>
      <c r="R789" s="1389"/>
      <c r="S789" s="1389"/>
      <c r="T789" s="1381"/>
      <c r="U789" s="1382"/>
      <c r="V789" s="1382"/>
      <c r="W789" s="1383"/>
      <c r="X789" s="1361"/>
      <c r="Y789" s="1362"/>
      <c r="Z789" s="1362"/>
      <c r="AA789" s="1362"/>
      <c r="AB789" s="1363"/>
      <c r="AC789" s="1364">
        <f t="shared" si="62"/>
        <v>0</v>
      </c>
      <c r="AD789" s="1365"/>
      <c r="AE789" s="1365"/>
      <c r="AF789" s="1365"/>
      <c r="AG789" s="136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15" customHeight="1">
      <c r="A790"/>
      <c r="B790"/>
      <c r="C790"/>
      <c r="D790"/>
      <c r="E790"/>
      <c r="F790"/>
      <c r="G790"/>
      <c r="H790"/>
      <c r="I790"/>
      <c r="J790" s="1355"/>
      <c r="K790" s="1356"/>
      <c r="L790" s="1356"/>
      <c r="M790" s="1356"/>
      <c r="N790" s="1357"/>
      <c r="O790" s="1389"/>
      <c r="P790" s="1389"/>
      <c r="Q790" s="1389"/>
      <c r="R790" s="1389"/>
      <c r="S790" s="1389"/>
      <c r="T790" s="1381"/>
      <c r="U790" s="1382"/>
      <c r="V790" s="1382"/>
      <c r="W790" s="1383"/>
      <c r="X790" s="1361"/>
      <c r="Y790" s="1362"/>
      <c r="Z790" s="1362"/>
      <c r="AA790" s="1362"/>
      <c r="AB790" s="1363"/>
      <c r="AC790" s="1364">
        <f t="shared" si="62"/>
        <v>0</v>
      </c>
      <c r="AD790" s="1365"/>
      <c r="AE790" s="1365"/>
      <c r="AF790" s="1365"/>
      <c r="AG790" s="136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15" customHeight="1">
      <c r="A791"/>
      <c r="B791"/>
      <c r="C791"/>
      <c r="D791"/>
      <c r="E791"/>
      <c r="F791"/>
      <c r="G791"/>
      <c r="H791"/>
      <c r="I791"/>
      <c r="J791" s="1355"/>
      <c r="K791" s="1356"/>
      <c r="L791" s="1356"/>
      <c r="M791" s="1356"/>
      <c r="N791" s="1357"/>
      <c r="O791" s="1389"/>
      <c r="P791" s="1389"/>
      <c r="Q791" s="1389"/>
      <c r="R791" s="1389"/>
      <c r="S791" s="1389"/>
      <c r="T791" s="1381"/>
      <c r="U791" s="1382"/>
      <c r="V791" s="1382"/>
      <c r="W791" s="1383"/>
      <c r="X791" s="1361"/>
      <c r="Y791" s="1362"/>
      <c r="Z791" s="1362"/>
      <c r="AA791" s="1362"/>
      <c r="AB791" s="1363"/>
      <c r="AC791" s="1364">
        <f t="shared" si="62"/>
        <v>0</v>
      </c>
      <c r="AD791" s="1365"/>
      <c r="AE791" s="1365"/>
      <c r="AF791" s="1365"/>
      <c r="AG791" s="136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15" customHeight="1">
      <c r="A792"/>
      <c r="B792"/>
      <c r="C792"/>
      <c r="D792"/>
      <c r="E792"/>
      <c r="F792"/>
      <c r="G792"/>
      <c r="H792"/>
      <c r="I792"/>
      <c r="J792" s="1355"/>
      <c r="K792" s="1356"/>
      <c r="L792" s="1356"/>
      <c r="M792" s="1356"/>
      <c r="N792" s="1357"/>
      <c r="O792" s="1389"/>
      <c r="P792" s="1389"/>
      <c r="Q792" s="1389"/>
      <c r="R792" s="1389"/>
      <c r="S792" s="1389"/>
      <c r="T792" s="1381"/>
      <c r="U792" s="1382"/>
      <c r="V792" s="1382"/>
      <c r="W792" s="1383"/>
      <c r="X792" s="1361"/>
      <c r="Y792" s="1362"/>
      <c r="Z792" s="1362"/>
      <c r="AA792" s="1362"/>
      <c r="AB792" s="1363"/>
      <c r="AC792" s="1364">
        <f t="shared" si="62"/>
        <v>0</v>
      </c>
      <c r="AD792" s="1365"/>
      <c r="AE792" s="1365"/>
      <c r="AF792" s="1365"/>
      <c r="AG792" s="136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15" customHeight="1">
      <c r="A793"/>
      <c r="B793"/>
      <c r="C793"/>
      <c r="D793"/>
      <c r="E793"/>
      <c r="F793"/>
      <c r="G793"/>
      <c r="H793"/>
      <c r="I793"/>
      <c r="J793" s="1355"/>
      <c r="K793" s="1356"/>
      <c r="L793" s="1356"/>
      <c r="M793" s="1356"/>
      <c r="N793" s="1357"/>
      <c r="O793" s="1389"/>
      <c r="P793" s="1389"/>
      <c r="Q793" s="1389"/>
      <c r="R793" s="1389"/>
      <c r="S793" s="1389"/>
      <c r="T793" s="1381"/>
      <c r="U793" s="1382"/>
      <c r="V793" s="1382"/>
      <c r="W793" s="1383"/>
      <c r="X793" s="1361"/>
      <c r="Y793" s="1362"/>
      <c r="Z793" s="1362"/>
      <c r="AA793" s="1362"/>
      <c r="AB793" s="1363"/>
      <c r="AC793" s="1364">
        <f t="shared" si="62"/>
        <v>0</v>
      </c>
      <c r="AD793" s="1365"/>
      <c r="AE793" s="1365"/>
      <c r="AF793" s="1365"/>
      <c r="AG793" s="136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15" customHeight="1">
      <c r="A794"/>
      <c r="B794"/>
      <c r="C794"/>
      <c r="D794"/>
      <c r="E794"/>
      <c r="F794"/>
      <c r="G794"/>
      <c r="H794"/>
      <c r="I794"/>
      <c r="J794" s="1355"/>
      <c r="K794" s="1356"/>
      <c r="L794" s="1356"/>
      <c r="M794" s="1356"/>
      <c r="N794" s="1357"/>
      <c r="O794" s="1389"/>
      <c r="P794" s="1389"/>
      <c r="Q794" s="1389"/>
      <c r="R794" s="1389"/>
      <c r="S794" s="1389"/>
      <c r="T794" s="1381"/>
      <c r="U794" s="1382"/>
      <c r="V794" s="1382"/>
      <c r="W794" s="1383"/>
      <c r="X794" s="1361"/>
      <c r="Y794" s="1362"/>
      <c r="Z794" s="1362"/>
      <c r="AA794" s="1362"/>
      <c r="AB794" s="1363"/>
      <c r="AC794" s="1364">
        <f t="shared" si="62"/>
        <v>0</v>
      </c>
      <c r="AD794" s="1365"/>
      <c r="AE794" s="1365"/>
      <c r="AF794" s="1365"/>
      <c r="AG794" s="136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15" customHeight="1">
      <c r="A795"/>
      <c r="B795"/>
      <c r="C795"/>
      <c r="D795"/>
      <c r="E795"/>
      <c r="F795"/>
      <c r="G795"/>
      <c r="H795"/>
      <c r="I795"/>
      <c r="J795" s="1355"/>
      <c r="K795" s="1356"/>
      <c r="L795" s="1356"/>
      <c r="M795" s="1356"/>
      <c r="N795" s="1357"/>
      <c r="O795" s="1389"/>
      <c r="P795" s="1389"/>
      <c r="Q795" s="1389"/>
      <c r="R795" s="1389"/>
      <c r="S795" s="1389"/>
      <c r="T795" s="1381"/>
      <c r="U795" s="1382"/>
      <c r="V795" s="1382"/>
      <c r="W795" s="1383"/>
      <c r="X795" s="1361"/>
      <c r="Y795" s="1362"/>
      <c r="Z795" s="1362"/>
      <c r="AA795" s="1362"/>
      <c r="AB795" s="1363"/>
      <c r="AC795" s="1364">
        <f t="shared" si="62"/>
        <v>0</v>
      </c>
      <c r="AD795" s="1365"/>
      <c r="AE795" s="1365"/>
      <c r="AF795" s="1365"/>
      <c r="AG795" s="136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15" customHeight="1">
      <c r="A796"/>
      <c r="B796"/>
      <c r="C796"/>
      <c r="D796"/>
      <c r="E796"/>
      <c r="F796"/>
      <c r="G796"/>
      <c r="H796"/>
      <c r="I796"/>
      <c r="J796" s="1355"/>
      <c r="K796" s="1356"/>
      <c r="L796" s="1356"/>
      <c r="M796" s="1356"/>
      <c r="N796" s="1357"/>
      <c r="O796" s="1389"/>
      <c r="P796" s="1389"/>
      <c r="Q796" s="1389"/>
      <c r="R796" s="1389"/>
      <c r="S796" s="1389"/>
      <c r="T796" s="1381"/>
      <c r="U796" s="1382"/>
      <c r="V796" s="1382"/>
      <c r="W796" s="1383"/>
      <c r="X796" s="1361"/>
      <c r="Y796" s="1362"/>
      <c r="Z796" s="1362"/>
      <c r="AA796" s="1362"/>
      <c r="AB796" s="1363"/>
      <c r="AC796" s="1364">
        <f t="shared" si="62"/>
        <v>0</v>
      </c>
      <c r="AD796" s="1365"/>
      <c r="AE796" s="1365"/>
      <c r="AF796" s="1365"/>
      <c r="AG796" s="1366"/>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0" t="s">
        <v>477</v>
      </c>
      <c r="BO796" s="1671"/>
      <c r="BP796" s="3"/>
      <c r="BQ796" s="3"/>
      <c r="BR796" s="3"/>
      <c r="BS796" s="14" t="s">
        <v>642</v>
      </c>
      <c r="BT796" s="14"/>
      <c r="BU796" s="14"/>
      <c r="BV796" s="14"/>
      <c r="BW796" s="14"/>
      <c r="BX796" s="14"/>
      <c r="BY796" s="14"/>
      <c r="BZ796" s="14"/>
      <c r="CA796" s="14"/>
      <c r="CB796" s="1667" t="str">
        <f>T189</f>
        <v>San Diego</v>
      </c>
      <c r="CC796" s="1668"/>
      <c r="CD796" s="1668"/>
      <c r="CE796" s="1668"/>
      <c r="CF796" s="1668"/>
      <c r="CG796" s="1668"/>
      <c r="CH796" s="166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15" customHeight="1">
      <c r="A797"/>
      <c r="B797"/>
      <c r="C797"/>
      <c r="D797"/>
      <c r="E797"/>
      <c r="F797"/>
      <c r="G797"/>
      <c r="H797"/>
      <c r="I797"/>
      <c r="J797" s="1458" t="s">
        <v>125</v>
      </c>
      <c r="K797" s="1459"/>
      <c r="L797" s="1459"/>
      <c r="M797" s="1459"/>
      <c r="N797" s="1460"/>
      <c r="O797" s="1480">
        <f>SUM(O787:S796)</f>
        <v>0</v>
      </c>
      <c r="P797" s="1480"/>
      <c r="Q797" s="1480"/>
      <c r="R797" s="1480"/>
      <c r="S797" s="1480"/>
      <c r="T797"/>
      <c r="U797"/>
      <c r="V797"/>
      <c r="W797"/>
      <c r="X797" s="937" t="s">
        <v>124</v>
      </c>
      <c r="Y797" s="11"/>
      <c r="Z797" s="11"/>
      <c r="AA797" s="11"/>
      <c r="AB797" s="944"/>
      <c r="AC797" s="1364">
        <f>SUM(AC787:AG796)</f>
        <v>0</v>
      </c>
      <c r="AD797" s="1365"/>
      <c r="AE797" s="1365"/>
      <c r="AF797" s="1365"/>
      <c r="AG797" s="136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15" customHeight="1">
      <c r="A798"/>
      <c r="B798"/>
      <c r="C798" s="1412" t="str">
        <f>IF(O797&lt;&gt;AG438,"! Total market rate units in the Unit Mix Table above does not match the number of  market rate units on row #"&amp;TEXT(ROW(D438),"#"),"")</f>
        <v/>
      </c>
      <c r="D798" s="1412"/>
      <c r="E798" s="1412"/>
      <c r="F798" s="1412"/>
      <c r="G798" s="1412"/>
      <c r="H798" s="1412"/>
      <c r="I798" s="1412"/>
      <c r="J798" s="1412"/>
      <c r="K798" s="1412"/>
      <c r="L798" s="1412"/>
      <c r="M798" s="1412"/>
      <c r="N798" s="1412"/>
      <c r="O798" s="1412"/>
      <c r="P798" s="1412"/>
      <c r="Q798" s="1412"/>
      <c r="R798" s="1412"/>
      <c r="S798" s="1412"/>
      <c r="T798" s="1412"/>
      <c r="U798" s="1412"/>
      <c r="V798" s="1412"/>
      <c r="W798" s="1412"/>
      <c r="X798" s="1412"/>
      <c r="Y798" s="1412"/>
      <c r="Z798" s="1412"/>
      <c r="AA798" s="1412"/>
      <c r="AB798" s="1412"/>
      <c r="AC798" s="1412"/>
      <c r="AD798" s="1412"/>
      <c r="AE798" s="1412"/>
      <c r="AF798" s="1412"/>
      <c r="AG798" s="1412"/>
      <c r="AH798" s="1412"/>
      <c r="AI798" s="1412"/>
      <c r="AJ798" s="1412"/>
      <c r="AK798" s="1412"/>
      <c r="AL798" s="1412"/>
      <c r="AM798" s="1412"/>
      <c r="AN798" s="141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15" customHeight="1">
      <c r="A799"/>
      <c r="B799"/>
      <c r="C799" s="1412"/>
      <c r="D799" s="1412"/>
      <c r="E799" s="1412"/>
      <c r="F799" s="1412"/>
      <c r="G799" s="1412"/>
      <c r="H799" s="1412"/>
      <c r="I799" s="1412"/>
      <c r="J799" s="1412"/>
      <c r="K799" s="1412"/>
      <c r="L799" s="1412"/>
      <c r="M799" s="1412"/>
      <c r="N799" s="1412"/>
      <c r="O799" s="1412"/>
      <c r="P799" s="1412"/>
      <c r="Q799" s="1412"/>
      <c r="R799" s="1412"/>
      <c r="S799" s="1412"/>
      <c r="T799" s="1412"/>
      <c r="U799" s="1412"/>
      <c r="V799" s="1412"/>
      <c r="W799" s="1412"/>
      <c r="X799" s="1412"/>
      <c r="Y799" s="1412"/>
      <c r="Z799" s="1412"/>
      <c r="AA799" s="1412"/>
      <c r="AB799" s="1412"/>
      <c r="AC799" s="1412"/>
      <c r="AD799" s="1412"/>
      <c r="AE799" s="1412"/>
      <c r="AF799" s="1412"/>
      <c r="AG799" s="1412"/>
      <c r="AH799" s="1412"/>
      <c r="AI799" s="1412"/>
      <c r="AJ799" s="1412"/>
      <c r="AK799" s="1412"/>
      <c r="AL799" s="1412"/>
      <c r="AM799" s="1412"/>
      <c r="AN799" s="141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718">
        <f>O753+AC777+AC797</f>
        <v>178998</v>
      </c>
      <c r="Z800" s="1718"/>
      <c r="AA800" s="1718"/>
      <c r="AB800" s="1718"/>
      <c r="AC800" s="171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8">
        <f>(O753+AC777+AC797)*12</f>
        <v>2147976</v>
      </c>
      <c r="Z801" s="1718"/>
      <c r="AA801" s="1718"/>
      <c r="AB801" s="1718"/>
      <c r="AC801" s="171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1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1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1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595"/>
      <c r="AA806" s="1596"/>
      <c r="AB806" s="1596"/>
      <c r="AC806" s="1596"/>
      <c r="AD806" s="1596"/>
      <c r="AE806" s="159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1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7"/>
      <c r="AA807" s="1596"/>
      <c r="AB807" s="1596"/>
      <c r="AC807" s="1596"/>
      <c r="AD807" s="1596"/>
      <c r="AE807" s="159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4">
        <v>0</v>
      </c>
      <c r="AA808" s="1585"/>
      <c r="AB808" s="1585"/>
      <c r="AC808" s="1585"/>
      <c r="AD808" s="1585"/>
      <c r="AE808" s="158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5">
        <f>'Subsidy Contract Calculation'!J40</f>
        <v>0</v>
      </c>
      <c r="AA809" s="1626"/>
      <c r="AB809" s="1626"/>
      <c r="AC809" s="1626"/>
      <c r="AD809" s="1626"/>
      <c r="AE809" s="162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1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3">
        <v>14112</v>
      </c>
      <c r="AA813" s="1504"/>
      <c r="AB813" s="1504"/>
      <c r="AC813" s="1504"/>
      <c r="AD813" s="1504"/>
      <c r="AE813" s="15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3"/>
      <c r="AA814" s="1504"/>
      <c r="AB814" s="1504"/>
      <c r="AC814" s="1504"/>
      <c r="AD814" s="1504"/>
      <c r="AE814" s="15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3"/>
      <c r="AA815" s="1504"/>
      <c r="AB815" s="1504"/>
      <c r="AC815" s="1504"/>
      <c r="AD815" s="1504"/>
      <c r="AE815" s="15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15" customHeight="1">
      <c r="A816"/>
      <c r="B816"/>
      <c r="C816"/>
      <c r="D816"/>
      <c r="E816"/>
      <c r="F816"/>
      <c r="G816"/>
      <c r="H816" s="45" t="s">
        <v>39</v>
      </c>
      <c r="I816" s="5"/>
      <c r="J816" s="5"/>
      <c r="K816" s="5"/>
      <c r="L816" s="5"/>
      <c r="M816" s="5"/>
      <c r="N816" s="5"/>
      <c r="O816" s="5"/>
      <c r="P816" s="1546" t="s">
        <v>2726</v>
      </c>
      <c r="Q816" s="1598"/>
      <c r="R816" s="1598"/>
      <c r="S816" s="1598"/>
      <c r="T816" s="1598"/>
      <c r="U816" s="1598"/>
      <c r="V816" s="1598"/>
      <c r="W816" s="1598"/>
      <c r="X816" s="1598"/>
      <c r="Y816" s="1658"/>
      <c r="Z816" s="1503">
        <v>4704</v>
      </c>
      <c r="AA816" s="1504"/>
      <c r="AB816" s="1504"/>
      <c r="AC816" s="1504"/>
      <c r="AD816" s="1504"/>
      <c r="AE816" s="15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5">
        <f>SUM(Z813:AE816)</f>
        <v>18816</v>
      </c>
      <c r="AA817" s="1626"/>
      <c r="AB817" s="1626"/>
      <c r="AC817" s="1626"/>
      <c r="AD817" s="1626"/>
      <c r="AE817" s="162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25">
        <f>Z817+Y801+Z809</f>
        <v>2166792</v>
      </c>
      <c r="AA818" s="1626"/>
      <c r="AB818" s="1626"/>
      <c r="AC818" s="1626"/>
      <c r="AD818" s="1626"/>
      <c r="AE818" s="162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1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1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15" customHeight="1">
      <c r="A823"/>
      <c r="B823"/>
      <c r="C823" s="41"/>
      <c r="D823" s="42"/>
      <c r="E823" s="42"/>
      <c r="F823" s="42"/>
      <c r="G823" s="42"/>
      <c r="H823" s="42"/>
      <c r="I823" s="42"/>
      <c r="J823" s="42"/>
      <c r="K823" s="42"/>
      <c r="L823" s="58"/>
      <c r="M823" s="1635" t="s">
        <v>126</v>
      </c>
      <c r="N823" s="1635"/>
      <c r="O823" s="1635"/>
      <c r="P823" s="1636"/>
      <c r="Q823" s="1594" t="s">
        <v>291</v>
      </c>
      <c r="R823" s="1594"/>
      <c r="S823" s="1594"/>
      <c r="T823" s="1594"/>
      <c r="U823" s="1594" t="s">
        <v>292</v>
      </c>
      <c r="V823" s="1594"/>
      <c r="W823" s="1594"/>
      <c r="X823" s="1594"/>
      <c r="Y823" s="1594" t="s">
        <v>293</v>
      </c>
      <c r="Z823" s="1594"/>
      <c r="AA823" s="1594"/>
      <c r="AB823" s="1594"/>
      <c r="AC823" s="1594" t="s">
        <v>362</v>
      </c>
      <c r="AD823" s="1594"/>
      <c r="AE823" s="1594"/>
      <c r="AF823" s="1594"/>
      <c r="AG823" s="1758" t="s">
        <v>336</v>
      </c>
      <c r="AH823" s="1758"/>
      <c r="AI823" s="1758"/>
      <c r="AJ823" s="175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15" customHeight="1">
      <c r="A824"/>
      <c r="B824"/>
      <c r="C824" s="47"/>
      <c r="D824" s="48"/>
      <c r="E824" s="48"/>
      <c r="F824" s="48"/>
      <c r="G824" s="48"/>
      <c r="H824" s="48"/>
      <c r="I824" s="48"/>
      <c r="J824" s="48"/>
      <c r="K824" s="48"/>
      <c r="L824" s="49"/>
      <c r="M824" s="1637"/>
      <c r="N824" s="1637"/>
      <c r="O824" s="1637"/>
      <c r="P824" s="1638"/>
      <c r="Q824" s="1594"/>
      <c r="R824" s="1594"/>
      <c r="S824" s="1594"/>
      <c r="T824" s="1594"/>
      <c r="U824" s="1594"/>
      <c r="V824" s="1594"/>
      <c r="W824" s="1594"/>
      <c r="X824" s="1594"/>
      <c r="Y824" s="1594"/>
      <c r="Z824" s="1594"/>
      <c r="AA824" s="1594"/>
      <c r="AB824" s="1594"/>
      <c r="AC824" s="1594"/>
      <c r="AD824" s="1594"/>
      <c r="AE824" s="1594"/>
      <c r="AF824" s="1594"/>
      <c r="AG824" s="1758"/>
      <c r="AH824" s="1758"/>
      <c r="AI824" s="1758"/>
      <c r="AJ824" s="175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15" customHeight="1">
      <c r="A825"/>
      <c r="B825"/>
      <c r="C825" s="1738" t="s">
        <v>40</v>
      </c>
      <c r="D825" s="1464"/>
      <c r="E825" s="1464"/>
      <c r="F825" s="1464"/>
      <c r="G825" s="1464"/>
      <c r="H825" s="1464"/>
      <c r="I825" s="48"/>
      <c r="J825" s="48"/>
      <c r="K825" s="48"/>
      <c r="L825" s="49"/>
      <c r="M825" s="1599"/>
      <c r="N825" s="1599"/>
      <c r="O825" s="1599"/>
      <c r="P825" s="1599"/>
      <c r="Q825" s="1599">
        <v>23</v>
      </c>
      <c r="R825" s="1599"/>
      <c r="S825" s="1599"/>
      <c r="T825" s="1599"/>
      <c r="U825" s="1599">
        <v>27</v>
      </c>
      <c r="V825" s="1599"/>
      <c r="W825" s="1599"/>
      <c r="X825" s="1599"/>
      <c r="Y825" s="1599">
        <v>31</v>
      </c>
      <c r="Z825" s="1599"/>
      <c r="AA825" s="1599"/>
      <c r="AB825" s="1599"/>
      <c r="AC825" s="1445"/>
      <c r="AD825" s="1446"/>
      <c r="AE825" s="1446"/>
      <c r="AF825" s="1447"/>
      <c r="AG825" s="1445"/>
      <c r="AH825" s="1446"/>
      <c r="AI825" s="1446"/>
      <c r="AJ825" s="144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15" customHeight="1">
      <c r="A826"/>
      <c r="B826"/>
      <c r="C826" s="1615" t="s">
        <v>41</v>
      </c>
      <c r="D826" s="1616"/>
      <c r="E826" s="1616"/>
      <c r="F826" s="1616"/>
      <c r="G826" s="1616"/>
      <c r="H826" s="1616"/>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45"/>
      <c r="AD826" s="1446"/>
      <c r="AE826" s="1446"/>
      <c r="AF826" s="1447"/>
      <c r="AG826" s="1445"/>
      <c r="AH826" s="1446"/>
      <c r="AI826" s="1446"/>
      <c r="AJ826" s="144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15" customHeight="1">
      <c r="A827"/>
      <c r="B827"/>
      <c r="C827" s="1615" t="s">
        <v>42</v>
      </c>
      <c r="D827" s="1616"/>
      <c r="E827" s="1616"/>
      <c r="F827" s="1616"/>
      <c r="G827" s="1616"/>
      <c r="H827" s="1616"/>
      <c r="I827" s="60"/>
      <c r="J827" s="60"/>
      <c r="K827" s="60"/>
      <c r="L827" s="61"/>
      <c r="M827" s="1599"/>
      <c r="N827" s="1599"/>
      <c r="O827" s="1599"/>
      <c r="P827" s="1599"/>
      <c r="Q827" s="1599">
        <v>13</v>
      </c>
      <c r="R827" s="1599"/>
      <c r="S827" s="1599"/>
      <c r="T827" s="1599"/>
      <c r="U827" s="1599">
        <v>18</v>
      </c>
      <c r="V827" s="1599"/>
      <c r="W827" s="1599"/>
      <c r="X827" s="1599"/>
      <c r="Y827" s="1599">
        <v>29</v>
      </c>
      <c r="Z827" s="1599"/>
      <c r="AA827" s="1599"/>
      <c r="AB827" s="1599"/>
      <c r="AC827" s="1445"/>
      <c r="AD827" s="1446"/>
      <c r="AE827" s="1446"/>
      <c r="AF827" s="1447"/>
      <c r="AG827" s="1445"/>
      <c r="AH827" s="1446"/>
      <c r="AI827" s="1446"/>
      <c r="AJ827" s="144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15" customHeight="1">
      <c r="A828"/>
      <c r="B828"/>
      <c r="C828" s="1615" t="s">
        <v>771</v>
      </c>
      <c r="D828" s="1616"/>
      <c r="E828" s="1616"/>
      <c r="F828" s="1616"/>
      <c r="G828" s="1616"/>
      <c r="H828" s="1616"/>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445"/>
      <c r="AD828" s="1446"/>
      <c r="AE828" s="1446"/>
      <c r="AF828" s="1447"/>
      <c r="AG828" s="1445"/>
      <c r="AH828" s="1446"/>
      <c r="AI828" s="1446"/>
      <c r="AJ828" s="144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15" customHeight="1">
      <c r="A829"/>
      <c r="B829"/>
      <c r="C829" s="1615" t="s">
        <v>467</v>
      </c>
      <c r="D829" s="1616"/>
      <c r="E829" s="1616"/>
      <c r="F829" s="1616"/>
      <c r="G829" s="1616"/>
      <c r="H829" s="1616"/>
      <c r="I829" s="60"/>
      <c r="J829" s="60"/>
      <c r="K829" s="60"/>
      <c r="L829" s="61"/>
      <c r="M829" s="1599"/>
      <c r="N829" s="1599"/>
      <c r="O829" s="1599"/>
      <c r="P829" s="1599"/>
      <c r="Q829" s="1599"/>
      <c r="R829" s="1599"/>
      <c r="S829" s="1599"/>
      <c r="T829" s="1599"/>
      <c r="U829" s="1599"/>
      <c r="V829" s="1599"/>
      <c r="W829" s="1599"/>
      <c r="X829" s="1599"/>
      <c r="Y829" s="1599"/>
      <c r="Z829" s="1599"/>
      <c r="AA829" s="1599"/>
      <c r="AB829" s="1599"/>
      <c r="AC829" s="1445"/>
      <c r="AD829" s="1446"/>
      <c r="AE829" s="1446"/>
      <c r="AF829" s="1447"/>
      <c r="AG829" s="1445"/>
      <c r="AH829" s="1446"/>
      <c r="AI829" s="1446"/>
      <c r="AJ829" s="144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15" customHeight="1">
      <c r="A830"/>
      <c r="B830"/>
      <c r="C830" s="1747" t="s">
        <v>792</v>
      </c>
      <c r="D830" s="1616"/>
      <c r="E830" s="1616"/>
      <c r="F830" s="1616"/>
      <c r="G830" s="1616"/>
      <c r="H830" s="1616"/>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45"/>
      <c r="AD830" s="1446"/>
      <c r="AE830" s="1446"/>
      <c r="AF830" s="1447"/>
      <c r="AG830" s="1445"/>
      <c r="AH830" s="1446"/>
      <c r="AI830" s="1446"/>
      <c r="AJ830" s="144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15" customHeight="1">
      <c r="A831"/>
      <c r="B831"/>
      <c r="C831" s="59" t="s">
        <v>294</v>
      </c>
      <c r="D831" s="60"/>
      <c r="E831" s="60"/>
      <c r="F831" s="1546" t="s">
        <v>2739</v>
      </c>
      <c r="G831" s="1598"/>
      <c r="H831" s="1598"/>
      <c r="I831" s="1598"/>
      <c r="J831" s="1598"/>
      <c r="K831" s="1598"/>
      <c r="L831" s="1598"/>
      <c r="M831" s="1599"/>
      <c r="N831" s="1599"/>
      <c r="O831" s="1599"/>
      <c r="P831" s="1599"/>
      <c r="Q831" s="1599">
        <v>48</v>
      </c>
      <c r="R831" s="1599"/>
      <c r="S831" s="1599"/>
      <c r="T831" s="1599"/>
      <c r="U831" s="1599">
        <v>66</v>
      </c>
      <c r="V831" s="1599"/>
      <c r="W831" s="1599"/>
      <c r="X831" s="1599"/>
      <c r="Y831" s="1599">
        <v>85</v>
      </c>
      <c r="Z831" s="1599"/>
      <c r="AA831" s="1599"/>
      <c r="AB831" s="1599"/>
      <c r="AC831" s="1445"/>
      <c r="AD831" s="1446"/>
      <c r="AE831" s="1446"/>
      <c r="AF831" s="1447"/>
      <c r="AG831" s="1445"/>
      <c r="AH831" s="1446"/>
      <c r="AI831" s="1446"/>
      <c r="AJ831" s="144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15" customHeight="1">
      <c r="A832"/>
      <c r="B832"/>
      <c r="C832" s="1458" t="s">
        <v>124</v>
      </c>
      <c r="D832" s="1459"/>
      <c r="E832" s="1459"/>
      <c r="F832" s="1459"/>
      <c r="G832" s="1459"/>
      <c r="H832" s="1459"/>
      <c r="I832" s="1459"/>
      <c r="J832" s="1459"/>
      <c r="K832" s="1459"/>
      <c r="L832" s="1460"/>
      <c r="M832" s="1634">
        <f>SUM(M825:P831)</f>
        <v>0</v>
      </c>
      <c r="N832" s="1634"/>
      <c r="O832" s="1634"/>
      <c r="P832" s="1634"/>
      <c r="Q832" s="1634">
        <f>SUM(Q825:T831)</f>
        <v>84</v>
      </c>
      <c r="R832" s="1634"/>
      <c r="S832" s="1634"/>
      <c r="T832" s="1634"/>
      <c r="U832" s="1634">
        <f>SUM(U825:X831)</f>
        <v>111</v>
      </c>
      <c r="V832" s="1634"/>
      <c r="W832" s="1634"/>
      <c r="X832" s="1634"/>
      <c r="Y832" s="1634">
        <f>SUM(Y825:AB831)</f>
        <v>145</v>
      </c>
      <c r="Z832" s="1634"/>
      <c r="AA832" s="1634"/>
      <c r="AB832" s="1634"/>
      <c r="AC832" s="1634">
        <f>SUM(AC825:AF831)</f>
        <v>0</v>
      </c>
      <c r="AD832" s="1634"/>
      <c r="AE832" s="1634"/>
      <c r="AF832" s="1634"/>
      <c r="AG832" s="1634">
        <f>SUM(AG825:AJ831)</f>
        <v>0</v>
      </c>
      <c r="AH832" s="1634"/>
      <c r="AI832" s="1634"/>
      <c r="AJ832" s="163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1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1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1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15" customHeight="1">
      <c r="A837"/>
      <c r="B837"/>
      <c r="C837" s="1673" t="s">
        <v>2646</v>
      </c>
      <c r="D837" s="1674"/>
      <c r="E837" s="1674"/>
      <c r="F837" s="1674"/>
      <c r="G837" s="1674"/>
      <c r="H837" s="1674"/>
      <c r="I837" s="1674"/>
      <c r="J837" s="1674"/>
      <c r="K837" s="1674"/>
      <c r="L837" s="1674"/>
      <c r="M837" s="1674"/>
      <c r="N837" s="1674"/>
      <c r="O837" s="1674"/>
      <c r="P837" s="1674"/>
      <c r="Q837" s="1674"/>
      <c r="R837" s="1674"/>
      <c r="S837" s="1674"/>
      <c r="T837" s="1674"/>
      <c r="U837" s="1674"/>
      <c r="V837" s="1674"/>
      <c r="W837" s="1674"/>
      <c r="X837" s="1674"/>
      <c r="Y837" s="1674"/>
      <c r="Z837" s="1674"/>
      <c r="AA837" s="1674"/>
      <c r="AB837" s="1674"/>
      <c r="AC837" s="1674"/>
      <c r="AD837" s="1674"/>
      <c r="AE837" s="1674"/>
      <c r="AF837" s="1674"/>
      <c r="AG837" s="1674"/>
      <c r="AH837" s="1674"/>
      <c r="AI837" s="1674"/>
      <c r="AJ837" s="167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1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1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2">
        <f>ROUNDDOWN(BC939*2,2)</f>
        <v>0</v>
      </c>
      <c r="BJ841" s="1672"/>
      <c r="BK841" s="1672"/>
      <c r="BL841" s="167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15" customHeight="1">
      <c r="A842"/>
      <c r="B842"/>
      <c r="C842" s="2" t="s">
        <v>344</v>
      </c>
      <c r="D842"/>
      <c r="E842"/>
      <c r="F842"/>
      <c r="G842"/>
      <c r="H842"/>
      <c r="I842"/>
      <c r="J842" s="45" t="s">
        <v>357</v>
      </c>
      <c r="K842" s="5"/>
      <c r="L842" s="5"/>
      <c r="M842" s="5"/>
      <c r="N842" s="5"/>
      <c r="O842" s="5"/>
      <c r="P842" s="5"/>
      <c r="Q842" s="5"/>
      <c r="R842" s="5"/>
      <c r="S842" s="5"/>
      <c r="T842" s="5"/>
      <c r="U842" s="5"/>
      <c r="V842" s="46"/>
      <c r="W842" s="1549">
        <v>20000</v>
      </c>
      <c r="X842" s="1549"/>
      <c r="Y842" s="1549"/>
      <c r="Z842" s="1549"/>
      <c r="AA842" s="1549"/>
      <c r="AB842" s="1549"/>
      <c r="AC842" s="1549"/>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15" customHeight="1">
      <c r="A843"/>
      <c r="B843"/>
      <c r="C843"/>
      <c r="D843"/>
      <c r="E843"/>
      <c r="F843"/>
      <c r="G843"/>
      <c r="H843"/>
      <c r="I843"/>
      <c r="J843" s="45" t="s">
        <v>356</v>
      </c>
      <c r="K843" s="5"/>
      <c r="L843" s="5"/>
      <c r="M843" s="5"/>
      <c r="N843" s="5"/>
      <c r="O843" s="5"/>
      <c r="P843" s="5"/>
      <c r="Q843" s="5"/>
      <c r="R843" s="5"/>
      <c r="S843" s="5"/>
      <c r="T843" s="5"/>
      <c r="U843" s="5"/>
      <c r="V843" s="46"/>
      <c r="W843" s="1549">
        <v>50000</v>
      </c>
      <c r="X843" s="1549"/>
      <c r="Y843" s="1549"/>
      <c r="Z843" s="1549"/>
      <c r="AA843" s="1549"/>
      <c r="AB843" s="1549"/>
      <c r="AC843" s="154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15" customHeight="1">
      <c r="J844" s="45" t="s">
        <v>355</v>
      </c>
      <c r="K844" s="5"/>
      <c r="L844" s="5"/>
      <c r="M844" s="5"/>
      <c r="N844" s="5"/>
      <c r="O844" s="5"/>
      <c r="P844" s="5"/>
      <c r="Q844" s="5"/>
      <c r="R844" s="5"/>
      <c r="S844" s="5"/>
      <c r="T844" s="5"/>
      <c r="U844" s="5"/>
      <c r="V844" s="46"/>
      <c r="W844" s="1549">
        <v>31000</v>
      </c>
      <c r="X844" s="1549"/>
      <c r="Y844" s="1549"/>
      <c r="Z844" s="1549"/>
      <c r="AA844" s="1549"/>
      <c r="AB844" s="1549"/>
      <c r="AC844" s="154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15" customHeight="1">
      <c r="J845" s="45" t="s">
        <v>354</v>
      </c>
      <c r="K845" s="5"/>
      <c r="L845" s="5"/>
      <c r="M845" s="5"/>
      <c r="N845" s="5"/>
      <c r="O845" s="5"/>
      <c r="P845" s="5"/>
      <c r="Q845" s="5"/>
      <c r="R845" s="5"/>
      <c r="S845" s="5"/>
      <c r="T845" s="5"/>
      <c r="U845" s="5"/>
      <c r="V845" s="46"/>
      <c r="W845" s="1549">
        <v>9500</v>
      </c>
      <c r="X845" s="1549"/>
      <c r="Y845" s="1549"/>
      <c r="Z845" s="1549"/>
      <c r="AA845" s="1549"/>
      <c r="AB845" s="1549"/>
      <c r="AC845" s="154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15" customHeight="1">
      <c r="J846" s="45" t="s">
        <v>170</v>
      </c>
      <c r="K846" s="5"/>
      <c r="L846" s="5"/>
      <c r="M846" s="1546" t="s">
        <v>335</v>
      </c>
      <c r="N846" s="1598"/>
      <c r="O846" s="1598"/>
      <c r="P846" s="1598"/>
      <c r="Q846" s="1598"/>
      <c r="R846" s="1598"/>
      <c r="S846" s="1598"/>
      <c r="T846" s="1598"/>
      <c r="U846" s="1598"/>
      <c r="V846" s="1658"/>
      <c r="W846" s="1549"/>
      <c r="X846" s="1549"/>
      <c r="Y846" s="1549"/>
      <c r="Z846" s="1549"/>
      <c r="AA846" s="1549"/>
      <c r="AB846" s="1549"/>
      <c r="AC846" s="154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15" customHeight="1">
      <c r="J847" s="45"/>
      <c r="K847" s="5"/>
      <c r="L847" s="5"/>
      <c r="M847" s="5"/>
      <c r="N847" s="5"/>
      <c r="O847" s="5"/>
      <c r="P847" s="5"/>
      <c r="Q847" s="5"/>
      <c r="R847" s="5"/>
      <c r="S847" s="5"/>
      <c r="T847" s="5"/>
      <c r="U847" s="5"/>
      <c r="V847" s="54" t="s">
        <v>343</v>
      </c>
      <c r="W847" s="1625">
        <f>SUM(W842:AC846)</f>
        <v>110500</v>
      </c>
      <c r="X847" s="1626"/>
      <c r="Y847" s="1626"/>
      <c r="Z847" s="1626"/>
      <c r="AA847" s="1626"/>
      <c r="AB847" s="1626"/>
      <c r="AC847" s="1627"/>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15" customHeight="1">
      <c r="AZ848" s="30"/>
      <c r="BA848" s="30"/>
      <c r="BB848" s="14"/>
      <c r="BC848" s="14"/>
      <c r="BD848" s="14"/>
      <c r="BE848" s="14"/>
      <c r="BF848" s="14"/>
      <c r="BG848" s="1643"/>
      <c r="BH848" s="1643"/>
      <c r="BI848" s="1643"/>
      <c r="BJ848" s="1643"/>
      <c r="BK848" s="1643"/>
      <c r="BL848" s="1643"/>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15" customHeight="1">
      <c r="C849" s="2" t="s">
        <v>345</v>
      </c>
      <c r="J849" s="1458" t="s">
        <v>346</v>
      </c>
      <c r="K849" s="1459"/>
      <c r="L849" s="1459"/>
      <c r="M849" s="1459"/>
      <c r="N849" s="1459"/>
      <c r="O849" s="1459"/>
      <c r="P849" s="1459"/>
      <c r="Q849" s="1459"/>
      <c r="R849" s="1459"/>
      <c r="S849" s="1459"/>
      <c r="T849" s="1459"/>
      <c r="U849" s="1459"/>
      <c r="V849" s="1460"/>
      <c r="W849" s="1503">
        <v>85000</v>
      </c>
      <c r="X849" s="1504"/>
      <c r="Y849" s="1504"/>
      <c r="Z849" s="1504"/>
      <c r="AA849" s="1504"/>
      <c r="AB849" s="1504"/>
      <c r="AC849" s="150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1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15" customHeight="1">
      <c r="C851" s="2" t="s">
        <v>569</v>
      </c>
      <c r="J851" s="45" t="s">
        <v>353</v>
      </c>
      <c r="K851" s="5"/>
      <c r="L851" s="5"/>
      <c r="M851" s="5"/>
      <c r="N851" s="5"/>
      <c r="O851" s="5"/>
      <c r="P851" s="5"/>
      <c r="Q851" s="5"/>
      <c r="R851" s="5"/>
      <c r="S851" s="5"/>
      <c r="T851" s="5"/>
      <c r="U851" s="5"/>
      <c r="V851" s="46"/>
      <c r="W851" s="1715"/>
      <c r="X851" s="1715"/>
      <c r="Y851" s="1715"/>
      <c r="Z851" s="1715"/>
      <c r="AA851" s="1715"/>
      <c r="AB851" s="1715"/>
      <c r="AC851" s="1715"/>
      <c r="AZ851" s="1741">
        <f>SUM(AZ818:AZ846)</f>
        <v>7.5000000000000011E-2</v>
      </c>
      <c r="BA851" s="174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15" customHeight="1">
      <c r="J852" s="45" t="s">
        <v>352</v>
      </c>
      <c r="K852" s="5"/>
      <c r="L852" s="5"/>
      <c r="M852" s="5"/>
      <c r="N852" s="5"/>
      <c r="O852" s="5"/>
      <c r="P852" s="5"/>
      <c r="Q852" s="5"/>
      <c r="R852" s="5"/>
      <c r="S852" s="5"/>
      <c r="T852" s="5"/>
      <c r="U852" s="5"/>
      <c r="V852" s="46"/>
      <c r="W852" s="1715"/>
      <c r="X852" s="1715"/>
      <c r="Y852" s="1715"/>
      <c r="Z852" s="1715"/>
      <c r="AA852" s="1715"/>
      <c r="AB852" s="1715"/>
      <c r="AC852" s="171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15" customHeight="1">
      <c r="J853" s="45" t="s">
        <v>467</v>
      </c>
      <c r="K853" s="5"/>
      <c r="L853" s="5"/>
      <c r="M853" s="5"/>
      <c r="N853" s="5"/>
      <c r="O853" s="5"/>
      <c r="P853" s="5"/>
      <c r="Q853" s="5"/>
      <c r="R853" s="5"/>
      <c r="S853" s="5"/>
      <c r="T853" s="5"/>
      <c r="U853" s="5"/>
      <c r="V853" s="46"/>
      <c r="W853" s="1715">
        <v>82000</v>
      </c>
      <c r="X853" s="1715"/>
      <c r="Y853" s="1715"/>
      <c r="Z853" s="1715"/>
      <c r="AA853" s="1715"/>
      <c r="AB853" s="1715"/>
      <c r="AC853" s="171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15" customHeight="1">
      <c r="J854" s="62" t="s">
        <v>628</v>
      </c>
      <c r="K854" s="5"/>
      <c r="L854" s="5"/>
      <c r="M854" s="5"/>
      <c r="N854" s="5"/>
      <c r="O854" s="5"/>
      <c r="P854" s="5"/>
      <c r="Q854" s="5"/>
      <c r="R854" s="5"/>
      <c r="S854" s="5"/>
      <c r="T854" s="5"/>
      <c r="U854" s="5"/>
      <c r="V854" s="46"/>
      <c r="W854" s="1715">
        <v>88000</v>
      </c>
      <c r="X854" s="1715"/>
      <c r="Y854" s="1715"/>
      <c r="Z854" s="1715"/>
      <c r="AA854" s="1715"/>
      <c r="AB854" s="1715"/>
      <c r="AC854" s="171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15" customHeight="1">
      <c r="J855" s="63"/>
      <c r="K855" s="48"/>
      <c r="L855" s="48"/>
      <c r="M855" s="48"/>
      <c r="N855" s="48"/>
      <c r="O855" s="48"/>
      <c r="P855" s="48"/>
      <c r="Q855" s="48"/>
      <c r="R855" s="48"/>
      <c r="S855" s="48"/>
      <c r="T855" s="48"/>
      <c r="U855" s="48"/>
      <c r="V855" s="54" t="s">
        <v>273</v>
      </c>
      <c r="W855" s="1663">
        <f>SUM(W851:AC854)</f>
        <v>170000</v>
      </c>
      <c r="X855" s="1663"/>
      <c r="Y855" s="1663"/>
      <c r="Z855" s="1663"/>
      <c r="AA855" s="1663"/>
      <c r="AB855" s="1663"/>
      <c r="AC855" s="166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1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15" customHeight="1">
      <c r="C857" s="2" t="s">
        <v>347</v>
      </c>
      <c r="J857" s="45" t="s">
        <v>627</v>
      </c>
      <c r="K857" s="5"/>
      <c r="L857" s="5"/>
      <c r="M857" s="5"/>
      <c r="N857" s="5"/>
      <c r="O857" s="5"/>
      <c r="P857" s="5"/>
      <c r="Q857" s="5"/>
      <c r="R857" s="5"/>
      <c r="S857" s="5"/>
      <c r="T857" s="5"/>
      <c r="U857" s="5"/>
      <c r="V857" s="46"/>
      <c r="W857" s="1628">
        <v>85000</v>
      </c>
      <c r="X857" s="1629"/>
      <c r="Y857" s="1629"/>
      <c r="Z857" s="1629"/>
      <c r="AA857" s="1629"/>
      <c r="AB857" s="1629"/>
      <c r="AC857" s="163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15" customHeight="1">
      <c r="C858" s="2" t="s">
        <v>348</v>
      </c>
      <c r="J858" s="121" t="s">
        <v>1766</v>
      </c>
      <c r="K858" s="5"/>
      <c r="L858" s="5"/>
      <c r="M858" s="5"/>
      <c r="N858" s="5"/>
      <c r="O858" s="5"/>
      <c r="P858" s="5"/>
      <c r="Q858" s="5"/>
      <c r="R858" s="5"/>
      <c r="S858" s="5"/>
      <c r="T858" s="1742">
        <v>2</v>
      </c>
      <c r="U858" s="1686"/>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15" customHeight="1">
      <c r="C859" s="2"/>
      <c r="J859" s="45" t="s">
        <v>626</v>
      </c>
      <c r="K859" s="5"/>
      <c r="L859" s="5"/>
      <c r="M859" s="5"/>
      <c r="N859" s="5"/>
      <c r="O859" s="5"/>
      <c r="P859" s="5"/>
      <c r="Q859" s="5"/>
      <c r="R859" s="5"/>
      <c r="S859" s="5"/>
      <c r="T859" s="5"/>
      <c r="U859" s="5"/>
      <c r="V859" s="46"/>
      <c r="W859" s="1628">
        <f>46000+2000</f>
        <v>48000</v>
      </c>
      <c r="X859" s="1629"/>
      <c r="Y859" s="1629"/>
      <c r="Z859" s="1629"/>
      <c r="AA859" s="1629"/>
      <c r="AB859" s="1629"/>
      <c r="AC859" s="163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15" customHeight="1">
      <c r="C860" s="2"/>
      <c r="J860" s="121" t="s">
        <v>1767</v>
      </c>
      <c r="K860" s="5"/>
      <c r="L860" s="5"/>
      <c r="M860" s="5"/>
      <c r="N860" s="5"/>
      <c r="O860" s="5"/>
      <c r="P860" s="5"/>
      <c r="Q860" s="5"/>
      <c r="R860" s="5"/>
      <c r="S860" s="5"/>
      <c r="T860" s="1742">
        <v>1</v>
      </c>
      <c r="U860" s="1686"/>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15" customHeight="1">
      <c r="J861" s="45" t="s">
        <v>170</v>
      </c>
      <c r="K861" s="5"/>
      <c r="L861" s="5"/>
      <c r="M861" s="1546" t="s">
        <v>2718</v>
      </c>
      <c r="N861" s="1598"/>
      <c r="O861" s="1598"/>
      <c r="P861" s="1598"/>
      <c r="Q861" s="1598"/>
      <c r="R861" s="1598"/>
      <c r="S861" s="1598"/>
      <c r="T861" s="1598"/>
      <c r="U861" s="1598"/>
      <c r="V861" s="1658"/>
      <c r="W861" s="1628">
        <f>18000+2000</f>
        <v>20000</v>
      </c>
      <c r="X861" s="1629"/>
      <c r="Y861" s="1629"/>
      <c r="Z861" s="1629"/>
      <c r="AA861" s="1629"/>
      <c r="AB861" s="1629"/>
      <c r="AC861" s="163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15" customHeight="1">
      <c r="J862" s="45"/>
      <c r="K862" s="5"/>
      <c r="L862" s="5"/>
      <c r="M862" s="5"/>
      <c r="N862" s="5"/>
      <c r="O862" s="5"/>
      <c r="P862" s="5"/>
      <c r="Q862" s="5"/>
      <c r="R862" s="5"/>
      <c r="S862" s="5"/>
      <c r="T862" s="5"/>
      <c r="U862" s="5"/>
      <c r="V862" s="54" t="s">
        <v>274</v>
      </c>
      <c r="W862" s="1744">
        <f>SUM(W857:AC861)</f>
        <v>153000</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15" customHeight="1">
      <c r="J863" s="45"/>
      <c r="K863" s="5"/>
      <c r="L863" s="5"/>
      <c r="M863" s="5"/>
      <c r="N863" s="5"/>
      <c r="O863" s="5"/>
      <c r="P863" s="5"/>
      <c r="Q863" s="5"/>
      <c r="R863" s="5"/>
      <c r="S863" s="5"/>
      <c r="T863" s="5"/>
      <c r="U863" s="5"/>
      <c r="V863" s="54" t="s">
        <v>275</v>
      </c>
      <c r="W863" s="1628">
        <v>80000</v>
      </c>
      <c r="X863" s="1629"/>
      <c r="Y863" s="1629"/>
      <c r="Z863" s="1629"/>
      <c r="AA863" s="1629"/>
      <c r="AB863" s="1629"/>
      <c r="AC863" s="163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1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15" customHeight="1">
      <c r="C865" s="2" t="s">
        <v>391</v>
      </c>
      <c r="J865" s="45" t="s">
        <v>625</v>
      </c>
      <c r="K865" s="5"/>
      <c r="L865" s="5"/>
      <c r="M865" s="5"/>
      <c r="N865" s="5"/>
      <c r="O865" s="5"/>
      <c r="P865" s="5"/>
      <c r="Q865" s="5"/>
      <c r="R865" s="5"/>
      <c r="S865" s="5"/>
      <c r="T865" s="5"/>
      <c r="U865" s="5"/>
      <c r="V865" s="46"/>
      <c r="W865" s="1549">
        <f>32000+4000</f>
        <v>36000</v>
      </c>
      <c r="X865" s="1549"/>
      <c r="Y865" s="1549"/>
      <c r="Z865" s="1549"/>
      <c r="AA865" s="1549"/>
      <c r="AB865" s="1549"/>
      <c r="AC865" s="154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15" customHeight="1">
      <c r="J866" s="45" t="s">
        <v>530</v>
      </c>
      <c r="K866" s="5"/>
      <c r="L866" s="5"/>
      <c r="M866" s="5"/>
      <c r="N866" s="5"/>
      <c r="O866" s="5"/>
      <c r="P866" s="5"/>
      <c r="Q866" s="5"/>
      <c r="R866" s="5"/>
      <c r="S866" s="5"/>
      <c r="T866" s="5"/>
      <c r="U866" s="5"/>
      <c r="V866" s="46"/>
      <c r="W866" s="1549">
        <f>25000</f>
        <v>25000</v>
      </c>
      <c r="X866" s="1549"/>
      <c r="Y866" s="1549"/>
      <c r="Z866" s="1549"/>
      <c r="AA866" s="1549"/>
      <c r="AB866" s="1549"/>
      <c r="AC866" s="154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15" customHeight="1">
      <c r="J867" s="45" t="s">
        <v>529</v>
      </c>
      <c r="K867" s="5"/>
      <c r="L867" s="5"/>
      <c r="M867" s="5"/>
      <c r="N867" s="5"/>
      <c r="O867" s="5"/>
      <c r="P867" s="5"/>
      <c r="Q867" s="5"/>
      <c r="R867" s="5"/>
      <c r="S867" s="5"/>
      <c r="T867" s="5"/>
      <c r="U867" s="5"/>
      <c r="V867" s="46"/>
      <c r="W867" s="1549">
        <v>25000</v>
      </c>
      <c r="X867" s="1549"/>
      <c r="Y867" s="1549"/>
      <c r="Z867" s="1549"/>
      <c r="AA867" s="1549"/>
      <c r="AB867" s="1549"/>
      <c r="AC867" s="154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15" customHeight="1">
      <c r="J868" s="45" t="s">
        <v>528</v>
      </c>
      <c r="K868" s="5"/>
      <c r="L868" s="5"/>
      <c r="M868" s="5"/>
      <c r="N868" s="5"/>
      <c r="O868" s="5"/>
      <c r="P868" s="5"/>
      <c r="Q868" s="5"/>
      <c r="R868" s="5"/>
      <c r="S868" s="5"/>
      <c r="T868" s="5"/>
      <c r="U868" s="5"/>
      <c r="V868" s="46"/>
      <c r="W868" s="1549">
        <f>12000+3000</f>
        <v>15000</v>
      </c>
      <c r="X868" s="1549"/>
      <c r="Y868" s="1549"/>
      <c r="Z868" s="1549"/>
      <c r="AA868" s="1549"/>
      <c r="AB868" s="1549"/>
      <c r="AC868" s="154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15" customHeight="1">
      <c r="J869" s="45" t="s">
        <v>527</v>
      </c>
      <c r="K869" s="5"/>
      <c r="L869" s="5"/>
      <c r="M869" s="5"/>
      <c r="N869" s="5"/>
      <c r="O869" s="5"/>
      <c r="P869" s="5"/>
      <c r="Q869" s="5"/>
      <c r="R869" s="5"/>
      <c r="S869" s="5"/>
      <c r="T869" s="5"/>
      <c r="U869" s="5"/>
      <c r="V869" s="46"/>
      <c r="W869" s="1549">
        <f>32000+4000</f>
        <v>36000</v>
      </c>
      <c r="X869" s="1549"/>
      <c r="Y869" s="1549"/>
      <c r="Z869" s="1549"/>
      <c r="AA869" s="1549"/>
      <c r="AB869" s="1549"/>
      <c r="AC869" s="154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15" customHeight="1">
      <c r="J870" s="45" t="s">
        <v>526</v>
      </c>
      <c r="K870" s="5"/>
      <c r="L870" s="5"/>
      <c r="M870" s="5"/>
      <c r="N870" s="5"/>
      <c r="O870" s="5"/>
      <c r="P870" s="5"/>
      <c r="Q870" s="5"/>
      <c r="R870" s="5"/>
      <c r="S870" s="5"/>
      <c r="T870" s="5"/>
      <c r="U870" s="5"/>
      <c r="V870" s="46"/>
      <c r="W870" s="1549">
        <v>24000</v>
      </c>
      <c r="X870" s="1549"/>
      <c r="Y870" s="1549"/>
      <c r="Z870" s="1549"/>
      <c r="AA870" s="1549"/>
      <c r="AB870" s="1549"/>
      <c r="AC870" s="154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15" customHeight="1">
      <c r="J871" s="45" t="s">
        <v>170</v>
      </c>
      <c r="K871" s="5"/>
      <c r="L871" s="5"/>
      <c r="M871" s="1546" t="s">
        <v>335</v>
      </c>
      <c r="N871" s="1598"/>
      <c r="O871" s="1598"/>
      <c r="P871" s="1598"/>
      <c r="Q871" s="1598"/>
      <c r="R871" s="1598"/>
      <c r="S871" s="1598"/>
      <c r="T871" s="1598"/>
      <c r="U871" s="1598"/>
      <c r="V871" s="1658"/>
      <c r="W871" s="1549"/>
      <c r="X871" s="1549"/>
      <c r="Y871" s="1549"/>
      <c r="Z871" s="1549"/>
      <c r="AA871" s="1549"/>
      <c r="AB871" s="1549"/>
      <c r="AC871" s="154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15" customHeight="1">
      <c r="J872" s="45"/>
      <c r="K872" s="5"/>
      <c r="L872" s="5"/>
      <c r="M872" s="5"/>
      <c r="N872" s="5"/>
      <c r="O872" s="5"/>
      <c r="P872" s="5"/>
      <c r="Q872" s="5"/>
      <c r="R872" s="5"/>
      <c r="S872" s="5"/>
      <c r="T872" s="5"/>
      <c r="U872" s="5"/>
      <c r="V872" s="54" t="s">
        <v>276</v>
      </c>
      <c r="W872" s="1718">
        <f>SUM(W865:AC871)</f>
        <v>161000</v>
      </c>
      <c r="X872" s="1718"/>
      <c r="Y872" s="1718"/>
      <c r="Z872" s="1718"/>
      <c r="AA872" s="1718"/>
      <c r="AB872" s="1718"/>
      <c r="AC872" s="171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1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15" customHeight="1">
      <c r="C874" s="2" t="s">
        <v>1350</v>
      </c>
      <c r="J874" s="45" t="s">
        <v>170</v>
      </c>
      <c r="K874" s="5"/>
      <c r="L874" s="5"/>
      <c r="M874" s="1546" t="s">
        <v>335</v>
      </c>
      <c r="N874" s="1598"/>
      <c r="O874" s="1598"/>
      <c r="P874" s="1598"/>
      <c r="Q874" s="1598"/>
      <c r="R874" s="1598"/>
      <c r="S874" s="1598"/>
      <c r="T874" s="1598"/>
      <c r="U874" s="1598"/>
      <c r="V874" s="1658"/>
      <c r="W874" s="1503"/>
      <c r="X874" s="1504"/>
      <c r="Y874" s="1504"/>
      <c r="Z874" s="1504"/>
      <c r="AA874" s="1504"/>
      <c r="AB874" s="1504"/>
      <c r="AC874" s="15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15" customHeight="1">
      <c r="C875" s="2" t="s">
        <v>1351</v>
      </c>
      <c r="J875" s="45" t="s">
        <v>170</v>
      </c>
      <c r="K875" s="5"/>
      <c r="L875" s="5"/>
      <c r="M875" s="1546" t="s">
        <v>335</v>
      </c>
      <c r="N875" s="1598"/>
      <c r="O875" s="1598"/>
      <c r="P875" s="1598"/>
      <c r="Q875" s="1598"/>
      <c r="R875" s="1598"/>
      <c r="S875" s="1598"/>
      <c r="T875" s="1598"/>
      <c r="U875" s="1598"/>
      <c r="V875" s="1658"/>
      <c r="W875" s="1503"/>
      <c r="X875" s="1504"/>
      <c r="Y875" s="1504"/>
      <c r="Z875" s="1504"/>
      <c r="AA875" s="1504"/>
      <c r="AB875" s="1504"/>
      <c r="AC875" s="15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15" customHeight="1">
      <c r="J876" s="45" t="s">
        <v>170</v>
      </c>
      <c r="K876" s="5"/>
      <c r="L876" s="5"/>
      <c r="M876" s="1546" t="s">
        <v>335</v>
      </c>
      <c r="N876" s="1598"/>
      <c r="O876" s="1598"/>
      <c r="P876" s="1598"/>
      <c r="Q876" s="1598"/>
      <c r="R876" s="1598"/>
      <c r="S876" s="1598"/>
      <c r="T876" s="1598"/>
      <c r="U876" s="1598"/>
      <c r="V876" s="1658"/>
      <c r="W876" s="1503"/>
      <c r="X876" s="1504"/>
      <c r="Y876" s="1504"/>
      <c r="Z876" s="1504"/>
      <c r="AA876" s="1504"/>
      <c r="AB876" s="1504"/>
      <c r="AC876" s="15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15" customHeight="1">
      <c r="J877" s="45" t="s">
        <v>170</v>
      </c>
      <c r="K877" s="5"/>
      <c r="L877" s="5"/>
      <c r="M877" s="1546" t="s">
        <v>335</v>
      </c>
      <c r="N877" s="1598"/>
      <c r="O877" s="1598"/>
      <c r="P877" s="1598"/>
      <c r="Q877" s="1598"/>
      <c r="R877" s="1598"/>
      <c r="S877" s="1598"/>
      <c r="T877" s="1598"/>
      <c r="U877" s="1598"/>
      <c r="V877" s="1658"/>
      <c r="W877" s="1503"/>
      <c r="X877" s="1504"/>
      <c r="Y877" s="1504"/>
      <c r="Z877" s="1504"/>
      <c r="AA877" s="1504"/>
      <c r="AB877" s="1504"/>
      <c r="AC877" s="15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15" customHeight="1">
      <c r="J878" s="45" t="s">
        <v>170</v>
      </c>
      <c r="K878" s="5"/>
      <c r="L878" s="5"/>
      <c r="M878" s="1546" t="s">
        <v>335</v>
      </c>
      <c r="N878" s="1598"/>
      <c r="O878" s="1598"/>
      <c r="P878" s="1598"/>
      <c r="Q878" s="1598"/>
      <c r="R878" s="1598"/>
      <c r="S878" s="1598"/>
      <c r="T878" s="1598"/>
      <c r="U878" s="1598"/>
      <c r="V878" s="1658"/>
      <c r="W878" s="1503"/>
      <c r="X878" s="1504"/>
      <c r="Y878" s="1504"/>
      <c r="Z878" s="1504"/>
      <c r="AA878" s="1504"/>
      <c r="AB878" s="1504"/>
      <c r="AC878" s="15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15" customHeight="1">
      <c r="J879" s="45"/>
      <c r="K879" s="5"/>
      <c r="L879" s="5"/>
      <c r="M879" s="5"/>
      <c r="N879" s="5"/>
      <c r="O879" s="5"/>
      <c r="P879" s="5"/>
      <c r="Q879" s="5"/>
      <c r="R879" s="5"/>
      <c r="S879" s="5"/>
      <c r="T879" s="5"/>
      <c r="U879" s="5"/>
      <c r="V879" s="54" t="s">
        <v>277</v>
      </c>
      <c r="W879" s="1625">
        <f>SUM(W874:AC878)</f>
        <v>0</v>
      </c>
      <c r="X879" s="1626"/>
      <c r="Y879" s="1626"/>
      <c r="Z879" s="1626"/>
      <c r="AA879" s="1626"/>
      <c r="AB879" s="1626"/>
      <c r="AC879" s="162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1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1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1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6">
        <f>W847+W855+W862+W863+W872+W879+W849</f>
        <v>759500</v>
      </c>
      <c r="AD883" s="1626"/>
      <c r="AE883" s="1626"/>
      <c r="AF883" s="1626"/>
      <c r="AG883" s="1626"/>
      <c r="AH883" s="162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3">
        <f>O797+O777+G753</f>
        <v>98</v>
      </c>
      <c r="AD884" s="1733"/>
      <c r="AE884" s="1733"/>
      <c r="AF884" s="1733"/>
      <c r="AG884" s="1733"/>
      <c r="AH884" s="173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15" customHeight="1">
      <c r="C885" s="41"/>
      <c r="D885" s="42"/>
      <c r="E885" s="1617" t="s">
        <v>32</v>
      </c>
      <c r="F885" s="1617"/>
      <c r="G885" s="1617"/>
      <c r="H885" s="1617"/>
      <c r="I885" s="1617"/>
      <c r="J885" s="1617"/>
      <c r="K885" s="1617"/>
      <c r="L885" s="1617"/>
      <c r="M885" s="1617"/>
      <c r="N885" s="1617"/>
      <c r="O885" s="1617"/>
      <c r="P885" s="1617"/>
      <c r="Q885" s="1617"/>
      <c r="R885" s="1617"/>
      <c r="S885" s="1617"/>
      <c r="T885" s="1617"/>
      <c r="U885" s="1617"/>
      <c r="V885" s="1617"/>
      <c r="W885" s="1617"/>
      <c r="X885" s="1617"/>
      <c r="Y885" s="1617"/>
      <c r="Z885" s="1617"/>
      <c r="AA885" s="1617"/>
      <c r="AB885" s="1618"/>
      <c r="AC885" s="1718">
        <f>IF(ISERROR((ROUNDDOWN(AC883/AC884,0))),0,(ROUNDDOWN(AC883/AC884,0)))</f>
        <v>7750</v>
      </c>
      <c r="AD885" s="1718"/>
      <c r="AE885" s="1718"/>
      <c r="AF885" s="1718"/>
      <c r="AG885" s="1718"/>
      <c r="AH885" s="171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6">
        <v>473854</v>
      </c>
      <c r="AD886" s="1717"/>
      <c r="AE886" s="1717"/>
      <c r="AF886" s="1717"/>
      <c r="AG886" s="1717"/>
      <c r="AH886" s="171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5"/>
      <c r="AD887" s="1549"/>
      <c r="AE887" s="1549"/>
      <c r="AF887" s="1549"/>
      <c r="AG887" s="1549"/>
      <c r="AH887" s="154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4">
        <v>24500</v>
      </c>
      <c r="AD888" s="1504"/>
      <c r="AE888" s="1504"/>
      <c r="AF888" s="1504"/>
      <c r="AG888" s="1504"/>
      <c r="AH888" s="15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4">
        <v>24500</v>
      </c>
      <c r="AD889" s="1504"/>
      <c r="AE889" s="1504"/>
      <c r="AF889" s="1504"/>
      <c r="AG889" s="1504"/>
      <c r="AH889" s="15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45"/>
      <c r="AD890" s="1446"/>
      <c r="AE890" s="1446"/>
      <c r="AF890" s="1446"/>
      <c r="AG890" s="1446"/>
      <c r="AH890" s="144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4"/>
      <c r="AD891" s="1504"/>
      <c r="AE891" s="1504"/>
      <c r="AF891" s="1504"/>
      <c r="AG891" s="1504"/>
      <c r="AH891" s="15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1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4"/>
      <c r="AD892" s="1504"/>
      <c r="AE892" s="1504"/>
      <c r="AF892" s="1504"/>
      <c r="AG892" s="1504"/>
      <c r="AH892" s="15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15" customHeight="1">
      <c r="C893" s="1631" t="s">
        <v>2760</v>
      </c>
      <c r="D893" s="1632"/>
      <c r="E893" s="1632"/>
      <c r="F893" s="1632"/>
      <c r="G893" s="1632"/>
      <c r="H893" s="1632"/>
      <c r="I893" s="1632"/>
      <c r="J893" s="1632"/>
      <c r="K893" s="1632"/>
      <c r="L893" s="1632"/>
      <c r="M893" s="1632"/>
      <c r="N893" s="1632"/>
      <c r="O893" s="1632"/>
      <c r="P893" s="1632"/>
      <c r="Q893" s="1632"/>
      <c r="R893" s="1632"/>
      <c r="S893" s="1632"/>
      <c r="T893" s="1632"/>
      <c r="U893" s="1632"/>
      <c r="V893" s="1632"/>
      <c r="W893" s="1632"/>
      <c r="X893" s="1632"/>
      <c r="Y893" s="1632"/>
      <c r="Z893" s="1632"/>
      <c r="AA893" s="1632"/>
      <c r="AB893" s="1633"/>
      <c r="AC893" s="1549">
        <v>15435</v>
      </c>
      <c r="AD893" s="1549"/>
      <c r="AE893" s="1549"/>
      <c r="AF893" s="1549"/>
      <c r="AG893" s="1549"/>
      <c r="AH893" s="154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15" customHeight="1">
      <c r="C894" s="1631" t="s">
        <v>975</v>
      </c>
      <c r="D894" s="1632"/>
      <c r="E894" s="1632"/>
      <c r="F894" s="1632"/>
      <c r="G894" s="1632"/>
      <c r="H894" s="1632"/>
      <c r="I894" s="1632"/>
      <c r="J894" s="1632"/>
      <c r="K894" s="1632"/>
      <c r="L894" s="1632"/>
      <c r="M894" s="1632"/>
      <c r="N894" s="1632"/>
      <c r="O894" s="1632"/>
      <c r="P894" s="1632"/>
      <c r="Q894" s="1632"/>
      <c r="R894" s="1632"/>
      <c r="S894" s="1632"/>
      <c r="T894" s="1632"/>
      <c r="U894" s="1632"/>
      <c r="V894" s="1632"/>
      <c r="W894" s="1632"/>
      <c r="X894" s="1632"/>
      <c r="Y894" s="1632"/>
      <c r="Z894" s="1632"/>
      <c r="AA894" s="1632"/>
      <c r="AB894" s="1633"/>
      <c r="AC894" s="1549"/>
      <c r="AD894" s="1549"/>
      <c r="AE894" s="1549"/>
      <c r="AF894" s="1549"/>
      <c r="AG894" s="1549"/>
      <c r="AH894" s="154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1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1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1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15" customHeight="1">
      <c r="B898" s="2"/>
      <c r="H898" s="121" t="s">
        <v>239</v>
      </c>
      <c r="I898" s="5"/>
      <c r="J898" s="5"/>
      <c r="K898" s="5"/>
      <c r="L898" s="5"/>
      <c r="M898" s="5"/>
      <c r="N898" s="5"/>
      <c r="O898" s="5"/>
      <c r="P898" s="5"/>
      <c r="Q898" s="5"/>
      <c r="R898" s="5"/>
      <c r="S898" s="5"/>
      <c r="T898" s="5"/>
      <c r="U898" s="5"/>
      <c r="V898" s="5"/>
      <c r="W898" s="5"/>
      <c r="X898" s="5"/>
      <c r="Y898" s="46"/>
      <c r="Z898" s="1503"/>
      <c r="AA898" s="1504"/>
      <c r="AB898" s="1504"/>
      <c r="AC898" s="1504"/>
      <c r="AD898" s="1504"/>
      <c r="AE898" s="1505"/>
      <c r="AF898" s="567"/>
      <c r="AZ898" s="34"/>
      <c r="BB898" s="30"/>
      <c r="BC898" s="850"/>
      <c r="BD898" s="1644"/>
      <c r="BE898" s="164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15" customHeight="1">
      <c r="H899" s="121" t="s">
        <v>240</v>
      </c>
      <c r="I899" s="5"/>
      <c r="J899" s="5"/>
      <c r="K899" s="5"/>
      <c r="L899" s="5"/>
      <c r="M899" s="5"/>
      <c r="N899" s="5"/>
      <c r="O899" s="5"/>
      <c r="P899" s="5"/>
      <c r="Q899" s="5"/>
      <c r="R899" s="5"/>
      <c r="S899" s="5"/>
      <c r="T899" s="5"/>
      <c r="U899" s="5"/>
      <c r="V899" s="5"/>
      <c r="W899" s="5"/>
      <c r="X899" s="5"/>
      <c r="Y899" s="5"/>
      <c r="Z899" s="1503"/>
      <c r="AA899" s="1504"/>
      <c r="AB899" s="1504"/>
      <c r="AC899" s="1504"/>
      <c r="AD899" s="1504"/>
      <c r="AE899" s="1505"/>
      <c r="AZ899" s="34"/>
      <c r="BB899" s="30"/>
      <c r="BC899" s="850"/>
      <c r="BD899" s="1644"/>
      <c r="BE899" s="164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15" customHeight="1">
      <c r="H900" s="121" t="s">
        <v>241</v>
      </c>
      <c r="I900" s="5"/>
      <c r="J900" s="5"/>
      <c r="K900" s="5"/>
      <c r="L900" s="5"/>
      <c r="M900" s="5"/>
      <c r="N900" s="5"/>
      <c r="O900" s="5"/>
      <c r="P900" s="5"/>
      <c r="Q900" s="5"/>
      <c r="R900" s="5"/>
      <c r="S900" s="5"/>
      <c r="T900" s="5"/>
      <c r="U900" s="5"/>
      <c r="V900" s="5"/>
      <c r="W900" s="5"/>
      <c r="X900" s="5"/>
      <c r="Y900" s="5"/>
      <c r="Z900" s="1503"/>
      <c r="AA900" s="1504"/>
      <c r="AB900" s="1504"/>
      <c r="AC900" s="1504"/>
      <c r="AD900" s="1504"/>
      <c r="AE900" s="1505"/>
      <c r="AZ900" s="34"/>
      <c r="BB900" s="30"/>
      <c r="BC900" s="850"/>
      <c r="BD900" s="1643"/>
      <c r="BE900" s="164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15" customHeight="1">
      <c r="H901" s="45"/>
      <c r="I901" s="5"/>
      <c r="J901" s="5"/>
      <c r="K901" s="5"/>
      <c r="L901" s="5"/>
      <c r="M901" s="5"/>
      <c r="N901" s="5"/>
      <c r="O901" s="5"/>
      <c r="P901" s="5"/>
      <c r="Q901" s="5"/>
      <c r="R901" s="5"/>
      <c r="S901" s="5"/>
      <c r="T901" s="5"/>
      <c r="U901" s="5"/>
      <c r="V901" s="5"/>
      <c r="W901" s="5"/>
      <c r="X901" s="5"/>
      <c r="Y901" s="190" t="s">
        <v>242</v>
      </c>
      <c r="Z901" s="1625">
        <f>Z898-(Z899+Z900)</f>
        <v>0</v>
      </c>
      <c r="AA901" s="1626"/>
      <c r="AB901" s="1626"/>
      <c r="AC901" s="1626"/>
      <c r="AD901" s="1626"/>
      <c r="AE901" s="1627"/>
      <c r="AZ901" s="34"/>
      <c r="BB901" s="30"/>
      <c r="BC901" s="850"/>
      <c r="BD901" s="1643"/>
      <c r="BE901" s="164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1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3"/>
      <c r="BE902" s="164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1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4"/>
      <c r="BE903" s="164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1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9"/>
      <c r="BE904" s="1739"/>
      <c r="BF904" s="17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1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2"/>
      <c r="BE905" s="1672"/>
      <c r="BF905" s="167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1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3"/>
      <c r="BE906" s="164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1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4"/>
      <c r="BE907" s="164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1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1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4"/>
      <c r="BE909" s="164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1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1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1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1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15" customHeight="1">
      <c r="F914" s="1543" t="s">
        <v>801</v>
      </c>
      <c r="G914" s="1544"/>
      <c r="H914" s="1544"/>
      <c r="I914" s="1544"/>
      <c r="J914" s="1544"/>
      <c r="K914" s="1544"/>
      <c r="L914" s="1544"/>
      <c r="M914" s="1544"/>
      <c r="N914" s="1544"/>
      <c r="O914" s="1544"/>
      <c r="P914" s="1544"/>
      <c r="Q914" s="1544"/>
      <c r="R914" s="1544"/>
      <c r="S914" s="1544"/>
      <c r="T914" s="1545"/>
      <c r="U914" s="1651" t="s">
        <v>31</v>
      </c>
      <c r="V914" s="1635"/>
      <c r="W914" s="1635"/>
      <c r="X914" s="1635"/>
      <c r="Y914" s="1635"/>
      <c r="Z914" s="163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15" customHeight="1">
      <c r="B915" s="2"/>
      <c r="F915" s="1652" t="s">
        <v>827</v>
      </c>
      <c r="G915" s="1653"/>
      <c r="H915" s="1653"/>
      <c r="I915" s="1653"/>
      <c r="J915" s="1653"/>
      <c r="K915" s="1653"/>
      <c r="L915" s="1653"/>
      <c r="M915" s="1653"/>
      <c r="N915" s="1653"/>
      <c r="O915" s="1653"/>
      <c r="P915" s="1653"/>
      <c r="Q915" s="1653"/>
      <c r="R915" s="1653"/>
      <c r="S915" s="1653"/>
      <c r="T915" s="1659"/>
      <c r="U915" s="1652"/>
      <c r="V915" s="1653"/>
      <c r="W915" s="1653"/>
      <c r="X915" s="1653"/>
      <c r="Y915" s="1653"/>
      <c r="Z915" s="165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15" customHeight="1">
      <c r="B916" s="2"/>
      <c r="F916" s="1654"/>
      <c r="G916" s="1637"/>
      <c r="H916" s="1637"/>
      <c r="I916" s="1637"/>
      <c r="J916" s="1637"/>
      <c r="K916" s="1637"/>
      <c r="L916" s="1637"/>
      <c r="M916" s="1637"/>
      <c r="N916" s="1637"/>
      <c r="O916" s="1637"/>
      <c r="P916" s="1637"/>
      <c r="Q916" s="1637"/>
      <c r="R916" s="1637"/>
      <c r="S916" s="1637"/>
      <c r="T916" s="1638"/>
      <c r="U916" s="1654"/>
      <c r="V916" s="1637"/>
      <c r="W916" s="1637"/>
      <c r="X916" s="1637"/>
      <c r="Y916" s="1637"/>
      <c r="Z916" s="1637"/>
      <c r="AA916" s="108"/>
      <c r="AB916" s="1740" t="s">
        <v>392</v>
      </c>
      <c r="AC916" s="1740"/>
      <c r="AD916" s="1740"/>
      <c r="AE916" s="174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15" customHeight="1">
      <c r="B917" s="2"/>
      <c r="F917" s="45" t="s">
        <v>767</v>
      </c>
      <c r="G917" s="48"/>
      <c r="H917" s="48"/>
      <c r="I917" s="48"/>
      <c r="J917" s="48"/>
      <c r="K917" s="48"/>
      <c r="L917" s="48"/>
      <c r="M917" s="48"/>
      <c r="N917" s="48"/>
      <c r="O917" s="48"/>
      <c r="P917" s="48"/>
      <c r="Q917" s="48"/>
      <c r="R917" s="48"/>
      <c r="S917" s="48"/>
      <c r="T917" s="49"/>
      <c r="U917" s="1619" t="s">
        <v>553</v>
      </c>
      <c r="V917" s="1620"/>
      <c r="W917" s="1620"/>
      <c r="X917" s="1620"/>
      <c r="Y917" s="1620"/>
      <c r="Z917" s="1621"/>
      <c r="AA917" s="1550">
        <f>AM554</f>
        <v>32184459</v>
      </c>
      <c r="AB917" s="1551"/>
      <c r="AC917" s="1551"/>
      <c r="AD917" s="1551"/>
      <c r="AE917" s="1551"/>
      <c r="AF917" s="155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15" customHeight="1">
      <c r="B918" s="2"/>
      <c r="F918" s="66" t="s">
        <v>683</v>
      </c>
      <c r="G918" s="48"/>
      <c r="H918" s="48"/>
      <c r="I918" s="48"/>
      <c r="J918" s="48"/>
      <c r="K918" s="48"/>
      <c r="L918" s="48"/>
      <c r="M918" s="48"/>
      <c r="N918" s="48"/>
      <c r="O918" s="48"/>
      <c r="P918" s="48"/>
      <c r="Q918" s="48"/>
      <c r="R918" s="48"/>
      <c r="S918" s="48"/>
      <c r="T918" s="49"/>
      <c r="U918" s="1619" t="s">
        <v>553</v>
      </c>
      <c r="V918" s="1620"/>
      <c r="W918" s="1620"/>
      <c r="X918" s="1620"/>
      <c r="Y918" s="1620"/>
      <c r="Z918" s="1621"/>
      <c r="AA918" s="1550">
        <f>AM555</f>
        <v>9591843</v>
      </c>
      <c r="AB918" s="1551"/>
      <c r="AC918" s="1551"/>
      <c r="AD918" s="1551"/>
      <c r="AE918" s="1551"/>
      <c r="AF918" s="155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15" customHeight="1">
      <c r="F919" s="45" t="s">
        <v>810</v>
      </c>
      <c r="G919" s="5"/>
      <c r="H919" s="5"/>
      <c r="I919" s="5"/>
      <c r="J919" s="5"/>
      <c r="K919" s="5"/>
      <c r="L919" s="5"/>
      <c r="M919" s="5"/>
      <c r="N919" s="5"/>
      <c r="O919" s="5"/>
      <c r="P919" s="5"/>
      <c r="Q919" s="5"/>
      <c r="R919" s="5"/>
      <c r="S919" s="5"/>
      <c r="T919" s="46"/>
      <c r="U919" s="1619" t="s">
        <v>599</v>
      </c>
      <c r="V919" s="1620"/>
      <c r="W919" s="1620"/>
      <c r="X919" s="1620"/>
      <c r="Y919" s="1620"/>
      <c r="Z919" s="1621"/>
      <c r="AA919" s="1550"/>
      <c r="AB919" s="1551"/>
      <c r="AC919" s="1551"/>
      <c r="AD919" s="1551"/>
      <c r="AE919" s="1551"/>
      <c r="AF919" s="155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15" customHeight="1">
      <c r="F920" s="45" t="s">
        <v>686</v>
      </c>
      <c r="G920" s="5"/>
      <c r="H920" s="5"/>
      <c r="I920" s="5"/>
      <c r="J920" s="5"/>
      <c r="K920" s="5"/>
      <c r="L920" s="5"/>
      <c r="M920" s="5"/>
      <c r="N920" s="5"/>
      <c r="O920" s="5"/>
      <c r="P920" s="5"/>
      <c r="Q920" s="5"/>
      <c r="R920" s="5"/>
      <c r="S920" s="5"/>
      <c r="T920" s="46"/>
      <c r="U920" s="1619" t="s">
        <v>599</v>
      </c>
      <c r="V920" s="1620"/>
      <c r="W920" s="1620"/>
      <c r="X920" s="1620"/>
      <c r="Y920" s="1620"/>
      <c r="Z920" s="1621"/>
      <c r="AA920" s="1550"/>
      <c r="AB920" s="1551"/>
      <c r="AC920" s="1551"/>
      <c r="AD920" s="1551"/>
      <c r="AE920" s="1551"/>
      <c r="AF920" s="155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15" customHeight="1">
      <c r="F921" s="66" t="s">
        <v>795</v>
      </c>
      <c r="G921" s="5"/>
      <c r="H921" s="5"/>
      <c r="I921" s="5"/>
      <c r="J921" s="5"/>
      <c r="K921" s="5"/>
      <c r="L921" s="5"/>
      <c r="M921" s="5"/>
      <c r="N921" s="5"/>
      <c r="O921" s="5"/>
      <c r="P921" s="5"/>
      <c r="Q921" s="5"/>
      <c r="R921" s="5"/>
      <c r="S921" s="5"/>
      <c r="T921" s="46"/>
      <c r="U921" s="1619" t="s">
        <v>599</v>
      </c>
      <c r="V921" s="1620"/>
      <c r="W921" s="1620"/>
      <c r="X921" s="1620"/>
      <c r="Y921" s="1620"/>
      <c r="Z921" s="1621"/>
      <c r="AA921" s="1550"/>
      <c r="AB921" s="1551"/>
      <c r="AC921" s="1551"/>
      <c r="AD921" s="1551"/>
      <c r="AE921" s="1551"/>
      <c r="AF921" s="155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15" customHeight="1">
      <c r="F922" s="66" t="s">
        <v>796</v>
      </c>
      <c r="G922" s="5"/>
      <c r="H922" s="5"/>
      <c r="I922" s="5"/>
      <c r="J922" s="5"/>
      <c r="K922" s="5"/>
      <c r="L922" s="5"/>
      <c r="M922" s="5"/>
      <c r="N922" s="5"/>
      <c r="O922" s="5"/>
      <c r="P922" s="5"/>
      <c r="Q922" s="5"/>
      <c r="R922" s="5"/>
      <c r="S922" s="5"/>
      <c r="T922" s="46"/>
      <c r="U922" s="1619" t="s">
        <v>599</v>
      </c>
      <c r="V922" s="1620"/>
      <c r="W922" s="1620"/>
      <c r="X922" s="1620"/>
      <c r="Y922" s="1620"/>
      <c r="Z922" s="1621"/>
      <c r="AA922" s="1550"/>
      <c r="AB922" s="1551"/>
      <c r="AC922" s="1551"/>
      <c r="AD922" s="1551"/>
      <c r="AE922" s="1551"/>
      <c r="AF922" s="155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15" customHeight="1">
      <c r="F923" s="66" t="s">
        <v>797</v>
      </c>
      <c r="G923" s="5"/>
      <c r="H923" s="5"/>
      <c r="I923" s="5"/>
      <c r="J923" s="5"/>
      <c r="K923" s="5"/>
      <c r="L923" s="5"/>
      <c r="M923" s="5"/>
      <c r="N923" s="5"/>
      <c r="O923" s="5"/>
      <c r="P923" s="5"/>
      <c r="Q923" s="5"/>
      <c r="R923" s="5"/>
      <c r="S923" s="5"/>
      <c r="T923" s="46"/>
      <c r="U923" s="1619" t="s">
        <v>599</v>
      </c>
      <c r="V923" s="1620"/>
      <c r="W923" s="1620"/>
      <c r="X923" s="1620"/>
      <c r="Y923" s="1620"/>
      <c r="Z923" s="1621"/>
      <c r="AA923" s="1550"/>
      <c r="AB923" s="1551"/>
      <c r="AC923" s="1551"/>
      <c r="AD923" s="1551"/>
      <c r="AE923" s="1551"/>
      <c r="AF923" s="155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15" customHeight="1">
      <c r="F924" s="45" t="s">
        <v>685</v>
      </c>
      <c r="G924" s="5"/>
      <c r="H924" s="5"/>
      <c r="I924" s="5"/>
      <c r="J924" s="5"/>
      <c r="K924" s="5"/>
      <c r="L924" s="5"/>
      <c r="M924" s="5"/>
      <c r="N924" s="5"/>
      <c r="O924" s="5"/>
      <c r="P924" s="5"/>
      <c r="Q924" s="5"/>
      <c r="R924" s="5"/>
      <c r="S924" s="5"/>
      <c r="T924" s="46"/>
      <c r="U924" s="1619" t="s">
        <v>599</v>
      </c>
      <c r="V924" s="1620"/>
      <c r="W924" s="1620"/>
      <c r="X924" s="1620"/>
      <c r="Y924" s="1620"/>
      <c r="Z924" s="1621"/>
      <c r="AA924" s="1550"/>
      <c r="AB924" s="1551"/>
      <c r="AC924" s="1551"/>
      <c r="AD924" s="1551"/>
      <c r="AE924" s="1551"/>
      <c r="AF924" s="155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15" customHeight="1">
      <c r="F925" s="1664" t="s">
        <v>2553</v>
      </c>
      <c r="G925" s="1665"/>
      <c r="H925" s="1665"/>
      <c r="I925" s="1665"/>
      <c r="J925" s="1665"/>
      <c r="K925" s="1665"/>
      <c r="L925" s="1665"/>
      <c r="M925" s="1665"/>
      <c r="N925" s="1665"/>
      <c r="O925" s="1665"/>
      <c r="P925" s="1665"/>
      <c r="Q925" s="1665"/>
      <c r="R925" s="1665"/>
      <c r="S925" s="1665"/>
      <c r="T925" s="1666"/>
      <c r="U925" s="1619" t="s">
        <v>599</v>
      </c>
      <c r="V925" s="1620"/>
      <c r="W925" s="1620"/>
      <c r="X925" s="1620"/>
      <c r="Y925" s="1620"/>
      <c r="Z925" s="1621"/>
      <c r="AA925" s="1550"/>
      <c r="AB925" s="1551"/>
      <c r="AC925" s="1551"/>
      <c r="AD925" s="1551"/>
      <c r="AE925" s="1551"/>
      <c r="AF925" s="155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15" customHeight="1">
      <c r="F926" s="1664" t="s">
        <v>687</v>
      </c>
      <c r="G926" s="1665"/>
      <c r="H926" s="1665"/>
      <c r="I926" s="1665"/>
      <c r="J926" s="1665"/>
      <c r="K926" s="1665"/>
      <c r="L926" s="1665"/>
      <c r="M926" s="1665"/>
      <c r="N926" s="1665"/>
      <c r="O926" s="1665"/>
      <c r="P926" s="1665"/>
      <c r="Q926" s="1665"/>
      <c r="R926" s="1665"/>
      <c r="S926" s="1665"/>
      <c r="T926" s="1666"/>
      <c r="U926" s="1619" t="s">
        <v>599</v>
      </c>
      <c r="V926" s="1620"/>
      <c r="W926" s="1620"/>
      <c r="X926" s="1620"/>
      <c r="Y926" s="1620"/>
      <c r="Z926" s="1621"/>
      <c r="AA926" s="1550"/>
      <c r="AB926" s="1551"/>
      <c r="AC926" s="1551"/>
      <c r="AD926" s="1551"/>
      <c r="AE926" s="1551"/>
      <c r="AF926" s="155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15" customHeight="1">
      <c r="F927" s="1664" t="s">
        <v>2554</v>
      </c>
      <c r="G927" s="1665"/>
      <c r="H927" s="1665"/>
      <c r="I927" s="1665"/>
      <c r="J927" s="1665"/>
      <c r="K927" s="1665"/>
      <c r="L927" s="1665"/>
      <c r="M927" s="1665"/>
      <c r="N927" s="1665"/>
      <c r="O927" s="1665"/>
      <c r="P927" s="1665"/>
      <c r="Q927" s="1665"/>
      <c r="R927" s="1665"/>
      <c r="S927" s="1665"/>
      <c r="T927" s="1666"/>
      <c r="U927" s="1619" t="s">
        <v>599</v>
      </c>
      <c r="V927" s="1620"/>
      <c r="W927" s="1620"/>
      <c r="X927" s="1620"/>
      <c r="Y927" s="1620"/>
      <c r="Z927" s="1621"/>
      <c r="AA927" s="1550"/>
      <c r="AB927" s="1551"/>
      <c r="AC927" s="1551"/>
      <c r="AD927" s="1551"/>
      <c r="AE927" s="1551"/>
      <c r="AF927" s="155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15" customHeight="1">
      <c r="F928" s="1664" t="s">
        <v>2555</v>
      </c>
      <c r="G928" s="1665"/>
      <c r="H928" s="1665"/>
      <c r="I928" s="1665"/>
      <c r="J928" s="1665"/>
      <c r="K928" s="1665"/>
      <c r="L928" s="1665"/>
      <c r="M928" s="1665"/>
      <c r="N928" s="1665"/>
      <c r="O928" s="1665"/>
      <c r="P928" s="1665"/>
      <c r="Q928" s="1665"/>
      <c r="R928" s="1665"/>
      <c r="S928" s="1665"/>
      <c r="T928" s="1666"/>
      <c r="U928" s="1619" t="s">
        <v>599</v>
      </c>
      <c r="V928" s="1620"/>
      <c r="W928" s="1620"/>
      <c r="X928" s="1620"/>
      <c r="Y928" s="1620"/>
      <c r="Z928" s="1621"/>
      <c r="AA928" s="1550"/>
      <c r="AB928" s="1551"/>
      <c r="AC928" s="1551"/>
      <c r="AD928" s="1551"/>
      <c r="AE928" s="1551"/>
      <c r="AF928" s="155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15" customHeight="1">
      <c r="F929" s="1664" t="s">
        <v>2556</v>
      </c>
      <c r="G929" s="1665"/>
      <c r="H929" s="1665"/>
      <c r="I929" s="1665"/>
      <c r="J929" s="1665"/>
      <c r="K929" s="1665"/>
      <c r="L929" s="1665"/>
      <c r="M929" s="1665"/>
      <c r="N929" s="1665"/>
      <c r="O929" s="1665"/>
      <c r="P929" s="1665"/>
      <c r="Q929" s="1665"/>
      <c r="R929" s="1665"/>
      <c r="S929" s="1665"/>
      <c r="T929" s="1666"/>
      <c r="U929" s="1619" t="s">
        <v>599</v>
      </c>
      <c r="V929" s="1620"/>
      <c r="W929" s="1620"/>
      <c r="X929" s="1620"/>
      <c r="Y929" s="1620"/>
      <c r="Z929" s="1621"/>
      <c r="AA929" s="1550"/>
      <c r="AB929" s="1551"/>
      <c r="AC929" s="1551"/>
      <c r="AD929" s="1551"/>
      <c r="AE929" s="1551"/>
      <c r="AF929" s="155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15" customHeight="1">
      <c r="F930" s="1664" t="s">
        <v>2557</v>
      </c>
      <c r="G930" s="1665"/>
      <c r="H930" s="1665"/>
      <c r="I930" s="1665"/>
      <c r="J930" s="1665"/>
      <c r="K930" s="1665"/>
      <c r="L930" s="1665"/>
      <c r="M930" s="1665"/>
      <c r="N930" s="1665"/>
      <c r="O930" s="1665"/>
      <c r="P930" s="1665"/>
      <c r="Q930" s="1665"/>
      <c r="R930" s="1665"/>
      <c r="S930" s="1665"/>
      <c r="T930" s="1666"/>
      <c r="U930" s="1619" t="s">
        <v>599</v>
      </c>
      <c r="V930" s="1620"/>
      <c r="W930" s="1620"/>
      <c r="X930" s="1620"/>
      <c r="Y930" s="1620"/>
      <c r="Z930" s="1621"/>
      <c r="AA930" s="1550"/>
      <c r="AB930" s="1551"/>
      <c r="AC930" s="1551"/>
      <c r="AD930" s="1551"/>
      <c r="AE930" s="1551"/>
      <c r="AF930" s="155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15" customHeight="1">
      <c r="F931" s="1664" t="s">
        <v>2558</v>
      </c>
      <c r="G931" s="1665"/>
      <c r="H931" s="1665"/>
      <c r="I931" s="1665"/>
      <c r="J931" s="1665"/>
      <c r="K931" s="1665"/>
      <c r="L931" s="1665"/>
      <c r="M931" s="1665"/>
      <c r="N931" s="1665"/>
      <c r="O931" s="1665"/>
      <c r="P931" s="1665"/>
      <c r="Q931" s="1665"/>
      <c r="R931" s="1665"/>
      <c r="S931" s="1665"/>
      <c r="T931" s="1666"/>
      <c r="U931" s="1619" t="s">
        <v>599</v>
      </c>
      <c r="V931" s="1620"/>
      <c r="W931" s="1620"/>
      <c r="X931" s="1620"/>
      <c r="Y931" s="1620"/>
      <c r="Z931" s="1621"/>
      <c r="AA931" s="1550"/>
      <c r="AB931" s="1551"/>
      <c r="AC931" s="1551"/>
      <c r="AD931" s="1551"/>
      <c r="AE931" s="1551"/>
      <c r="AF931" s="155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15" customHeight="1">
      <c r="F932" s="187" t="s">
        <v>684</v>
      </c>
      <c r="G932" s="5"/>
      <c r="H932" s="5"/>
      <c r="I932" s="5"/>
      <c r="J932" s="5"/>
      <c r="K932" s="5"/>
      <c r="L932" s="5"/>
      <c r="M932" s="5"/>
      <c r="N932" s="5"/>
      <c r="O932" s="5"/>
      <c r="P932" s="5"/>
      <c r="Q932" s="5"/>
      <c r="R932" s="5"/>
      <c r="S932" s="5"/>
      <c r="T932" s="46"/>
      <c r="U932" s="1619" t="s">
        <v>599</v>
      </c>
      <c r="V932" s="1620"/>
      <c r="W932" s="1620"/>
      <c r="X932" s="1620"/>
      <c r="Y932" s="1620"/>
      <c r="Z932" s="1621"/>
      <c r="AA932" s="1550"/>
      <c r="AB932" s="1551"/>
      <c r="AC932" s="1551"/>
      <c r="AD932" s="1551"/>
      <c r="AE932" s="1551"/>
      <c r="AF932" s="155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15" customHeight="1">
      <c r="F933" s="121" t="s">
        <v>1385</v>
      </c>
      <c r="G933" s="5"/>
      <c r="H933" s="5"/>
      <c r="I933" s="5"/>
      <c r="J933" s="5"/>
      <c r="K933" s="5"/>
      <c r="L933" s="5"/>
      <c r="M933" s="5"/>
      <c r="N933" s="5"/>
      <c r="O933" s="5"/>
      <c r="P933" s="5"/>
      <c r="Q933" s="5"/>
      <c r="R933" s="5"/>
      <c r="S933" s="5"/>
      <c r="T933" s="46"/>
      <c r="U933" s="1619" t="s">
        <v>599</v>
      </c>
      <c r="V933" s="1620"/>
      <c r="W933" s="1620"/>
      <c r="X933" s="1620"/>
      <c r="Y933" s="1620"/>
      <c r="Z933" s="1621"/>
      <c r="AA933" s="1550"/>
      <c r="AB933" s="1551"/>
      <c r="AC933" s="1551"/>
      <c r="AD933" s="1551"/>
      <c r="AE933" s="1551"/>
      <c r="AF933" s="155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15" customHeight="1">
      <c r="F934" s="66" t="s">
        <v>811</v>
      </c>
      <c r="G934" s="5"/>
      <c r="H934" s="5"/>
      <c r="I934" s="5"/>
      <c r="J934" s="5"/>
      <c r="K934" s="5"/>
      <c r="L934" s="5"/>
      <c r="M934" s="5"/>
      <c r="N934" s="5"/>
      <c r="O934" s="5"/>
      <c r="P934" s="5"/>
      <c r="Q934" s="5"/>
      <c r="R934" s="5"/>
      <c r="S934" s="5"/>
      <c r="T934" s="46"/>
      <c r="U934" s="1619" t="s">
        <v>599</v>
      </c>
      <c r="V934" s="1620"/>
      <c r="W934" s="1620"/>
      <c r="X934" s="1620"/>
      <c r="Y934" s="1620"/>
      <c r="Z934" s="1621"/>
      <c r="AA934" s="1550"/>
      <c r="AB934" s="1551"/>
      <c r="AC934" s="1551"/>
      <c r="AD934" s="1551"/>
      <c r="AE934" s="1551"/>
      <c r="AF934" s="155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15" customHeight="1">
      <c r="F935" s="1735" t="s">
        <v>2562</v>
      </c>
      <c r="G935" s="1736"/>
      <c r="H935" s="1736"/>
      <c r="I935" s="1736"/>
      <c r="J935" s="1736"/>
      <c r="K935" s="1736"/>
      <c r="L935" s="1736"/>
      <c r="M935" s="1736"/>
      <c r="N935" s="1736"/>
      <c r="O935" s="1736"/>
      <c r="P935" s="1736"/>
      <c r="Q935" s="1736"/>
      <c r="R935" s="1736"/>
      <c r="S935" s="1736"/>
      <c r="T935" s="1737"/>
      <c r="U935" s="1619" t="s">
        <v>599</v>
      </c>
      <c r="V935" s="1620"/>
      <c r="W935" s="1620"/>
      <c r="X935" s="1620"/>
      <c r="Y935" s="1620"/>
      <c r="Z935" s="1621"/>
      <c r="AA935" s="1550"/>
      <c r="AB935" s="1551"/>
      <c r="AC935" s="1551"/>
      <c r="AD935" s="1551"/>
      <c r="AE935" s="1551"/>
      <c r="AF935" s="155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15" customHeight="1">
      <c r="F936" s="1735" t="s">
        <v>2563</v>
      </c>
      <c r="G936" s="1736"/>
      <c r="H936" s="1736"/>
      <c r="I936" s="1736"/>
      <c r="J936" s="1736"/>
      <c r="K936" s="1736"/>
      <c r="L936" s="1736"/>
      <c r="M936" s="1736"/>
      <c r="N936" s="1736"/>
      <c r="O936" s="1736"/>
      <c r="P936" s="1736"/>
      <c r="Q936" s="1736"/>
      <c r="R936" s="1736"/>
      <c r="S936" s="1736"/>
      <c r="T936" s="1737"/>
      <c r="U936" s="1619" t="s">
        <v>599</v>
      </c>
      <c r="V936" s="1620"/>
      <c r="W936" s="1620"/>
      <c r="X936" s="1620"/>
      <c r="Y936" s="1620"/>
      <c r="Z936" s="1621"/>
      <c r="AA936" s="1550"/>
      <c r="AB936" s="1551"/>
      <c r="AC936" s="1551"/>
      <c r="AD936" s="1551"/>
      <c r="AE936" s="1551"/>
      <c r="AF936" s="155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15" customHeight="1">
      <c r="F937" s="1664" t="s">
        <v>2559</v>
      </c>
      <c r="G937" s="1665"/>
      <c r="H937" s="1665"/>
      <c r="I937" s="1665"/>
      <c r="J937" s="1665"/>
      <c r="K937" s="1665"/>
      <c r="L937" s="1665"/>
      <c r="M937" s="1665"/>
      <c r="N937" s="1665"/>
      <c r="O937" s="1665"/>
      <c r="P937" s="1665"/>
      <c r="Q937" s="1665"/>
      <c r="R937" s="1665"/>
      <c r="S937" s="1665"/>
      <c r="T937" s="1666"/>
      <c r="U937" s="1619" t="s">
        <v>599</v>
      </c>
      <c r="V937" s="1620"/>
      <c r="W937" s="1620"/>
      <c r="X937" s="1620"/>
      <c r="Y937" s="1620"/>
      <c r="Z937" s="1621"/>
      <c r="AA937" s="1550"/>
      <c r="AB937" s="1551"/>
      <c r="AC937" s="1551"/>
      <c r="AD937" s="1551"/>
      <c r="AE937" s="1551"/>
      <c r="AF937" s="155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15" customHeight="1">
      <c r="F938" s="1664" t="s">
        <v>2560</v>
      </c>
      <c r="G938" s="1665"/>
      <c r="H938" s="1665"/>
      <c r="I938" s="1665"/>
      <c r="J938" s="1665"/>
      <c r="K938" s="1665"/>
      <c r="L938" s="1665"/>
      <c r="M938" s="1665"/>
      <c r="N938" s="1665"/>
      <c r="O938" s="1665"/>
      <c r="P938" s="1665"/>
      <c r="Q938" s="1665"/>
      <c r="R938" s="1665"/>
      <c r="S938" s="1665"/>
      <c r="T938" s="1666"/>
      <c r="U938" s="1619" t="s">
        <v>599</v>
      </c>
      <c r="V938" s="1620"/>
      <c r="W938" s="1620"/>
      <c r="X938" s="1620"/>
      <c r="Y938" s="1620"/>
      <c r="Z938" s="1621"/>
      <c r="AA938" s="1550"/>
      <c r="AB938" s="1551"/>
      <c r="AC938" s="1551"/>
      <c r="AD938" s="1551"/>
      <c r="AE938" s="1551"/>
      <c r="AF938" s="155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15" customHeight="1">
      <c r="F939" s="1664" t="s">
        <v>2561</v>
      </c>
      <c r="G939" s="1665"/>
      <c r="H939" s="1665"/>
      <c r="I939" s="1665"/>
      <c r="J939" s="1665"/>
      <c r="K939" s="1665"/>
      <c r="L939" s="1665"/>
      <c r="M939" s="1665"/>
      <c r="N939" s="1665"/>
      <c r="O939" s="1665"/>
      <c r="P939" s="1665"/>
      <c r="Q939" s="1665"/>
      <c r="R939" s="1665"/>
      <c r="S939" s="1665"/>
      <c r="T939" s="1666"/>
      <c r="U939" s="1619" t="s">
        <v>599</v>
      </c>
      <c r="V939" s="1620"/>
      <c r="W939" s="1620"/>
      <c r="X939" s="1620"/>
      <c r="Y939" s="1620"/>
      <c r="Z939" s="1621"/>
      <c r="AA939" s="1550"/>
      <c r="AB939" s="1551"/>
      <c r="AC939" s="1551"/>
      <c r="AD939" s="1551"/>
      <c r="AE939" s="1551"/>
      <c r="AF939" s="155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15" customHeight="1">
      <c r="F940" s="121" t="s">
        <v>1369</v>
      </c>
      <c r="G940" s="5"/>
      <c r="H940" s="5"/>
      <c r="I940" s="5"/>
      <c r="J940" s="5"/>
      <c r="K940" s="5"/>
      <c r="L940" s="5"/>
      <c r="M940" s="5"/>
      <c r="N940" s="5"/>
      <c r="O940" s="5"/>
      <c r="P940" s="5"/>
      <c r="Q940" s="5"/>
      <c r="R940" s="5"/>
      <c r="S940" s="5"/>
      <c r="T940" s="46"/>
      <c r="U940" s="1619" t="s">
        <v>599</v>
      </c>
      <c r="V940" s="1620"/>
      <c r="W940" s="1620"/>
      <c r="X940" s="1620"/>
      <c r="Y940" s="1620"/>
      <c r="Z940" s="1621"/>
      <c r="AA940" s="1550"/>
      <c r="AB940" s="1551"/>
      <c r="AC940" s="1551"/>
      <c r="AD940" s="1551"/>
      <c r="AE940" s="1551"/>
      <c r="AF940" s="155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15" customHeight="1">
      <c r="F941" s="1735" t="s">
        <v>2564</v>
      </c>
      <c r="G941" s="1736"/>
      <c r="H941" s="1736"/>
      <c r="I941" s="1736"/>
      <c r="J941" s="1736"/>
      <c r="K941" s="1736"/>
      <c r="L941" s="1736"/>
      <c r="M941" s="1736"/>
      <c r="N941" s="1736"/>
      <c r="O941" s="1736"/>
      <c r="P941" s="1736"/>
      <c r="Q941" s="1736"/>
      <c r="R941" s="1736"/>
      <c r="S941" s="1736"/>
      <c r="T941" s="1737"/>
      <c r="U941" s="1619" t="s">
        <v>599</v>
      </c>
      <c r="V941" s="1620"/>
      <c r="W941" s="1620"/>
      <c r="X941" s="1620"/>
      <c r="Y941" s="1620"/>
      <c r="Z941" s="1621"/>
      <c r="AA941" s="1550"/>
      <c r="AB941" s="1551"/>
      <c r="AC941" s="1551"/>
      <c r="AD941" s="1551"/>
      <c r="AE941" s="1551"/>
      <c r="AF941" s="155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15" customHeight="1">
      <c r="F942" s="121" t="s">
        <v>1370</v>
      </c>
      <c r="G942" s="5"/>
      <c r="H942" s="5"/>
      <c r="I942" s="5"/>
      <c r="J942" s="5"/>
      <c r="K942" s="5"/>
      <c r="L942" s="5"/>
      <c r="M942" s="5"/>
      <c r="N942" s="5"/>
      <c r="O942" s="5"/>
      <c r="P942" s="5"/>
      <c r="Q942" s="5"/>
      <c r="R942" s="5"/>
      <c r="S942" s="5"/>
      <c r="T942" s="46"/>
      <c r="U942" s="1619" t="s">
        <v>599</v>
      </c>
      <c r="V942" s="1620"/>
      <c r="W942" s="1620"/>
      <c r="X942" s="1620"/>
      <c r="Y942" s="1620"/>
      <c r="Z942" s="1621"/>
      <c r="AA942" s="1550"/>
      <c r="AB942" s="1551"/>
      <c r="AC942" s="1551"/>
      <c r="AD942" s="1551"/>
      <c r="AE942" s="1551"/>
      <c r="AF942" s="155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15" customHeight="1">
      <c r="F943" s="1735" t="s">
        <v>2565</v>
      </c>
      <c r="G943" s="1736"/>
      <c r="H943" s="1736"/>
      <c r="I943" s="1736"/>
      <c r="J943" s="1736"/>
      <c r="K943" s="1736"/>
      <c r="L943" s="1736"/>
      <c r="M943" s="1736"/>
      <c r="N943" s="1736"/>
      <c r="O943" s="1736"/>
      <c r="P943" s="1736"/>
      <c r="Q943" s="1736"/>
      <c r="R943" s="1736"/>
      <c r="S943" s="1736"/>
      <c r="T943" s="1737"/>
      <c r="U943" s="1619" t="s">
        <v>599</v>
      </c>
      <c r="V943" s="1620"/>
      <c r="W943" s="1620"/>
      <c r="X943" s="1620"/>
      <c r="Y943" s="1620"/>
      <c r="Z943" s="1621"/>
      <c r="AA943" s="1550"/>
      <c r="AB943" s="1551"/>
      <c r="AC943" s="1551"/>
      <c r="AD943" s="1551"/>
      <c r="AE943" s="1551"/>
      <c r="AF943" s="155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15" customHeight="1">
      <c r="F944" s="45" t="s">
        <v>815</v>
      </c>
      <c r="G944" s="5"/>
      <c r="H944" s="5"/>
      <c r="I944" s="5"/>
      <c r="J944" s="5"/>
      <c r="K944" s="5"/>
      <c r="L944" s="5"/>
      <c r="M944" s="5"/>
      <c r="N944" s="5"/>
      <c r="O944" s="5"/>
      <c r="P944" s="1619" t="s">
        <v>677</v>
      </c>
      <c r="Q944" s="1620"/>
      <c r="R944" s="1620"/>
      <c r="S944" s="1620"/>
      <c r="T944" s="1621"/>
      <c r="U944" s="1619" t="s">
        <v>599</v>
      </c>
      <c r="V944" s="1620"/>
      <c r="W944" s="1620"/>
      <c r="X944" s="1620"/>
      <c r="Y944" s="1620"/>
      <c r="Z944" s="1621"/>
      <c r="AA944" s="1550"/>
      <c r="AB944" s="1551"/>
      <c r="AC944" s="1551"/>
      <c r="AD944" s="1551"/>
      <c r="AE944" s="1551"/>
      <c r="AF944" s="155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15" customHeight="1">
      <c r="F945" s="1664" t="s">
        <v>2552</v>
      </c>
      <c r="G945" s="1665"/>
      <c r="H945" s="1666"/>
      <c r="I945" s="1546" t="s">
        <v>2715</v>
      </c>
      <c r="J945" s="1598"/>
      <c r="K945" s="1598"/>
      <c r="L945" s="1598"/>
      <c r="M945" s="1598"/>
      <c r="N945" s="1598"/>
      <c r="O945" s="1598"/>
      <c r="P945" s="1598"/>
      <c r="Q945" s="1598"/>
      <c r="R945" s="1598"/>
      <c r="S945" s="1598"/>
      <c r="T945" s="1658"/>
      <c r="U945" s="1619" t="s">
        <v>553</v>
      </c>
      <c r="V945" s="1620"/>
      <c r="W945" s="1620"/>
      <c r="X945" s="1620"/>
      <c r="Y945" s="1620"/>
      <c r="Z945" s="1621"/>
      <c r="AA945" s="1550">
        <v>24505863</v>
      </c>
      <c r="AB945" s="1551"/>
      <c r="AC945" s="1551"/>
      <c r="AD945" s="1551"/>
      <c r="AE945" s="1551"/>
      <c r="AF945" s="155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15" customHeight="1">
      <c r="F946" s="45" t="s">
        <v>86</v>
      </c>
      <c r="G946" s="48"/>
      <c r="H946" s="48"/>
      <c r="I946" s="1546" t="s">
        <v>2716</v>
      </c>
      <c r="J946" s="1598"/>
      <c r="K946" s="1598"/>
      <c r="L946" s="1598"/>
      <c r="M946" s="1598"/>
      <c r="N946" s="1598"/>
      <c r="O946" s="1598"/>
      <c r="P946" s="1598"/>
      <c r="Q946" s="1598"/>
      <c r="R946" s="1598"/>
      <c r="S946" s="1598"/>
      <c r="T946" s="1658"/>
      <c r="U946" s="1619" t="s">
        <v>553</v>
      </c>
      <c r="V946" s="1620"/>
      <c r="W946" s="1620"/>
      <c r="X946" s="1620"/>
      <c r="Y946" s="1620"/>
      <c r="Z946" s="1621"/>
      <c r="AA946" s="1550">
        <v>13994604</v>
      </c>
      <c r="AB946" s="1551"/>
      <c r="AC946" s="1551"/>
      <c r="AD946" s="1551"/>
      <c r="AE946" s="1551"/>
      <c r="AF946" s="155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15" customHeight="1">
      <c r="F947" s="45" t="s">
        <v>10</v>
      </c>
      <c r="G947" s="48"/>
      <c r="H947" s="48"/>
      <c r="I947" s="1546" t="s">
        <v>2646</v>
      </c>
      <c r="J947" s="1547"/>
      <c r="K947" s="1547"/>
      <c r="L947" s="1547"/>
      <c r="M947" s="1547"/>
      <c r="N947" s="1547"/>
      <c r="O947" s="1547"/>
      <c r="P947" s="1547"/>
      <c r="Q947" s="1547"/>
      <c r="R947" s="1547"/>
      <c r="S947" s="1547"/>
      <c r="T947" s="1548"/>
      <c r="U947" s="1619" t="s">
        <v>553</v>
      </c>
      <c r="V947" s="1620"/>
      <c r="W947" s="1620"/>
      <c r="X947" s="1620"/>
      <c r="Y947" s="1620"/>
      <c r="Z947" s="1621"/>
      <c r="AA947" s="1550">
        <v>5000000</v>
      </c>
      <c r="AB947" s="1551"/>
      <c r="AC947" s="1551"/>
      <c r="AD947" s="1551"/>
      <c r="AE947" s="1551"/>
      <c r="AF947" s="155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15" customHeight="1">
      <c r="F948" s="47" t="s">
        <v>170</v>
      </c>
      <c r="G948" s="48"/>
      <c r="H948" s="48"/>
      <c r="I948" s="1546" t="s">
        <v>2713</v>
      </c>
      <c r="J948" s="1547"/>
      <c r="K948" s="1547"/>
      <c r="L948" s="1547"/>
      <c r="M948" s="1547"/>
      <c r="N948" s="1547"/>
      <c r="O948" s="1547"/>
      <c r="P948" s="1547"/>
      <c r="Q948" s="1547"/>
      <c r="R948" s="1547"/>
      <c r="S948" s="1547"/>
      <c r="T948" s="1548"/>
      <c r="U948" s="1619" t="s">
        <v>553</v>
      </c>
      <c r="V948" s="1620"/>
      <c r="W948" s="1620"/>
      <c r="X948" s="1620"/>
      <c r="Y948" s="1620"/>
      <c r="Z948" s="1621"/>
      <c r="AA948" s="1550">
        <v>3175000</v>
      </c>
      <c r="AB948" s="1551"/>
      <c r="AC948" s="1551"/>
      <c r="AD948" s="1551"/>
      <c r="AE948" s="1551"/>
      <c r="AF948" s="155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15" customHeight="1">
      <c r="F949" s="47" t="s">
        <v>170</v>
      </c>
      <c r="G949" s="48"/>
      <c r="H949" s="48"/>
      <c r="I949" s="1587" t="s">
        <v>335</v>
      </c>
      <c r="J949" s="1547"/>
      <c r="K949" s="1547"/>
      <c r="L949" s="1547"/>
      <c r="M949" s="1547"/>
      <c r="N949" s="1547"/>
      <c r="O949" s="1547"/>
      <c r="P949" s="1547"/>
      <c r="Q949" s="1547"/>
      <c r="R949" s="1547"/>
      <c r="S949" s="1547"/>
      <c r="T949" s="1548"/>
      <c r="U949" s="1619" t="s">
        <v>599</v>
      </c>
      <c r="V949" s="1620"/>
      <c r="W949" s="1620"/>
      <c r="X949" s="1620"/>
      <c r="Y949" s="1620"/>
      <c r="Z949" s="1621"/>
      <c r="AA949" s="1550"/>
      <c r="AB949" s="1551"/>
      <c r="AC949" s="1551"/>
      <c r="AD949" s="1551"/>
      <c r="AE949" s="1551"/>
      <c r="AF949" s="155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1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1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1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1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15" customHeight="1">
      <c r="C954" s="66" t="s">
        <v>11</v>
      </c>
      <c r="D954" s="5"/>
      <c r="E954" s="5"/>
      <c r="F954" s="5"/>
      <c r="G954" s="5"/>
      <c r="H954" s="5"/>
      <c r="I954" s="5"/>
      <c r="J954" s="5"/>
      <c r="K954" s="5"/>
      <c r="L954" s="46"/>
      <c r="M954" s="1584"/>
      <c r="N954" s="1585"/>
      <c r="O954" s="1585"/>
      <c r="P954" s="1585"/>
      <c r="Q954" s="1585"/>
      <c r="R954" s="1585"/>
      <c r="S954" s="1586"/>
      <c r="U954" s="66" t="s">
        <v>11</v>
      </c>
      <c r="V954" s="5"/>
      <c r="W954" s="5"/>
      <c r="X954" s="5"/>
      <c r="Y954" s="5"/>
      <c r="Z954" s="5"/>
      <c r="AA954" s="5"/>
      <c r="AB954" s="5"/>
      <c r="AC954" s="5"/>
      <c r="AD954" s="46"/>
      <c r="AE954" s="1584"/>
      <c r="AF954" s="1585"/>
      <c r="AG954" s="1585"/>
      <c r="AH954" s="1585"/>
      <c r="AI954" s="1585"/>
      <c r="AJ954" s="1585"/>
      <c r="AK954" s="158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15" customHeight="1">
      <c r="C955" s="66" t="s">
        <v>12</v>
      </c>
      <c r="D955" s="5"/>
      <c r="E955" s="5"/>
      <c r="F955" s="5"/>
      <c r="G955" s="5"/>
      <c r="H955" s="5"/>
      <c r="I955" s="5"/>
      <c r="J955" s="5"/>
      <c r="K955" s="5"/>
      <c r="L955" s="46"/>
      <c r="M955" s="1648"/>
      <c r="N955" s="1649"/>
      <c r="O955" s="1649"/>
      <c r="P955" s="1649"/>
      <c r="Q955" s="1649"/>
      <c r="R955" s="1649"/>
      <c r="S955" s="1650"/>
      <c r="U955" s="66" t="s">
        <v>12</v>
      </c>
      <c r="V955" s="5"/>
      <c r="W955" s="5"/>
      <c r="X955" s="5"/>
      <c r="Y955" s="5"/>
      <c r="Z955" s="5"/>
      <c r="AA955" s="5"/>
      <c r="AB955" s="5"/>
      <c r="AC955" s="5"/>
      <c r="AD955" s="46"/>
      <c r="AE955" s="1648"/>
      <c r="AF955" s="1649"/>
      <c r="AG955" s="1649"/>
      <c r="AH955" s="1649"/>
      <c r="AI955" s="1649"/>
      <c r="AJ955" s="1649"/>
      <c r="AK955" s="165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15" customHeight="1">
      <c r="C956" s="66" t="s">
        <v>892</v>
      </c>
      <c r="D956" s="5"/>
      <c r="E956" s="5"/>
      <c r="J956" s="1568" t="s">
        <v>308</v>
      </c>
      <c r="K956" s="1569"/>
      <c r="L956" s="1569"/>
      <c r="M956" s="1569"/>
      <c r="N956" s="1569"/>
      <c r="O956" s="1569"/>
      <c r="P956" s="1569"/>
      <c r="Q956" s="1569"/>
      <c r="R956" s="1569"/>
      <c r="S956" s="1570"/>
      <c r="U956" s="66" t="s">
        <v>892</v>
      </c>
      <c r="V956" s="5"/>
      <c r="W956" s="5"/>
      <c r="AB956" s="1568" t="s">
        <v>308</v>
      </c>
      <c r="AC956" s="1569"/>
      <c r="AD956" s="1569"/>
      <c r="AE956" s="1569"/>
      <c r="AF956" s="1569"/>
      <c r="AG956" s="1569"/>
      <c r="AH956" s="1569"/>
      <c r="AI956" s="1569"/>
      <c r="AJ956" s="1569"/>
      <c r="AK956" s="157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15" customHeight="1">
      <c r="C957" s="66" t="s">
        <v>13</v>
      </c>
      <c r="D957" s="5"/>
      <c r="E957" s="5"/>
      <c r="F957" s="5"/>
      <c r="G957" s="5"/>
      <c r="H957" s="5"/>
      <c r="I957" s="5"/>
      <c r="J957" s="5"/>
      <c r="K957" s="5"/>
      <c r="L957" s="46"/>
      <c r="M957" s="1639"/>
      <c r="N957" s="1623"/>
      <c r="O957" s="1623"/>
      <c r="P957" s="1623"/>
      <c r="Q957" s="1623"/>
      <c r="R957" s="1623"/>
      <c r="S957" s="1624"/>
      <c r="U957" s="66" t="s">
        <v>13</v>
      </c>
      <c r="V957" s="5"/>
      <c r="W957" s="5"/>
      <c r="X957" s="5"/>
      <c r="Y957" s="5"/>
      <c r="Z957" s="5"/>
      <c r="AA957" s="5"/>
      <c r="AB957" s="5"/>
      <c r="AC957" s="5"/>
      <c r="AD957" s="46"/>
      <c r="AE957" s="1622"/>
      <c r="AF957" s="1623"/>
      <c r="AG957" s="1623"/>
      <c r="AH957" s="1623"/>
      <c r="AI957" s="1623"/>
      <c r="AJ957" s="1623"/>
      <c r="AK957" s="162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15" customHeight="1">
      <c r="C958" s="66" t="s">
        <v>14</v>
      </c>
      <c r="D958" s="5"/>
      <c r="E958" s="5"/>
      <c r="F958" s="5"/>
      <c r="G958" s="5"/>
      <c r="H958" s="5"/>
      <c r="I958" s="5"/>
      <c r="J958" s="5"/>
      <c r="K958" s="5"/>
      <c r="L958" s="46"/>
      <c r="M958" s="1595"/>
      <c r="N958" s="1596"/>
      <c r="O958" s="1596"/>
      <c r="P958" s="1596"/>
      <c r="Q958" s="1596"/>
      <c r="R958" s="1596"/>
      <c r="S958" s="1597"/>
      <c r="U958" s="66" t="s">
        <v>14</v>
      </c>
      <c r="V958" s="5"/>
      <c r="W958" s="5"/>
      <c r="X958" s="5"/>
      <c r="Y958" s="5"/>
      <c r="Z958" s="5"/>
      <c r="AA958" s="5"/>
      <c r="AB958" s="5"/>
      <c r="AC958" s="5"/>
      <c r="AD958" s="46"/>
      <c r="AE958" s="1595"/>
      <c r="AF958" s="1596"/>
      <c r="AG958" s="1596"/>
      <c r="AH958" s="1596"/>
      <c r="AI958" s="1596"/>
      <c r="AJ958" s="1596"/>
      <c r="AK958" s="159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15" customHeight="1">
      <c r="C959" s="66" t="s">
        <v>15</v>
      </c>
      <c r="D959" s="5"/>
      <c r="E959" s="5"/>
      <c r="F959" s="5"/>
      <c r="G959" s="5"/>
      <c r="H959" s="5"/>
      <c r="I959" s="5"/>
      <c r="J959" s="5"/>
      <c r="K959" s="5"/>
      <c r="L959" s="46"/>
      <c r="M959" s="1550"/>
      <c r="N959" s="1551"/>
      <c r="O959" s="1551"/>
      <c r="P959" s="1551"/>
      <c r="Q959" s="1551"/>
      <c r="R959" s="1551"/>
      <c r="S959" s="1552"/>
      <c r="U959" s="66" t="s">
        <v>15</v>
      </c>
      <c r="V959" s="5"/>
      <c r="W959" s="5"/>
      <c r="X959" s="5"/>
      <c r="Y959" s="5"/>
      <c r="Z959" s="5"/>
      <c r="AA959" s="5"/>
      <c r="AB959" s="5"/>
      <c r="AC959" s="5"/>
      <c r="AD959" s="46"/>
      <c r="AE959" s="1550"/>
      <c r="AF959" s="1551"/>
      <c r="AG959" s="1551"/>
      <c r="AH959" s="1551"/>
      <c r="AI959" s="1551"/>
      <c r="AJ959" s="1551"/>
      <c r="AK959" s="155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15" customHeight="1">
      <c r="C960" s="66" t="s">
        <v>16</v>
      </c>
      <c r="D960" s="5"/>
      <c r="E960" s="5"/>
      <c r="F960" s="5"/>
      <c r="G960" s="5"/>
      <c r="H960" s="5"/>
      <c r="I960" s="5"/>
      <c r="J960" s="5"/>
      <c r="K960" s="5"/>
      <c r="L960" s="46"/>
      <c r="M960" s="1550"/>
      <c r="N960" s="1551"/>
      <c r="O960" s="1551"/>
      <c r="P960" s="1551"/>
      <c r="Q960" s="1551"/>
      <c r="R960" s="1551"/>
      <c r="S960" s="1552"/>
      <c r="U960" s="66" t="s">
        <v>16</v>
      </c>
      <c r="V960" s="5"/>
      <c r="W960" s="5"/>
      <c r="X960" s="5"/>
      <c r="Y960" s="5"/>
      <c r="Z960" s="5"/>
      <c r="AA960" s="5"/>
      <c r="AB960" s="5"/>
      <c r="AC960" s="5"/>
      <c r="AD960" s="46"/>
      <c r="AE960" s="1550"/>
      <c r="AF960" s="1551"/>
      <c r="AG960" s="1551"/>
      <c r="AH960" s="1551"/>
      <c r="AI960" s="1551"/>
      <c r="AJ960" s="1551"/>
      <c r="AK960" s="155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15" customHeight="1">
      <c r="C961" s="121" t="s">
        <v>1773</v>
      </c>
      <c r="D961" s="5"/>
      <c r="E961" s="5"/>
      <c r="F961" s="5"/>
      <c r="G961" s="5"/>
      <c r="H961" s="5"/>
      <c r="I961" s="5"/>
      <c r="J961" s="5"/>
      <c r="K961" s="5"/>
      <c r="L961" s="46"/>
      <c r="M961" s="1581"/>
      <c r="N961" s="1582"/>
      <c r="O961" s="1582"/>
      <c r="P961" s="1582"/>
      <c r="Q961" s="1582"/>
      <c r="R961" s="1582"/>
      <c r="S961" s="1583"/>
      <c r="U961" s="121" t="s">
        <v>1773</v>
      </c>
      <c r="V961" s="5"/>
      <c r="W961" s="5"/>
      <c r="X961" s="5"/>
      <c r="Y961" s="5"/>
      <c r="Z961" s="5"/>
      <c r="AA961" s="5"/>
      <c r="AB961" s="5"/>
      <c r="AC961" s="5"/>
      <c r="AD961" s="46"/>
      <c r="AE961" s="1581"/>
      <c r="AF961" s="1582"/>
      <c r="AG961" s="1582"/>
      <c r="AH961" s="1582"/>
      <c r="AI961" s="1582"/>
      <c r="AJ961" s="1582"/>
      <c r="AK961" s="158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1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1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1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1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15" customHeight="1">
      <c r="A966"/>
      <c r="B966"/>
      <c r="C966"/>
      <c r="D966"/>
      <c r="E966"/>
      <c r="F966" s="45" t="s">
        <v>579</v>
      </c>
      <c r="G966" s="5"/>
      <c r="H966" s="5"/>
      <c r="I966" s="5"/>
      <c r="J966" s="5"/>
      <c r="K966" s="5"/>
      <c r="L966" s="46"/>
      <c r="M966" s="1540"/>
      <c r="N966" s="1541"/>
      <c r="O966" s="1541"/>
      <c r="P966" s="1541"/>
      <c r="Q966" s="1541"/>
      <c r="R966" s="1541"/>
      <c r="S966" s="1542"/>
      <c r="T966" s="66" t="s">
        <v>799</v>
      </c>
      <c r="U966" s="5"/>
      <c r="V966" s="5"/>
      <c r="W966" s="5"/>
      <c r="X966" s="5"/>
      <c r="Y966" s="5"/>
      <c r="Z966" s="46"/>
      <c r="AA966" s="1540"/>
      <c r="AB966" s="1541"/>
      <c r="AC966" s="1541"/>
      <c r="AD966" s="1541"/>
      <c r="AE966" s="1541"/>
      <c r="AF966" s="1541"/>
      <c r="AG966" s="15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15" customHeight="1">
      <c r="A967"/>
      <c r="B967"/>
      <c r="C967"/>
      <c r="D967"/>
      <c r="E967"/>
      <c r="F967" s="45" t="s">
        <v>580</v>
      </c>
      <c r="G967" s="5"/>
      <c r="H967" s="5"/>
      <c r="I967" s="5"/>
      <c r="J967" s="5"/>
      <c r="K967" s="5"/>
      <c r="L967" s="46"/>
      <c r="M967" s="1540"/>
      <c r="N967" s="1541"/>
      <c r="O967" s="1541"/>
      <c r="P967" s="1541"/>
      <c r="Q967" s="1541"/>
      <c r="R967" s="1541"/>
      <c r="S967" s="1542"/>
      <c r="T967" s="66" t="s">
        <v>798</v>
      </c>
      <c r="U967" s="5"/>
      <c r="V967" s="5"/>
      <c r="W967" s="5"/>
      <c r="X967" s="5"/>
      <c r="Y967" s="5"/>
      <c r="Z967" s="46"/>
      <c r="AA967" s="1540"/>
      <c r="AB967" s="1541"/>
      <c r="AC967" s="1541"/>
      <c r="AD967" s="1541"/>
      <c r="AE967" s="1541"/>
      <c r="AF967" s="1541"/>
      <c r="AG967" s="15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15" customHeight="1">
      <c r="A968"/>
      <c r="B968"/>
      <c r="C968"/>
      <c r="D968"/>
      <c r="E968"/>
      <c r="F968" s="45" t="s">
        <v>916</v>
      </c>
      <c r="G968" s="5"/>
      <c r="H968" s="5"/>
      <c r="I968" s="5"/>
      <c r="J968" s="5"/>
      <c r="K968" s="5"/>
      <c r="L968" s="46"/>
      <c r="M968" s="1660" t="s">
        <v>599</v>
      </c>
      <c r="N968" s="1661"/>
      <c r="O968" s="1661"/>
      <c r="P968" s="1661"/>
      <c r="Q968" s="1661"/>
      <c r="R968" s="1661"/>
      <c r="S968" s="1662"/>
      <c r="T968" s="45" t="s">
        <v>338</v>
      </c>
      <c r="U968" s="5"/>
      <c r="V968" s="5"/>
      <c r="W968" s="5"/>
      <c r="X968" s="5"/>
      <c r="Y968" s="5"/>
      <c r="Z968" s="46"/>
      <c r="AA968" s="1540"/>
      <c r="AB968" s="1541"/>
      <c r="AC968" s="1541"/>
      <c r="AD968" s="1541"/>
      <c r="AE968" s="1541"/>
      <c r="AF968" s="1541"/>
      <c r="AG968" s="15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15" customHeight="1">
      <c r="A969"/>
      <c r="B969"/>
      <c r="C969"/>
      <c r="D969"/>
      <c r="E969"/>
      <c r="F969" s="45" t="s">
        <v>581</v>
      </c>
      <c r="G969" s="5"/>
      <c r="H969" s="5"/>
      <c r="I969" s="5"/>
      <c r="J969" s="5"/>
      <c r="K969" s="5"/>
      <c r="L969" s="46"/>
      <c r="M969" s="1540"/>
      <c r="N969" s="1541"/>
      <c r="O969" s="1541"/>
      <c r="P969" s="1541"/>
      <c r="Q969" s="1541"/>
      <c r="R969" s="1541"/>
      <c r="S969" s="1542"/>
      <c r="T969" s="45" t="s">
        <v>339</v>
      </c>
      <c r="U969" s="5"/>
      <c r="V969" s="5"/>
      <c r="W969" s="5"/>
      <c r="X969" s="5"/>
      <c r="Y969" s="5"/>
      <c r="Z969" s="46"/>
      <c r="AA969" s="1540"/>
      <c r="AB969" s="1541"/>
      <c r="AC969" s="1541"/>
      <c r="AD969" s="1541"/>
      <c r="AE969" s="1541"/>
      <c r="AF969" s="1541"/>
      <c r="AG969" s="15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15" customHeight="1">
      <c r="A970"/>
      <c r="B970"/>
      <c r="C970"/>
      <c r="D970"/>
      <c r="E970"/>
      <c r="F970" s="45" t="s">
        <v>472</v>
      </c>
      <c r="G970" s="5"/>
      <c r="H970" s="5"/>
      <c r="I970" s="5"/>
      <c r="J970" s="5"/>
      <c r="K970" s="5"/>
      <c r="L970" s="46"/>
      <c r="M970" s="1540"/>
      <c r="N970" s="1541"/>
      <c r="O970" s="1541"/>
      <c r="P970" s="1541"/>
      <c r="Q970" s="1541"/>
      <c r="R970" s="1541"/>
      <c r="S970" s="1542"/>
      <c r="T970" s="45" t="s">
        <v>377</v>
      </c>
      <c r="U970" s="5"/>
      <c r="V970" s="5"/>
      <c r="W970" s="5"/>
      <c r="X970" s="5"/>
      <c r="Y970" s="5"/>
      <c r="Z970" s="46"/>
      <c r="AA970" s="1540"/>
      <c r="AB970" s="1541"/>
      <c r="AC970" s="1541"/>
      <c r="AD970" s="1541"/>
      <c r="AE970" s="1541"/>
      <c r="AF970" s="1541"/>
      <c r="AG970" s="15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15" customHeight="1">
      <c r="A971"/>
      <c r="B971"/>
      <c r="C971"/>
      <c r="D971"/>
      <c r="E971"/>
      <c r="F971" s="260" t="s">
        <v>892</v>
      </c>
      <c r="G971" s="42"/>
      <c r="H971" s="42"/>
      <c r="I971" s="42"/>
      <c r="J971" s="42"/>
      <c r="K971" s="42"/>
      <c r="L971" s="58"/>
      <c r="M971" s="1568" t="s">
        <v>308</v>
      </c>
      <c r="N971" s="1569"/>
      <c r="O971" s="1569"/>
      <c r="P971" s="1569"/>
      <c r="Q971" s="1569"/>
      <c r="R971" s="1569"/>
      <c r="S971" s="1570"/>
      <c r="T971" s="1645"/>
      <c r="U971" s="1646"/>
      <c r="V971" s="1646"/>
      <c r="W971" s="1646"/>
      <c r="X971" s="1646"/>
      <c r="Y971" s="1646"/>
      <c r="Z971" s="1647"/>
      <c r="AA971" s="1540"/>
      <c r="AB971" s="1541"/>
      <c r="AC971" s="1541"/>
      <c r="AD971" s="1541"/>
      <c r="AE971" s="1541"/>
      <c r="AF971" s="1541"/>
      <c r="AG971" s="15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15" customHeight="1">
      <c r="A972"/>
      <c r="B972"/>
      <c r="C972"/>
      <c r="D972"/>
      <c r="E972"/>
      <c r="F972" s="41" t="s">
        <v>473</v>
      </c>
      <c r="G972" s="42"/>
      <c r="H972" s="42"/>
      <c r="I972" s="42"/>
      <c r="J972" s="42"/>
      <c r="K972" s="42"/>
      <c r="L972" s="58"/>
      <c r="M972" s="1540"/>
      <c r="N972" s="1541"/>
      <c r="O972" s="1541"/>
      <c r="P972" s="1541"/>
      <c r="Q972" s="1541"/>
      <c r="R972" s="1541"/>
      <c r="S972" s="1542"/>
      <c r="T972" s="1645"/>
      <c r="U972" s="1646"/>
      <c r="V972" s="1646"/>
      <c r="W972" s="1646"/>
      <c r="X972" s="1646"/>
      <c r="Y972" s="1646"/>
      <c r="Z972" s="1647"/>
      <c r="AA972" s="1540"/>
      <c r="AB972" s="1541"/>
      <c r="AC972" s="1541"/>
      <c r="AD972" s="1541"/>
      <c r="AE972" s="1541"/>
      <c r="AF972" s="1541"/>
      <c r="AG972" s="15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41" t="s">
        <v>337</v>
      </c>
      <c r="G973" s="42"/>
      <c r="H973" s="42"/>
      <c r="I973" s="42"/>
      <c r="J973" s="42"/>
      <c r="K973" s="42"/>
      <c r="L973" s="42"/>
      <c r="M973" s="42"/>
      <c r="N973" s="42"/>
      <c r="O973" s="1689" t="s">
        <v>677</v>
      </c>
      <c r="P973" s="1690"/>
      <c r="Q973" s="92"/>
      <c r="R973" s="92"/>
      <c r="S973" s="93"/>
      <c r="T973" s="41" t="s">
        <v>170</v>
      </c>
      <c r="U973" s="42"/>
      <c r="V973" s="42"/>
      <c r="W973" s="1719" t="s">
        <v>335</v>
      </c>
      <c r="X973" s="1720"/>
      <c r="Y973" s="1720"/>
      <c r="Z973" s="1720"/>
      <c r="AA973" s="1720"/>
      <c r="AB973" s="1720"/>
      <c r="AC973" s="1720"/>
      <c r="AD973" s="1720"/>
      <c r="AE973" s="1720"/>
      <c r="AF973" s="1720"/>
      <c r="AG973" s="172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15" customHeight="1">
      <c r="F974" s="1738" t="s">
        <v>33</v>
      </c>
      <c r="G974" s="1464"/>
      <c r="H974" s="1464"/>
      <c r="I974" s="1464"/>
      <c r="J974" s="1464"/>
      <c r="K974" s="1464"/>
      <c r="L974" s="1464"/>
      <c r="M974" s="1540"/>
      <c r="N974" s="1541"/>
      <c r="O974" s="1541"/>
      <c r="P974" s="1541"/>
      <c r="Q974" s="1541"/>
      <c r="R974" s="1541"/>
      <c r="S974" s="1542"/>
      <c r="T974" s="47"/>
      <c r="U974" s="48"/>
      <c r="V974" s="48"/>
      <c r="W974" s="48"/>
      <c r="X974" s="48"/>
      <c r="Y974" s="48"/>
      <c r="Z974" s="124" t="s">
        <v>134</v>
      </c>
      <c r="AA974" s="1655"/>
      <c r="AB974" s="1656"/>
      <c r="AC974" s="1656"/>
      <c r="AD974" s="1656"/>
      <c r="AE974" s="1656"/>
      <c r="AF974" s="1656"/>
      <c r="AG974" s="165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15" customHeight="1">
      <c r="AU975" s="68"/>
      <c r="AV975" s="68"/>
      <c r="AW975" s="68"/>
      <c r="AX975" s="68"/>
      <c r="AY975" s="68"/>
      <c r="AZ975" s="14"/>
      <c r="BA975" s="14"/>
      <c r="BB975" s="14"/>
      <c r="BC975" s="14"/>
      <c r="BD975" s="14"/>
      <c r="BE975" s="14"/>
      <c r="BF975" s="14"/>
      <c r="BG975" s="1643"/>
      <c r="BH975" s="1643"/>
      <c r="BI975" s="1643"/>
      <c r="BJ975" s="1643"/>
      <c r="BK975" s="1643"/>
      <c r="BL975" s="164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1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1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15" customHeight="1">
      <c r="A978" s="1439" t="s">
        <v>556</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1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1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1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1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1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15" customHeight="1">
      <c r="A984" s="67"/>
      <c r="B984" s="79"/>
      <c r="C984" s="963"/>
      <c r="D984" s="1553" t="s">
        <v>646</v>
      </c>
      <c r="E984" s="1554"/>
      <c r="F984" s="1554"/>
      <c r="G984" s="1554"/>
      <c r="H984" s="1554"/>
      <c r="I984" s="1554"/>
      <c r="J984" s="1554"/>
      <c r="K984" s="1554"/>
      <c r="L984" s="1554"/>
      <c r="M984" s="1554"/>
      <c r="N984" s="1554"/>
      <c r="O984" s="1554"/>
      <c r="P984" s="1554"/>
      <c r="Q984" s="1555"/>
      <c r="R984" s="1553" t="s">
        <v>647</v>
      </c>
      <c r="S984" s="1554"/>
      <c r="T984" s="1554"/>
      <c r="U984" s="1554"/>
      <c r="V984" s="1554"/>
      <c r="W984" s="1554"/>
      <c r="X984" s="1554"/>
      <c r="Y984" s="1554"/>
      <c r="Z984" s="1554"/>
      <c r="AA984" s="1555"/>
      <c r="AB984" s="1553" t="s">
        <v>648</v>
      </c>
      <c r="AC984" s="1554"/>
      <c r="AD984" s="1554"/>
      <c r="AE984" s="1554"/>
      <c r="AF984" s="1554"/>
      <c r="AG984" s="1554"/>
      <c r="AH984" s="1554"/>
      <c r="AI984" s="1555"/>
      <c r="AJ984" s="1553" t="s">
        <v>649</v>
      </c>
      <c r="AK984" s="1554"/>
      <c r="AL984" s="1554"/>
      <c r="AM984" s="1554"/>
      <c r="AN984" s="1554"/>
      <c r="AO984" s="1554"/>
      <c r="AP984" s="1554"/>
      <c r="AQ984" s="155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15" customHeight="1">
      <c r="A985" s="14"/>
      <c r="B985" s="73"/>
      <c r="C985" s="964"/>
      <c r="D985" s="1405" t="s">
        <v>641</v>
      </c>
      <c r="E985" s="1406"/>
      <c r="F985" s="1406"/>
      <c r="G985" s="1406"/>
      <c r="H985" s="1406"/>
      <c r="I985" s="1406"/>
      <c r="J985" s="1406"/>
      <c r="K985" s="1406"/>
      <c r="L985" s="1406"/>
      <c r="M985" s="1406"/>
      <c r="N985" s="1406"/>
      <c r="O985" s="1406"/>
      <c r="P985" s="1406"/>
      <c r="Q985" s="1407"/>
      <c r="R985" s="1506">
        <f>IF(ISNA(IF($BN$796="4%",(INDEX($BP$806:$BT$863,MATCH($CB$796,$BO$806:$BO$863,0),MATCH(D985,$BP$805:$BT$805,0))),(INDEX($BW$806:$CA$863,MATCH($CB$796,$BV$806:$BV$863,0),MATCH(D985,$BW$805:$CA$805,0))))),0,IF($BN$796="4%",(INDEX($BP$806:$BT$863,MATCH($CB$796,$BO$806:$BO$863,0),MATCH(D985,$BP$805:$BT$805,0))),(INDEX($BW$806:$CA$863,MATCH($CB$796,$BV$806:$BV$863,0),MATCH(D985,$BW$805:$CA$805,0)))))</f>
        <v>353173</v>
      </c>
      <c r="S985" s="1506"/>
      <c r="T985" s="1506"/>
      <c r="U985" s="1506"/>
      <c r="V985" s="1506"/>
      <c r="W985" s="1506"/>
      <c r="X985" s="1506"/>
      <c r="Y985" s="1506"/>
      <c r="Z985" s="1506"/>
      <c r="AA985" s="1506"/>
      <c r="AB985" s="1408">
        <f>BN660</f>
        <v>0</v>
      </c>
      <c r="AC985" s="1409"/>
      <c r="AD985" s="1409"/>
      <c r="AE985" s="1409"/>
      <c r="AF985" s="1409"/>
      <c r="AG985" s="1409"/>
      <c r="AH985" s="1409"/>
      <c r="AI985" s="1410"/>
      <c r="AJ985" s="1514">
        <f>IF(ISERROR((R985*AB985)),0,(R985*AB985))</f>
        <v>0</v>
      </c>
      <c r="AK985" s="1515"/>
      <c r="AL985" s="1515"/>
      <c r="AM985" s="1515"/>
      <c r="AN985" s="1515"/>
      <c r="AO985" s="1515"/>
      <c r="AP985" s="1515"/>
      <c r="AQ985" s="151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15" customHeight="1">
      <c r="A986" s="14"/>
      <c r="B986" s="73"/>
      <c r="C986" s="83"/>
      <c r="D986" s="1405" t="s">
        <v>326</v>
      </c>
      <c r="E986" s="1406"/>
      <c r="F986" s="1406"/>
      <c r="G986" s="1406"/>
      <c r="H986" s="1406"/>
      <c r="I986" s="1406"/>
      <c r="J986" s="1406"/>
      <c r="K986" s="1406"/>
      <c r="L986" s="1406"/>
      <c r="M986" s="1406"/>
      <c r="N986" s="1406"/>
      <c r="O986" s="1406"/>
      <c r="P986" s="1406"/>
      <c r="Q986" s="1407"/>
      <c r="R986" s="1506">
        <f>IF(ISNA(IF($BN$796="4%",(INDEX($BP$806:$BT$863,MATCH($CB$796,$BO$806:$BO$863,0),MATCH(D986,$BP$805:$BT$805,0))),(INDEX($BW$806:$CA$863,MATCH($CB$796,$BV$806:$BV$863,0),MATCH(D986,$BW$805:$CA$805,0))))),0,IF($BN$796="4%",(INDEX($BP$806:$BT$863,MATCH($CB$796,$BO$806:$BO$863,0),MATCH(D986,$BP$805:$BT$805,0))),(INDEX($BW$806:$CA$863,MATCH($CB$796,$BV$806:$BV$863,0),MATCH(D986,$BW$805:$CA$805,0)))))</f>
        <v>407205</v>
      </c>
      <c r="S986" s="1506"/>
      <c r="T986" s="1506"/>
      <c r="U986" s="1506"/>
      <c r="V986" s="1506"/>
      <c r="W986" s="1506"/>
      <c r="X986" s="1506"/>
      <c r="Y986" s="1506"/>
      <c r="Z986" s="1506"/>
      <c r="AA986" s="1506"/>
      <c r="AB986" s="1408">
        <f>BS660</f>
        <v>35</v>
      </c>
      <c r="AC986" s="1409"/>
      <c r="AD986" s="1409"/>
      <c r="AE986" s="1409"/>
      <c r="AF986" s="1409"/>
      <c r="AG986" s="1409"/>
      <c r="AH986" s="1409"/>
      <c r="AI986" s="1410"/>
      <c r="AJ986" s="1514">
        <f>IF(ISERROR((R986*AB986)),0,(R986*AB986))</f>
        <v>14252175</v>
      </c>
      <c r="AK986" s="1515"/>
      <c r="AL986" s="1515"/>
      <c r="AM986" s="1515"/>
      <c r="AN986" s="1515"/>
      <c r="AO986" s="1515"/>
      <c r="AP986" s="1515"/>
      <c r="AQ986" s="151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15" customHeight="1">
      <c r="A987" s="14"/>
      <c r="B987" s="73"/>
      <c r="C987" s="83"/>
      <c r="D987" s="1405" t="s">
        <v>163</v>
      </c>
      <c r="E987" s="1406"/>
      <c r="F987" s="1406"/>
      <c r="G987" s="1406"/>
      <c r="H987" s="1406"/>
      <c r="I987" s="1406"/>
      <c r="J987" s="1406"/>
      <c r="K987" s="1406"/>
      <c r="L987" s="1406"/>
      <c r="M987" s="1406"/>
      <c r="N987" s="1406"/>
      <c r="O987" s="1406"/>
      <c r="P987" s="1406"/>
      <c r="Q987" s="1407"/>
      <c r="R987" s="1506">
        <f>IF(ISNA(IF($BN$796="4%",(INDEX($BP$806:$BT$863,MATCH($CB$796,$BO$806:$BO$863,0),MATCH(D987,$BP$805:$BT$805,0))),(INDEX($BW$806:$CA$863,MATCH($CB$796,$BV$806:$BV$863,0),MATCH(D987,$BW$805:$CA$805,0))))),0,IF($BN$796="4%",(INDEX($BP$806:$BT$863,MATCH($CB$796,$BO$806:$BO$863,0),MATCH(D987,$BP$805:$BT$805,0))),(INDEX($BW$806:$CA$863,MATCH($CB$796,$BV$806:$BV$863,0),MATCH(D987,$BW$805:$CA$805,0)))))</f>
        <v>491200</v>
      </c>
      <c r="S987" s="1506"/>
      <c r="T987" s="1506"/>
      <c r="U987" s="1506"/>
      <c r="V987" s="1506"/>
      <c r="W987" s="1506"/>
      <c r="X987" s="1506"/>
      <c r="Y987" s="1506"/>
      <c r="Z987" s="1506"/>
      <c r="AA987" s="1506"/>
      <c r="AB987" s="1408">
        <f>BX660</f>
        <v>28</v>
      </c>
      <c r="AC987" s="1409"/>
      <c r="AD987" s="1409"/>
      <c r="AE987" s="1409"/>
      <c r="AF987" s="1409"/>
      <c r="AG987" s="1409"/>
      <c r="AH987" s="1409"/>
      <c r="AI987" s="1410"/>
      <c r="AJ987" s="1514">
        <f>IF(ISERROR((R987*AB987)),0,(R987*AB987))</f>
        <v>13753600</v>
      </c>
      <c r="AK987" s="1515"/>
      <c r="AL987" s="1515"/>
      <c r="AM987" s="1515"/>
      <c r="AN987" s="1515"/>
      <c r="AO987" s="1515"/>
      <c r="AP987" s="1515"/>
      <c r="AQ987" s="151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15" customHeight="1">
      <c r="A988" s="14"/>
      <c r="B988" s="73"/>
      <c r="C988" s="83"/>
      <c r="D988" s="1405" t="s">
        <v>164</v>
      </c>
      <c r="E988" s="1406"/>
      <c r="F988" s="1406"/>
      <c r="G988" s="1406"/>
      <c r="H988" s="1406"/>
      <c r="I988" s="1406"/>
      <c r="J988" s="1406"/>
      <c r="K988" s="1406"/>
      <c r="L988" s="1406"/>
      <c r="M988" s="1406"/>
      <c r="N988" s="1406"/>
      <c r="O988" s="1406"/>
      <c r="P988" s="1406"/>
      <c r="Q988" s="1407"/>
      <c r="R988" s="1506">
        <f>IF(ISNA(IF($BN$796="4%",(INDEX($BP$806:$BT$863,MATCH($CB$796,$BO$806:$BO$863,0),MATCH(D988,$BP$805:$BT$805,0))),(INDEX($BW$806:$CA$863,MATCH($CB$796,$BV$806:$BV$863,0),MATCH(D988,$BW$805:$CA$805,0))))),0,IF($BN$796="4%",(INDEX($BP$806:$BT$863,MATCH($CB$796,$BO$806:$BO$863,0),MATCH(D988,$BP$805:$BT$805,0))),(INDEX($BW$806:$CA$863,MATCH($CB$796,$BV$806:$BV$863,0),MATCH(D988,$BW$805:$CA$805,0)))))</f>
        <v>628736</v>
      </c>
      <c r="S988" s="1506"/>
      <c r="T988" s="1506"/>
      <c r="U988" s="1506"/>
      <c r="V988" s="1506"/>
      <c r="W988" s="1506"/>
      <c r="X988" s="1506"/>
      <c r="Y988" s="1506"/>
      <c r="Z988" s="1506"/>
      <c r="AA988" s="1506"/>
      <c r="AB988" s="1408">
        <f>CC660</f>
        <v>35</v>
      </c>
      <c r="AC988" s="1409"/>
      <c r="AD988" s="1409"/>
      <c r="AE988" s="1409"/>
      <c r="AF988" s="1409"/>
      <c r="AG988" s="1409"/>
      <c r="AH988" s="1409"/>
      <c r="AI988" s="1410"/>
      <c r="AJ988" s="1514">
        <f>IF(ISERROR((R988*AB988)),0,(R988*AB988))</f>
        <v>22005760</v>
      </c>
      <c r="AK988" s="1515"/>
      <c r="AL988" s="1515"/>
      <c r="AM988" s="1515"/>
      <c r="AN988" s="1515"/>
      <c r="AO988" s="1515"/>
      <c r="AP988" s="1515"/>
      <c r="AQ988" s="151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15" customHeight="1">
      <c r="A989" s="14"/>
      <c r="B989" s="47"/>
      <c r="C989" s="78"/>
      <c r="D989" s="1405" t="s">
        <v>468</v>
      </c>
      <c r="E989" s="1406"/>
      <c r="F989" s="1406"/>
      <c r="G989" s="1406"/>
      <c r="H989" s="1406"/>
      <c r="I989" s="1406"/>
      <c r="J989" s="1406"/>
      <c r="K989" s="1406"/>
      <c r="L989" s="1406"/>
      <c r="M989" s="1406"/>
      <c r="N989" s="1406"/>
      <c r="O989" s="1406"/>
      <c r="P989" s="1406"/>
      <c r="Q989" s="1407"/>
      <c r="R989" s="1506">
        <f>IF(ISNA(IF($BN$796="4%",(INDEX($BP$806:$BT$863,MATCH($CB$796,$BO$806:$BO$863,0),MATCH(D989,$BP$805:$BT$805,0))),(INDEX($BW$806:$CA$863,MATCH($CB$796,$BV$806:$BV$863,0),MATCH(D989,$BW$805:$CA$805,0))))),0,IF($BN$796="4%",(INDEX($BP$806:$BT$863,MATCH($CB$796,$BO$806:$BO$863,0),MATCH(D989,$BP$805:$BT$805,0))),(INDEX($BW$806:$CA$863,MATCH($CB$796,$BV$806:$BV$863,0),MATCH(D989,$BW$805:$CA$805,0)))))</f>
        <v>700451</v>
      </c>
      <c r="S989" s="1506"/>
      <c r="T989" s="1506"/>
      <c r="U989" s="1506"/>
      <c r="V989" s="1506"/>
      <c r="W989" s="1506"/>
      <c r="X989" s="1506"/>
      <c r="Y989" s="1506"/>
      <c r="Z989" s="1506"/>
      <c r="AA989" s="1506"/>
      <c r="AB989" s="1408">
        <f>CM660+CH660</f>
        <v>0</v>
      </c>
      <c r="AC989" s="1409"/>
      <c r="AD989" s="1409"/>
      <c r="AE989" s="1409"/>
      <c r="AF989" s="1409"/>
      <c r="AG989" s="1409"/>
      <c r="AH989" s="1409"/>
      <c r="AI989" s="1410"/>
      <c r="AJ989" s="1514">
        <f>IF(ISERROR((R989*AB989)),0,(R989*AB989))</f>
        <v>0</v>
      </c>
      <c r="AK989" s="1515"/>
      <c r="AL989" s="1515"/>
      <c r="AM989" s="1515"/>
      <c r="AN989" s="1515"/>
      <c r="AO989" s="1515"/>
      <c r="AP989" s="1515"/>
      <c r="AQ989" s="151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15" customHeight="1">
      <c r="A990" s="14"/>
      <c r="B990" s="1591" t="s">
        <v>800</v>
      </c>
      <c r="C990" s="1592"/>
      <c r="D990" s="1592"/>
      <c r="E990" s="1592"/>
      <c r="F990" s="1592"/>
      <c r="G990" s="1592"/>
      <c r="H990" s="1592"/>
      <c r="I990" s="1592"/>
      <c r="J990" s="1592"/>
      <c r="K990" s="1592"/>
      <c r="L990" s="1592"/>
      <c r="M990" s="1592"/>
      <c r="N990" s="1592"/>
      <c r="O990" s="1592"/>
      <c r="P990" s="1592"/>
      <c r="Q990" s="1592"/>
      <c r="R990" s="1592"/>
      <c r="S990" s="1592"/>
      <c r="T990" s="1592"/>
      <c r="U990" s="1592"/>
      <c r="V990" s="1592"/>
      <c r="W990" s="1592"/>
      <c r="X990" s="1592"/>
      <c r="Y990" s="1592"/>
      <c r="Z990" s="1592"/>
      <c r="AA990" s="1593"/>
      <c r="AB990" s="1408">
        <f>SUM(AB985:AI989)</f>
        <v>98</v>
      </c>
      <c r="AC990" s="1409"/>
      <c r="AD990" s="1409"/>
      <c r="AE990" s="1409"/>
      <c r="AF990" s="1409"/>
      <c r="AG990" s="1409"/>
      <c r="AH990" s="1409"/>
      <c r="AI990" s="1410"/>
      <c r="AJ990" s="1514"/>
      <c r="AK990" s="1515"/>
      <c r="AL990" s="1515"/>
      <c r="AM990" s="1515"/>
      <c r="AN990" s="1515"/>
      <c r="AO990" s="1515"/>
      <c r="AP990" s="1515"/>
      <c r="AQ990" s="151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15" customHeight="1">
      <c r="A991" s="14"/>
      <c r="B991" s="1565" t="s">
        <v>520</v>
      </c>
      <c r="C991" s="1566"/>
      <c r="D991" s="1566"/>
      <c r="E991" s="1566"/>
      <c r="F991" s="1566"/>
      <c r="G991" s="1566"/>
      <c r="H991" s="1566"/>
      <c r="I991" s="1566"/>
      <c r="J991" s="1566"/>
      <c r="K991" s="1566"/>
      <c r="L991" s="1566"/>
      <c r="M991" s="1566"/>
      <c r="N991" s="1566"/>
      <c r="O991" s="1566"/>
      <c r="P991" s="1566"/>
      <c r="Q991" s="1566"/>
      <c r="R991" s="1566"/>
      <c r="S991" s="1566"/>
      <c r="T991" s="1566"/>
      <c r="U991" s="1566"/>
      <c r="V991" s="1566"/>
      <c r="W991" s="1566"/>
      <c r="X991" s="1566"/>
      <c r="Y991" s="1566"/>
      <c r="Z991" s="1566"/>
      <c r="AA991" s="1566"/>
      <c r="AB991" s="1566"/>
      <c r="AC991" s="1566"/>
      <c r="AD991" s="1566"/>
      <c r="AE991" s="1566"/>
      <c r="AF991" s="1566"/>
      <c r="AG991" s="1566"/>
      <c r="AH991" s="1566"/>
      <c r="AI991" s="1567"/>
      <c r="AJ991" s="1514">
        <f>SUM(AJ985:AQ989)</f>
        <v>50011535</v>
      </c>
      <c r="AK991" s="1515"/>
      <c r="AL991" s="1515"/>
      <c r="AM991" s="1515"/>
      <c r="AN991" s="1515"/>
      <c r="AO991" s="1515"/>
      <c r="AP991" s="1515"/>
      <c r="AQ991" s="151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15" customHeight="1">
      <c r="A992" s="14"/>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3" t="s">
        <v>674</v>
      </c>
      <c r="AG992" s="1524"/>
      <c r="AH992" s="1524"/>
      <c r="AI992" s="1525"/>
      <c r="AJ992" s="1517"/>
      <c r="AK992" s="1518"/>
      <c r="AL992" s="1518"/>
      <c r="AM992" s="1518"/>
      <c r="AN992" s="1518"/>
      <c r="AO992" s="1518"/>
      <c r="AP992" s="1518"/>
      <c r="AQ992" s="151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15" customHeight="1">
      <c r="A993" s="14"/>
      <c r="B993" s="73"/>
      <c r="C993" s="962" t="s">
        <v>676</v>
      </c>
      <c r="D993" s="1530" t="s">
        <v>1326</v>
      </c>
      <c r="E993" s="1531"/>
      <c r="F993" s="1531"/>
      <c r="G993" s="1531"/>
      <c r="H993" s="1531"/>
      <c r="I993" s="1531"/>
      <c r="J993" s="1531"/>
      <c r="K993" s="1531"/>
      <c r="L993" s="1531"/>
      <c r="M993" s="1531"/>
      <c r="N993" s="1531"/>
      <c r="O993" s="1531"/>
      <c r="P993" s="1531"/>
      <c r="Q993" s="1531"/>
      <c r="R993" s="1531"/>
      <c r="S993" s="1531"/>
      <c r="T993" s="1531"/>
      <c r="U993" s="1531"/>
      <c r="V993" s="1531"/>
      <c r="W993" s="1531"/>
      <c r="X993" s="1531"/>
      <c r="Y993" s="1531"/>
      <c r="Z993" s="1531"/>
      <c r="AA993" s="1531"/>
      <c r="AB993" s="1531"/>
      <c r="AC993" s="1531"/>
      <c r="AD993" s="1531"/>
      <c r="AE993" s="1532"/>
      <c r="AF993" s="79"/>
      <c r="AG993" s="1526" t="s">
        <v>677</v>
      </c>
      <c r="AH993" s="1527"/>
      <c r="AI993" s="87"/>
      <c r="AJ993" s="1413">
        <f>ROUND(IF(AND(AG993="yes",D999&gt;0),AJ991*0.2,0),0)</f>
        <v>0</v>
      </c>
      <c r="AK993" s="1414"/>
      <c r="AL993" s="1414"/>
      <c r="AM993" s="1414"/>
      <c r="AN993" s="1414"/>
      <c r="AO993" s="1414"/>
      <c r="AP993" s="1414"/>
      <c r="AQ993" s="141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15" customHeight="1">
      <c r="A994" s="14"/>
      <c r="B994" s="277"/>
      <c r="C994" s="276"/>
      <c r="D994" s="1588" t="s">
        <v>2566</v>
      </c>
      <c r="E994" s="1589"/>
      <c r="F994" s="1589"/>
      <c r="G994" s="1589"/>
      <c r="H994" s="1589"/>
      <c r="I994" s="1589"/>
      <c r="J994" s="1589"/>
      <c r="K994" s="1589"/>
      <c r="L994" s="1589"/>
      <c r="M994" s="1589"/>
      <c r="N994" s="1589"/>
      <c r="O994" s="1589"/>
      <c r="P994" s="1589"/>
      <c r="Q994" s="1589"/>
      <c r="R994" s="1589"/>
      <c r="S994" s="1589"/>
      <c r="T994" s="1589"/>
      <c r="U994" s="1589"/>
      <c r="V994" s="1589"/>
      <c r="W994" s="1589"/>
      <c r="X994" s="1589"/>
      <c r="Y994" s="1589"/>
      <c r="Z994" s="1589"/>
      <c r="AA994" s="1589"/>
      <c r="AB994" s="1589"/>
      <c r="AC994" s="1589"/>
      <c r="AD994" s="1589"/>
      <c r="AE994" s="1590"/>
      <c r="AF994" s="73"/>
      <c r="AG994" s="14"/>
      <c r="AH994" s="14"/>
      <c r="AI994" s="83"/>
      <c r="AJ994" s="1416"/>
      <c r="AK994" s="1417"/>
      <c r="AL994" s="1417"/>
      <c r="AM994" s="1417"/>
      <c r="AN994" s="1417"/>
      <c r="AO994" s="1417"/>
      <c r="AP994" s="1417"/>
      <c r="AQ994" s="141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15" customHeight="1">
      <c r="A995" s="14"/>
      <c r="B995" s="277"/>
      <c r="C995" s="276"/>
      <c r="D995" s="1588"/>
      <c r="E995" s="1589"/>
      <c r="F995" s="1589"/>
      <c r="G995" s="1589"/>
      <c r="H995" s="1589"/>
      <c r="I995" s="1589"/>
      <c r="J995" s="1589"/>
      <c r="K995" s="1589"/>
      <c r="L995" s="1589"/>
      <c r="M995" s="1589"/>
      <c r="N995" s="1589"/>
      <c r="O995" s="1589"/>
      <c r="P995" s="1589"/>
      <c r="Q995" s="1589"/>
      <c r="R995" s="1589"/>
      <c r="S995" s="1589"/>
      <c r="T995" s="1589"/>
      <c r="U995" s="1589"/>
      <c r="V995" s="1589"/>
      <c r="W995" s="1589"/>
      <c r="X995" s="1589"/>
      <c r="Y995" s="1589"/>
      <c r="Z995" s="1589"/>
      <c r="AA995" s="1589"/>
      <c r="AB995" s="1589"/>
      <c r="AC995" s="1589"/>
      <c r="AD995" s="1589"/>
      <c r="AE995" s="1590"/>
      <c r="AF995" s="73"/>
      <c r="AG995" s="14"/>
      <c r="AH995" s="14"/>
      <c r="AI995" s="83"/>
      <c r="AJ995" s="1416"/>
      <c r="AK995" s="1417"/>
      <c r="AL995" s="1417"/>
      <c r="AM995" s="1417"/>
      <c r="AN995" s="1417"/>
      <c r="AO995" s="1417"/>
      <c r="AP995" s="1417"/>
      <c r="AQ995" s="141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15" customHeight="1">
      <c r="A996" s="14"/>
      <c r="B996" s="277"/>
      <c r="C996" s="276"/>
      <c r="D996" s="1588"/>
      <c r="E996" s="1589"/>
      <c r="F996" s="1589"/>
      <c r="G996" s="1589"/>
      <c r="H996" s="1589"/>
      <c r="I996" s="1589"/>
      <c r="J996" s="1589"/>
      <c r="K996" s="1589"/>
      <c r="L996" s="1589"/>
      <c r="M996" s="1589"/>
      <c r="N996" s="1589"/>
      <c r="O996" s="1589"/>
      <c r="P996" s="1589"/>
      <c r="Q996" s="1589"/>
      <c r="R996" s="1589"/>
      <c r="S996" s="1589"/>
      <c r="T996" s="1589"/>
      <c r="U996" s="1589"/>
      <c r="V996" s="1589"/>
      <c r="W996" s="1589"/>
      <c r="X996" s="1589"/>
      <c r="Y996" s="1589"/>
      <c r="Z996" s="1589"/>
      <c r="AA996" s="1589"/>
      <c r="AB996" s="1589"/>
      <c r="AC996" s="1589"/>
      <c r="AD996" s="1589"/>
      <c r="AE996" s="1590"/>
      <c r="AF996" s="73"/>
      <c r="AG996" s="14"/>
      <c r="AH996" s="14"/>
      <c r="AI996" s="83"/>
      <c r="AJ996" s="1416"/>
      <c r="AK996" s="1417"/>
      <c r="AL996" s="1417"/>
      <c r="AM996" s="1417"/>
      <c r="AN996" s="1417"/>
      <c r="AO996" s="1417"/>
      <c r="AP996" s="1417"/>
      <c r="AQ996" s="141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15" customHeight="1">
      <c r="A997" s="14"/>
      <c r="B997" s="277"/>
      <c r="C997" s="276"/>
      <c r="D997" s="1588"/>
      <c r="E997" s="1589"/>
      <c r="F997" s="1589"/>
      <c r="G997" s="1589"/>
      <c r="H997" s="1589"/>
      <c r="I997" s="1589"/>
      <c r="J997" s="1589"/>
      <c r="K997" s="1589"/>
      <c r="L997" s="1589"/>
      <c r="M997" s="1589"/>
      <c r="N997" s="1589"/>
      <c r="O997" s="1589"/>
      <c r="P997" s="1589"/>
      <c r="Q997" s="1589"/>
      <c r="R997" s="1589"/>
      <c r="S997" s="1589"/>
      <c r="T997" s="1589"/>
      <c r="U997" s="1589"/>
      <c r="V997" s="1589"/>
      <c r="W997" s="1589"/>
      <c r="X997" s="1589"/>
      <c r="Y997" s="1589"/>
      <c r="Z997" s="1589"/>
      <c r="AA997" s="1589"/>
      <c r="AB997" s="1589"/>
      <c r="AC997" s="1589"/>
      <c r="AD997" s="1589"/>
      <c r="AE997" s="1590"/>
      <c r="AF997" s="73"/>
      <c r="AG997" s="14"/>
      <c r="AH997" s="14"/>
      <c r="AI997" s="83"/>
      <c r="AJ997" s="1416"/>
      <c r="AK997" s="1417"/>
      <c r="AL997" s="1417"/>
      <c r="AM997" s="1417"/>
      <c r="AN997" s="1417"/>
      <c r="AO997" s="1417"/>
      <c r="AP997" s="1417"/>
      <c r="AQ997" s="141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15" customHeight="1">
      <c r="A998" s="14"/>
      <c r="B998" s="277"/>
      <c r="C998" s="276"/>
      <c r="D998" s="1600" t="s">
        <v>2567</v>
      </c>
      <c r="E998" s="1601"/>
      <c r="F998" s="1601"/>
      <c r="G998" s="1601"/>
      <c r="H998" s="1601"/>
      <c r="I998" s="1601"/>
      <c r="J998" s="1601"/>
      <c r="K998" s="1601"/>
      <c r="L998" s="1601"/>
      <c r="M998" s="1601"/>
      <c r="N998" s="1601"/>
      <c r="O998" s="1601"/>
      <c r="P998" s="1601"/>
      <c r="Q998" s="1601"/>
      <c r="R998" s="1601"/>
      <c r="S998" s="1601"/>
      <c r="T998" s="1601"/>
      <c r="U998" s="1601"/>
      <c r="V998" s="1601"/>
      <c r="W998" s="1601"/>
      <c r="X998" s="1601"/>
      <c r="Y998" s="1601"/>
      <c r="Z998" s="1601"/>
      <c r="AA998" s="1601"/>
      <c r="AB998" s="1601"/>
      <c r="AC998" s="1601"/>
      <c r="AD998" s="1601"/>
      <c r="AE998" s="1602"/>
      <c r="AF998" s="73"/>
      <c r="AG998" s="14"/>
      <c r="AH998" s="14"/>
      <c r="AI998" s="83"/>
      <c r="AJ998" s="1416"/>
      <c r="AK998" s="1417"/>
      <c r="AL998" s="1417"/>
      <c r="AM998" s="1417"/>
      <c r="AN998" s="1417"/>
      <c r="AO998" s="1417"/>
      <c r="AP998" s="1417"/>
      <c r="AQ998" s="141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15" customHeight="1">
      <c r="A999" s="14"/>
      <c r="B999" s="277"/>
      <c r="C999" s="276"/>
      <c r="D999" s="1722"/>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19"/>
      <c r="AK999" s="1420"/>
      <c r="AL999" s="1420"/>
      <c r="AM999" s="1420"/>
      <c r="AN999" s="1420"/>
      <c r="AO999" s="1420"/>
      <c r="AP999" s="1420"/>
      <c r="AQ999" s="142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15" customHeight="1">
      <c r="A1000" s="14"/>
      <c r="B1000" s="275"/>
      <c r="C1000" s="344"/>
      <c r="D1000" s="1520" t="s">
        <v>1394</v>
      </c>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2"/>
      <c r="AF1000" s="79"/>
      <c r="AG1000" s="1528" t="s">
        <v>677</v>
      </c>
      <c r="AH1000" s="1529"/>
      <c r="AI1000" s="87"/>
      <c r="AJ1000" s="1413">
        <f>ROUND(IF(AG1000="yes",AJ991*0.05,0),0)</f>
        <v>0</v>
      </c>
      <c r="AK1000" s="1414"/>
      <c r="AL1000" s="1414"/>
      <c r="AM1000" s="1414"/>
      <c r="AN1000" s="1414"/>
      <c r="AO1000" s="1414"/>
      <c r="AP1000" s="1414"/>
      <c r="AQ1000" s="141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15" customHeight="1">
      <c r="A1001" s="14"/>
      <c r="B1001" s="277"/>
      <c r="C1001" s="82"/>
      <c r="D1001" s="1588" t="s">
        <v>1392</v>
      </c>
      <c r="E1001" s="1589"/>
      <c r="F1001" s="1589"/>
      <c r="G1001" s="1589"/>
      <c r="H1001" s="1589"/>
      <c r="I1001" s="1589"/>
      <c r="J1001" s="1589"/>
      <c r="K1001" s="1589"/>
      <c r="L1001" s="1589"/>
      <c r="M1001" s="1589"/>
      <c r="N1001" s="1589"/>
      <c r="O1001" s="1589"/>
      <c r="P1001" s="1589"/>
      <c r="Q1001" s="1589"/>
      <c r="R1001" s="1589"/>
      <c r="S1001" s="1589"/>
      <c r="T1001" s="1589"/>
      <c r="U1001" s="1589"/>
      <c r="V1001" s="1589"/>
      <c r="W1001" s="1589"/>
      <c r="X1001" s="1589"/>
      <c r="Y1001" s="1589"/>
      <c r="Z1001" s="1589"/>
      <c r="AA1001" s="1589"/>
      <c r="AB1001" s="1589"/>
      <c r="AC1001" s="1589"/>
      <c r="AD1001" s="1589"/>
      <c r="AE1001" s="1590"/>
      <c r="AF1001" s="73"/>
      <c r="AG1001" s="14"/>
      <c r="AH1001" s="14"/>
      <c r="AI1001" s="83"/>
      <c r="AJ1001" s="1416"/>
      <c r="AK1001" s="1417"/>
      <c r="AL1001" s="1417"/>
      <c r="AM1001" s="1417"/>
      <c r="AN1001" s="1417"/>
      <c r="AO1001" s="1417"/>
      <c r="AP1001" s="1417"/>
      <c r="AQ1001" s="141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15" customHeight="1">
      <c r="A1002" s="14"/>
      <c r="B1002" s="277"/>
      <c r="C1002" s="82"/>
      <c r="D1002" s="1588"/>
      <c r="E1002" s="1589"/>
      <c r="F1002" s="1589"/>
      <c r="G1002" s="1589"/>
      <c r="H1002" s="1589"/>
      <c r="I1002" s="1589"/>
      <c r="J1002" s="1589"/>
      <c r="K1002" s="1589"/>
      <c r="L1002" s="1589"/>
      <c r="M1002" s="1589"/>
      <c r="N1002" s="1589"/>
      <c r="O1002" s="1589"/>
      <c r="P1002" s="1589"/>
      <c r="Q1002" s="1589"/>
      <c r="R1002" s="1589"/>
      <c r="S1002" s="1589"/>
      <c r="T1002" s="1589"/>
      <c r="U1002" s="1589"/>
      <c r="V1002" s="1589"/>
      <c r="W1002" s="1589"/>
      <c r="X1002" s="1589"/>
      <c r="Y1002" s="1589"/>
      <c r="Z1002" s="1589"/>
      <c r="AA1002" s="1589"/>
      <c r="AB1002" s="1589"/>
      <c r="AC1002" s="1589"/>
      <c r="AD1002" s="1589"/>
      <c r="AE1002" s="1590"/>
      <c r="AF1002" s="73"/>
      <c r="AG1002" s="14"/>
      <c r="AH1002" s="14"/>
      <c r="AI1002" s="83"/>
      <c r="AJ1002" s="1416"/>
      <c r="AK1002" s="1417"/>
      <c r="AL1002" s="1417"/>
      <c r="AM1002" s="1417"/>
      <c r="AN1002" s="1417"/>
      <c r="AO1002" s="1417"/>
      <c r="AP1002" s="1417"/>
      <c r="AQ1002" s="1418"/>
      <c r="AR1002" s="68"/>
      <c r="AS1002" s="68"/>
      <c r="AT1002" s="68"/>
      <c r="AU1002" s="68"/>
      <c r="AV1002" s="68"/>
      <c r="AW1002" s="68"/>
      <c r="AX1002" s="68"/>
      <c r="AY1002" s="949">
        <f>G753+O797</f>
        <v>97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15" customHeight="1">
      <c r="A1003" s="14"/>
      <c r="B1003" s="277"/>
      <c r="C1003" s="82"/>
      <c r="D1003" s="1588"/>
      <c r="E1003" s="1589"/>
      <c r="F1003" s="1589"/>
      <c r="G1003" s="1589"/>
      <c r="H1003" s="1589"/>
      <c r="I1003" s="1589"/>
      <c r="J1003" s="1589"/>
      <c r="K1003" s="1589"/>
      <c r="L1003" s="1589"/>
      <c r="M1003" s="1589"/>
      <c r="N1003" s="1589"/>
      <c r="O1003" s="1589"/>
      <c r="P1003" s="1589"/>
      <c r="Q1003" s="1589"/>
      <c r="R1003" s="1589"/>
      <c r="S1003" s="1589"/>
      <c r="T1003" s="1589"/>
      <c r="U1003" s="1589"/>
      <c r="V1003" s="1589"/>
      <c r="W1003" s="1589"/>
      <c r="X1003" s="1589"/>
      <c r="Y1003" s="1589"/>
      <c r="Z1003" s="1589"/>
      <c r="AA1003" s="1589"/>
      <c r="AB1003" s="1589"/>
      <c r="AC1003" s="1589"/>
      <c r="AD1003" s="1589"/>
      <c r="AE1003" s="1590"/>
      <c r="AF1003" s="73"/>
      <c r="AG1003" s="14"/>
      <c r="AH1003" s="14"/>
      <c r="AI1003" s="83"/>
      <c r="AJ1003" s="1416"/>
      <c r="AK1003" s="1417"/>
      <c r="AL1003" s="1417"/>
      <c r="AM1003" s="1417"/>
      <c r="AN1003" s="1417"/>
      <c r="AO1003" s="1417"/>
      <c r="AP1003" s="1417"/>
      <c r="AQ1003" s="141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15" customHeight="1">
      <c r="A1004" s="14"/>
      <c r="B1004" s="277"/>
      <c r="C1004" s="82"/>
      <c r="D1004" s="1588"/>
      <c r="E1004" s="1589"/>
      <c r="F1004" s="1589"/>
      <c r="G1004" s="1589"/>
      <c r="H1004" s="1589"/>
      <c r="I1004" s="1589"/>
      <c r="J1004" s="1589"/>
      <c r="K1004" s="1589"/>
      <c r="L1004" s="1589"/>
      <c r="M1004" s="1589"/>
      <c r="N1004" s="1589"/>
      <c r="O1004" s="1589"/>
      <c r="P1004" s="1589"/>
      <c r="Q1004" s="1589"/>
      <c r="R1004" s="1589"/>
      <c r="S1004" s="1589"/>
      <c r="T1004" s="1589"/>
      <c r="U1004" s="1589"/>
      <c r="V1004" s="1589"/>
      <c r="W1004" s="1589"/>
      <c r="X1004" s="1589"/>
      <c r="Y1004" s="1589"/>
      <c r="Z1004" s="1589"/>
      <c r="AA1004" s="1589"/>
      <c r="AB1004" s="1589"/>
      <c r="AC1004" s="1589"/>
      <c r="AD1004" s="1589"/>
      <c r="AE1004" s="1590"/>
      <c r="AF1004" s="73"/>
      <c r="AG1004" s="14"/>
      <c r="AH1004" s="14"/>
      <c r="AI1004" s="83"/>
      <c r="AJ1004" s="1416"/>
      <c r="AK1004" s="1417"/>
      <c r="AL1004" s="1417"/>
      <c r="AM1004" s="1417"/>
      <c r="AN1004" s="1417"/>
      <c r="AO1004" s="1417"/>
      <c r="AP1004" s="1417"/>
      <c r="AQ1004" s="1418"/>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15" customHeight="1">
      <c r="A1005" s="14"/>
      <c r="B1005" s="75"/>
      <c r="C1005" s="76"/>
      <c r="D1005" s="1600"/>
      <c r="E1005" s="1601"/>
      <c r="F1005" s="1601"/>
      <c r="G1005" s="1601"/>
      <c r="H1005" s="1601"/>
      <c r="I1005" s="1601"/>
      <c r="J1005" s="1601"/>
      <c r="K1005" s="1601"/>
      <c r="L1005" s="1601"/>
      <c r="M1005" s="1601"/>
      <c r="N1005" s="1601"/>
      <c r="O1005" s="1601"/>
      <c r="P1005" s="1601"/>
      <c r="Q1005" s="1601"/>
      <c r="R1005" s="1601"/>
      <c r="S1005" s="1601"/>
      <c r="T1005" s="1601"/>
      <c r="U1005" s="1601"/>
      <c r="V1005" s="1601"/>
      <c r="W1005" s="1601"/>
      <c r="X1005" s="1601"/>
      <c r="Y1005" s="1601"/>
      <c r="Z1005" s="1601"/>
      <c r="AA1005" s="1601"/>
      <c r="AB1005" s="1601"/>
      <c r="AC1005" s="1601"/>
      <c r="AD1005" s="1601"/>
      <c r="AE1005" s="1602"/>
      <c r="AF1005" s="77"/>
      <c r="AG1005" s="7"/>
      <c r="AH1005" s="7"/>
      <c r="AI1005" s="78"/>
      <c r="AJ1005" s="1419"/>
      <c r="AK1005" s="1420"/>
      <c r="AL1005" s="1420"/>
      <c r="AM1005" s="1420"/>
      <c r="AN1005" s="1420"/>
      <c r="AO1005" s="1420"/>
      <c r="AP1005" s="1420"/>
      <c r="AQ1005" s="1421"/>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15" customHeight="1">
      <c r="A1006" s="14"/>
      <c r="B1006" s="275"/>
      <c r="C1006" s="80" t="s">
        <v>680</v>
      </c>
      <c r="D1006" s="1520" t="s">
        <v>1871</v>
      </c>
      <c r="E1006" s="1521"/>
      <c r="F1006" s="1521"/>
      <c r="G1006" s="1521"/>
      <c r="H1006" s="1521"/>
      <c r="I1006" s="1521"/>
      <c r="J1006" s="1521"/>
      <c r="K1006" s="1521"/>
      <c r="L1006" s="1521"/>
      <c r="M1006" s="1521"/>
      <c r="N1006" s="1521"/>
      <c r="O1006" s="1521"/>
      <c r="P1006" s="1521"/>
      <c r="Q1006" s="1521"/>
      <c r="R1006" s="1521"/>
      <c r="S1006" s="1521"/>
      <c r="T1006" s="1521"/>
      <c r="U1006" s="1521"/>
      <c r="V1006" s="1521"/>
      <c r="W1006" s="1521"/>
      <c r="X1006" s="1521"/>
      <c r="Y1006" s="1521"/>
      <c r="Z1006" s="1521"/>
      <c r="AA1006" s="1521"/>
      <c r="AB1006" s="1521"/>
      <c r="AC1006" s="1521"/>
      <c r="AD1006" s="1521"/>
      <c r="AE1006" s="1522"/>
      <c r="AF1006" s="86"/>
      <c r="AG1006" s="1528" t="s">
        <v>677</v>
      </c>
      <c r="AH1006" s="1529"/>
      <c r="AI1006" s="87"/>
      <c r="AJ1006" s="1413">
        <f>ROUND(IF(AG1006="yes",AJ991*0.1,0),0)</f>
        <v>0</v>
      </c>
      <c r="AK1006" s="1414"/>
      <c r="AL1006" s="1414"/>
      <c r="AM1006" s="1414"/>
      <c r="AN1006" s="1414"/>
      <c r="AO1006" s="1414"/>
      <c r="AP1006" s="1414"/>
      <c r="AQ1006" s="1415"/>
      <c r="AR1006" s="68"/>
      <c r="AS1006" s="68"/>
      <c r="AT1006" s="68"/>
      <c r="AU1006" s="68"/>
      <c r="AV1006" s="68"/>
      <c r="AW1006" s="68"/>
      <c r="AX1006" s="68"/>
      <c r="BB1006" s="34"/>
      <c r="BD1006" s="34"/>
      <c r="BE1006" s="34"/>
      <c r="BF1006" s="34"/>
    </row>
    <row r="1007" spans="1:157" ht="13.15" customHeight="1">
      <c r="A1007" s="14"/>
      <c r="B1007" s="73"/>
      <c r="C1007" s="74"/>
      <c r="D1007" s="1508" t="s">
        <v>1393</v>
      </c>
      <c r="E1007" s="1509"/>
      <c r="F1007" s="1509"/>
      <c r="G1007" s="1509"/>
      <c r="H1007" s="1509"/>
      <c r="I1007" s="1509"/>
      <c r="J1007" s="1509"/>
      <c r="K1007" s="1509"/>
      <c r="L1007" s="1509"/>
      <c r="M1007" s="1509"/>
      <c r="N1007" s="1509"/>
      <c r="O1007" s="1509"/>
      <c r="P1007" s="1509"/>
      <c r="Q1007" s="1509"/>
      <c r="R1007" s="1509"/>
      <c r="S1007" s="1509"/>
      <c r="T1007" s="1509"/>
      <c r="U1007" s="1509"/>
      <c r="V1007" s="1509"/>
      <c r="W1007" s="1509"/>
      <c r="X1007" s="1509"/>
      <c r="Y1007" s="1509"/>
      <c r="Z1007" s="1509"/>
      <c r="AA1007" s="1509"/>
      <c r="AB1007" s="1509"/>
      <c r="AC1007" s="1509"/>
      <c r="AD1007" s="1509"/>
      <c r="AE1007" s="1510"/>
      <c r="AF1007" s="73"/>
      <c r="AI1007" s="83"/>
      <c r="AJ1007" s="1416"/>
      <c r="AK1007" s="1417"/>
      <c r="AL1007" s="1417"/>
      <c r="AM1007" s="1417"/>
      <c r="AN1007" s="1417"/>
      <c r="AO1007" s="1417"/>
      <c r="AP1007" s="1417"/>
      <c r="AQ1007" s="1418"/>
      <c r="AR1007" s="68"/>
      <c r="AS1007" s="68"/>
      <c r="AT1007" s="68"/>
      <c r="AU1007" s="68"/>
      <c r="AV1007" s="68"/>
      <c r="AW1007" s="68"/>
      <c r="AX1007" s="68"/>
    </row>
    <row r="1008" spans="1:157" ht="13.15" customHeight="1">
      <c r="A1008" s="14"/>
      <c r="B1008" s="73"/>
      <c r="C1008" s="74"/>
      <c r="D1008" s="1508"/>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G1008" s="14"/>
      <c r="AH1008" s="14"/>
      <c r="AI1008" s="83"/>
      <c r="AJ1008" s="1416"/>
      <c r="AK1008" s="1417"/>
      <c r="AL1008" s="1417"/>
      <c r="AM1008" s="1417"/>
      <c r="AN1008" s="1417"/>
      <c r="AO1008" s="1417"/>
      <c r="AP1008" s="1417"/>
      <c r="AQ1008" s="1418"/>
      <c r="AR1008" s="68"/>
      <c r="AS1008" s="68"/>
      <c r="AT1008" s="68"/>
      <c r="AU1008" s="68"/>
      <c r="AV1008" s="68"/>
      <c r="AW1008" s="68"/>
      <c r="AX1008" s="68"/>
    </row>
    <row r="1009" spans="1:51" ht="13.15"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419"/>
      <c r="AK1009" s="1420"/>
      <c r="AL1009" s="1420"/>
      <c r="AM1009" s="1420"/>
      <c r="AN1009" s="1420"/>
      <c r="AO1009" s="1420"/>
      <c r="AP1009" s="1420"/>
      <c r="AQ1009" s="1421"/>
      <c r="AR1009" s="68"/>
      <c r="AS1009" s="68"/>
      <c r="AT1009" s="68"/>
      <c r="AU1009" s="68"/>
      <c r="AV1009" s="68"/>
      <c r="AW1009" s="68"/>
      <c r="AX1009" s="68"/>
    </row>
    <row r="1010" spans="1:51" ht="13.15" customHeight="1">
      <c r="A1010" s="14"/>
      <c r="B1010" s="79"/>
      <c r="C1010" s="80" t="s">
        <v>213</v>
      </c>
      <c r="D1010" s="1520" t="s">
        <v>1395</v>
      </c>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9"/>
      <c r="AG1010" s="1528" t="s">
        <v>677</v>
      </c>
      <c r="AH1010" s="1529"/>
      <c r="AI1010" s="87"/>
      <c r="AJ1010" s="1413">
        <f>ROUND(IF(AG1010="yes",AJ991*0.02,0),0)</f>
        <v>0</v>
      </c>
      <c r="AK1010" s="1414"/>
      <c r="AL1010" s="1414"/>
      <c r="AM1010" s="1414"/>
      <c r="AN1010" s="1414"/>
      <c r="AO1010" s="1414"/>
      <c r="AP1010" s="1414"/>
      <c r="AQ1010" s="1415"/>
      <c r="AR1010" s="68"/>
      <c r="AS1010" s="68"/>
      <c r="AT1010" s="68"/>
      <c r="AU1010" s="68"/>
      <c r="AV1010" s="68"/>
      <c r="AW1010" s="68"/>
      <c r="AX1010" s="68"/>
      <c r="AY1010" s="215">
        <f>IF(SUM(AY1012:AY1020)&lt;=0.1,SUM(AY1012:AY1020),0.1)</f>
        <v>0</v>
      </c>
    </row>
    <row r="1011" spans="1:51" ht="14.25" customHeight="1">
      <c r="A1011" s="14"/>
      <c r="B1011" s="73"/>
      <c r="C1011" s="74"/>
      <c r="D1011" s="1533" t="s">
        <v>1396</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419"/>
      <c r="AK1011" s="1420"/>
      <c r="AL1011" s="1420"/>
      <c r="AM1011" s="1420"/>
      <c r="AN1011" s="1420"/>
      <c r="AO1011" s="1420"/>
      <c r="AP1011" s="1420"/>
      <c r="AQ1011" s="1421"/>
      <c r="AR1011" s="68"/>
      <c r="AS1011" s="68"/>
      <c r="AT1011" s="68"/>
      <c r="AU1011" s="68"/>
      <c r="AV1011" s="68"/>
      <c r="AW1011" s="68"/>
      <c r="AX1011" s="68"/>
    </row>
    <row r="1012" spans="1:51" ht="13.15" customHeight="1">
      <c r="A1012" s="14"/>
      <c r="B1012" s="79"/>
      <c r="C1012" s="80" t="s">
        <v>216</v>
      </c>
      <c r="D1012" s="1520" t="s">
        <v>1397</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9"/>
      <c r="AG1012" s="1528" t="s">
        <v>677</v>
      </c>
      <c r="AH1012" s="1529"/>
      <c r="AI1012" s="79"/>
      <c r="AJ1012" s="1413">
        <f>ROUND(IF(AG1012="yes",AJ991*0.02,0),0)</f>
        <v>0</v>
      </c>
      <c r="AK1012" s="1414"/>
      <c r="AL1012" s="1414"/>
      <c r="AM1012" s="1414"/>
      <c r="AN1012" s="1414"/>
      <c r="AO1012" s="1414"/>
      <c r="AP1012" s="1414"/>
      <c r="AQ1012" s="1415"/>
      <c r="AR1012" s="68"/>
      <c r="AS1012" s="68"/>
      <c r="AT1012" s="68"/>
      <c r="AU1012" s="68"/>
      <c r="AV1012" s="68"/>
      <c r="AW1012" s="68"/>
      <c r="AX1012" s="68"/>
      <c r="AY1012" s="213">
        <f>IF(A1064="Yes",0.05,0)</f>
        <v>0</v>
      </c>
    </row>
    <row r="1013" spans="1:51" ht="13.15" customHeight="1">
      <c r="A1013" s="14"/>
      <c r="B1013" s="73"/>
      <c r="C1013" s="74"/>
      <c r="D1013" s="1508" t="s">
        <v>1398</v>
      </c>
      <c r="E1013" s="1509"/>
      <c r="F1013" s="1509"/>
      <c r="G1013" s="1509"/>
      <c r="H1013" s="1509"/>
      <c r="I1013" s="1509"/>
      <c r="J1013" s="1509"/>
      <c r="K1013" s="1509"/>
      <c r="L1013" s="1509"/>
      <c r="M1013" s="1509"/>
      <c r="N1013" s="1509"/>
      <c r="O1013" s="1509"/>
      <c r="P1013" s="1509"/>
      <c r="Q1013" s="1509"/>
      <c r="R1013" s="1509"/>
      <c r="S1013" s="1509"/>
      <c r="T1013" s="1509"/>
      <c r="U1013" s="1509"/>
      <c r="V1013" s="1509"/>
      <c r="W1013" s="1509"/>
      <c r="X1013" s="1509"/>
      <c r="Y1013" s="1509"/>
      <c r="Z1013" s="1509"/>
      <c r="AA1013" s="1509"/>
      <c r="AB1013" s="1509"/>
      <c r="AC1013" s="1509"/>
      <c r="AD1013" s="1509"/>
      <c r="AE1013" s="1510"/>
      <c r="AF1013" s="1398" t="str">
        <f>IF(AND(AG1012="yes",AB212&lt;&gt;1),"The project may not be eligible for this boost","")</f>
        <v/>
      </c>
      <c r="AG1013" s="1399"/>
      <c r="AH1013" s="1399"/>
      <c r="AI1013" s="1400"/>
      <c r="AJ1013" s="1416"/>
      <c r="AK1013" s="1417"/>
      <c r="AL1013" s="1417"/>
      <c r="AM1013" s="1417"/>
      <c r="AN1013" s="1417"/>
      <c r="AO1013" s="1417"/>
      <c r="AP1013" s="1417"/>
      <c r="AQ1013" s="1418"/>
      <c r="AR1013" s="68"/>
      <c r="AS1013" s="68"/>
      <c r="AT1013" s="68"/>
      <c r="AU1013" s="68"/>
      <c r="AV1013" s="68"/>
      <c r="AW1013" s="68"/>
      <c r="AX1013" s="68"/>
      <c r="AY1013" s="213">
        <f>IF(A1070="Yes",0.02,0)</f>
        <v>0</v>
      </c>
    </row>
    <row r="1014" spans="1:51" ht="13.15"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401"/>
      <c r="AG1014" s="1402"/>
      <c r="AH1014" s="1402"/>
      <c r="AI1014" s="1403"/>
      <c r="AJ1014" s="1419"/>
      <c r="AK1014" s="1420"/>
      <c r="AL1014" s="1420"/>
      <c r="AM1014" s="1420"/>
      <c r="AN1014" s="1420"/>
      <c r="AO1014" s="1420"/>
      <c r="AP1014" s="1420"/>
      <c r="AQ1014" s="1421"/>
      <c r="AR1014" s="68"/>
      <c r="AS1014" s="68"/>
      <c r="AT1014" s="68"/>
      <c r="AU1014" s="68"/>
      <c r="AV1014" s="68"/>
      <c r="AW1014" s="68"/>
      <c r="AX1014" s="68"/>
      <c r="AY1014" s="213">
        <f>IF(A1076="Yes",0.04,0)</f>
        <v>0</v>
      </c>
    </row>
    <row r="1015" spans="1:51" ht="13.15" customHeight="1">
      <c r="A1015" s="14"/>
      <c r="B1015" s="79"/>
      <c r="C1015" s="80" t="s">
        <v>219</v>
      </c>
      <c r="D1015" s="1530" t="s">
        <v>1399</v>
      </c>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1528" t="s">
        <v>677</v>
      </c>
      <c r="AH1015" s="1529"/>
      <c r="AI1015" s="87"/>
      <c r="AJ1015" s="1413">
        <f>IF(AG1015="yes",AJ991*AY1010,0)</f>
        <v>0</v>
      </c>
      <c r="AK1015" s="1414"/>
      <c r="AL1015" s="1414"/>
      <c r="AM1015" s="1414"/>
      <c r="AN1015" s="1414"/>
      <c r="AO1015" s="1414"/>
      <c r="AP1015" s="1414"/>
      <c r="AQ1015" s="1415"/>
      <c r="AR1015" s="68"/>
      <c r="AS1015" s="68"/>
      <c r="AT1015" s="68"/>
      <c r="AU1015" s="68"/>
      <c r="AV1015" s="68"/>
      <c r="AW1015" s="68"/>
      <c r="AX1015" s="68"/>
      <c r="AY1015" s="213">
        <f>IF(A1083="Yes",0.04,0)</f>
        <v>0</v>
      </c>
    </row>
    <row r="1016" spans="1:51" ht="13.15" customHeight="1">
      <c r="A1016" s="14"/>
      <c r="B1016" s="73"/>
      <c r="C1016" s="74"/>
      <c r="D1016" s="1508" t="s">
        <v>1400</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1392" t="str">
        <f>IF(AND(AG1015="Yes",AY1010=0),AY1022,"")</f>
        <v/>
      </c>
      <c r="AG1016" s="1393"/>
      <c r="AH1016" s="1393"/>
      <c r="AI1016" s="1394"/>
      <c r="AJ1016" s="1416"/>
      <c r="AK1016" s="1417"/>
      <c r="AL1016" s="1417"/>
      <c r="AM1016" s="1417"/>
      <c r="AN1016" s="1417"/>
      <c r="AO1016" s="1417"/>
      <c r="AP1016" s="1417"/>
      <c r="AQ1016" s="1418"/>
      <c r="AR1016" s="68"/>
      <c r="AS1016" s="68"/>
      <c r="AT1016" s="68"/>
      <c r="AU1016" s="68"/>
      <c r="AV1016" s="68"/>
      <c r="AW1016" s="68"/>
      <c r="AX1016" s="68"/>
      <c r="AY1016" s="213">
        <f>IF(A1086="Yes",0.01,0)</f>
        <v>0</v>
      </c>
    </row>
    <row r="1017" spans="1:51" ht="13.15" customHeight="1">
      <c r="A1017" s="14"/>
      <c r="B1017" s="73"/>
      <c r="C1017" s="74"/>
      <c r="D1017" s="1508"/>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92"/>
      <c r="AG1017" s="1393"/>
      <c r="AH1017" s="1393"/>
      <c r="AI1017" s="1394"/>
      <c r="AJ1017" s="1416"/>
      <c r="AK1017" s="1417"/>
      <c r="AL1017" s="1417"/>
      <c r="AM1017" s="1417"/>
      <c r="AN1017" s="1417"/>
      <c r="AO1017" s="1417"/>
      <c r="AP1017" s="1417"/>
      <c r="AQ1017" s="1418"/>
      <c r="AR1017" s="68"/>
      <c r="AS1017" s="68"/>
      <c r="AT1017" s="68"/>
      <c r="AU1017" s="68"/>
      <c r="AV1017" s="68"/>
      <c r="AW1017" s="68"/>
      <c r="AX1017" s="68"/>
      <c r="AY1017" s="213">
        <f>IF(A1091="Yes",0.01,0)</f>
        <v>0</v>
      </c>
    </row>
    <row r="1018" spans="1:51" ht="13.15"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395"/>
      <c r="AG1018" s="1396"/>
      <c r="AH1018" s="1396"/>
      <c r="AI1018" s="1397"/>
      <c r="AJ1018" s="1419"/>
      <c r="AK1018" s="1420"/>
      <c r="AL1018" s="1420"/>
      <c r="AM1018" s="1420"/>
      <c r="AN1018" s="1420"/>
      <c r="AO1018" s="1420"/>
      <c r="AP1018" s="1420"/>
      <c r="AQ1018" s="1421"/>
      <c r="AR1018" s="68"/>
      <c r="AS1018" s="68"/>
      <c r="AT1018" s="68"/>
      <c r="AU1018" s="68"/>
      <c r="AV1018" s="68"/>
      <c r="AW1018" s="68"/>
      <c r="AX1018" s="68"/>
      <c r="AY1018" s="213">
        <f>IF(A1094="Yes",0.01,0)</f>
        <v>0</v>
      </c>
    </row>
    <row r="1019" spans="1:51" ht="13.15" customHeight="1">
      <c r="A1019" s="14"/>
      <c r="B1019" s="79"/>
      <c r="C1019" s="80" t="s">
        <v>224</v>
      </c>
      <c r="D1019" s="1556" t="s">
        <v>1401</v>
      </c>
      <c r="E1019" s="1557"/>
      <c r="F1019" s="1557"/>
      <c r="G1019" s="1557"/>
      <c r="H1019" s="1557"/>
      <c r="I1019" s="1557"/>
      <c r="J1019" s="1557"/>
      <c r="K1019" s="1557"/>
      <c r="L1019" s="1557"/>
      <c r="M1019" s="1557"/>
      <c r="N1019" s="1557"/>
      <c r="O1019" s="1557"/>
      <c r="P1019" s="1557"/>
      <c r="Q1019" s="1557"/>
      <c r="R1019" s="1557"/>
      <c r="S1019" s="1557"/>
      <c r="T1019" s="1557"/>
      <c r="U1019" s="1557"/>
      <c r="V1019" s="1557"/>
      <c r="W1019" s="1557"/>
      <c r="X1019" s="1557"/>
      <c r="Y1019" s="1557"/>
      <c r="Z1019" s="1557"/>
      <c r="AA1019" s="1557"/>
      <c r="AB1019" s="1557"/>
      <c r="AC1019" s="1557"/>
      <c r="AD1019" s="1557"/>
      <c r="AE1019" s="1558"/>
      <c r="AF1019" s="79"/>
      <c r="AG1019" s="1528" t="s">
        <v>677</v>
      </c>
      <c r="AH1019" s="1529"/>
      <c r="AI1019" s="87"/>
      <c r="AJ1019" s="1413">
        <f>ROUND(IF(AND(AG1019="Yes",J1023&lt;&gt;"N/A",AF1022&lt;&gt;""),MIN(AF1022,(0.15*AJ991)),0),0)</f>
        <v>0</v>
      </c>
      <c r="AK1019" s="1414"/>
      <c r="AL1019" s="1414"/>
      <c r="AM1019" s="1414"/>
      <c r="AN1019" s="1414"/>
      <c r="AO1019" s="1414"/>
      <c r="AP1019" s="1414"/>
      <c r="AQ1019" s="1415"/>
      <c r="AR1019" s="68"/>
      <c r="AS1019" s="68"/>
      <c r="AT1019" s="68"/>
      <c r="AU1019" s="68"/>
      <c r="AV1019" s="68"/>
      <c r="AW1019" s="68"/>
      <c r="AX1019" s="68"/>
      <c r="AY1019" s="213">
        <f>IF(A1098="Yes",0.02,0)</f>
        <v>0</v>
      </c>
    </row>
    <row r="1020" spans="1:51" ht="13.15" customHeight="1">
      <c r="A1020" s="14"/>
      <c r="B1020" s="81"/>
      <c r="C1020" s="84"/>
      <c r="D1020" s="1559"/>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1"/>
      <c r="AF1020" s="1536" t="str">
        <f>IF(AG1019="yes","Please Select Type and Enter Amount:","")</f>
        <v/>
      </c>
      <c r="AG1020" s="1537"/>
      <c r="AH1020" s="1537"/>
      <c r="AI1020" s="1538"/>
      <c r="AJ1020" s="1416"/>
      <c r="AK1020" s="1417"/>
      <c r="AL1020" s="1417"/>
      <c r="AM1020" s="1417"/>
      <c r="AN1020" s="1417"/>
      <c r="AO1020" s="1417"/>
      <c r="AP1020" s="1417"/>
      <c r="AQ1020" s="1418"/>
      <c r="AR1020" s="68"/>
      <c r="AS1020" s="68"/>
      <c r="AT1020" s="68"/>
      <c r="AU1020" s="68"/>
      <c r="AV1020" s="68"/>
      <c r="AW1020" s="68"/>
      <c r="AX1020" s="68"/>
      <c r="AY1020" s="214">
        <f>IF(A1103="Yes",0.02,0)</f>
        <v>0</v>
      </c>
    </row>
    <row r="1021" spans="1:51" ht="13.15" customHeight="1">
      <c r="A1021" s="14"/>
      <c r="B1021" s="81"/>
      <c r="C1021" s="84"/>
      <c r="D1021" s="1508" t="s">
        <v>1402</v>
      </c>
      <c r="E1021" s="1509"/>
      <c r="F1021" s="1509"/>
      <c r="G1021" s="1509"/>
      <c r="H1021" s="1509"/>
      <c r="I1021" s="1509"/>
      <c r="J1021" s="1509"/>
      <c r="K1021" s="1509"/>
      <c r="L1021" s="1509"/>
      <c r="M1021" s="1509"/>
      <c r="N1021" s="1509"/>
      <c r="O1021" s="1509"/>
      <c r="P1021" s="1509"/>
      <c r="Q1021" s="1509"/>
      <c r="R1021" s="1509"/>
      <c r="S1021" s="1509"/>
      <c r="T1021" s="1509"/>
      <c r="U1021" s="1509"/>
      <c r="V1021" s="1509"/>
      <c r="W1021" s="1509"/>
      <c r="X1021" s="1509"/>
      <c r="Y1021" s="1509"/>
      <c r="Z1021" s="1509"/>
      <c r="AA1021" s="1509"/>
      <c r="AB1021" s="1509"/>
      <c r="AC1021" s="1509"/>
      <c r="AD1021" s="1509"/>
      <c r="AE1021" s="1510"/>
      <c r="AF1021" s="1536"/>
      <c r="AG1021" s="1537"/>
      <c r="AH1021" s="1537"/>
      <c r="AI1021" s="1538"/>
      <c r="AJ1021" s="1416"/>
      <c r="AK1021" s="1417"/>
      <c r="AL1021" s="1417"/>
      <c r="AM1021" s="1417"/>
      <c r="AN1021" s="1417"/>
      <c r="AO1021" s="1417"/>
      <c r="AP1021" s="1417"/>
      <c r="AQ1021" s="1418"/>
      <c r="AR1021" s="68"/>
      <c r="AS1021" s="68"/>
      <c r="AT1021" s="68"/>
      <c r="AU1021" s="68"/>
      <c r="AV1021" s="68"/>
      <c r="AW1021" s="68"/>
      <c r="AX1021" s="68"/>
      <c r="AY1021" s="68"/>
    </row>
    <row r="1022" spans="1:51" ht="13.15" customHeight="1">
      <c r="A1022" s="14"/>
      <c r="B1022" s="81"/>
      <c r="C1022" s="84"/>
      <c r="D1022" s="1508"/>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39"/>
      <c r="AG1022" s="1539"/>
      <c r="AH1022" s="1539"/>
      <c r="AI1022" s="1539"/>
      <c r="AJ1022" s="1416"/>
      <c r="AK1022" s="1417"/>
      <c r="AL1022" s="1417"/>
      <c r="AM1022" s="1417"/>
      <c r="AN1022" s="1417"/>
      <c r="AO1022" s="1417"/>
      <c r="AP1022" s="1417"/>
      <c r="AQ1022" s="1418"/>
      <c r="AR1022" s="68"/>
      <c r="AS1022" s="68"/>
      <c r="AT1022" s="68"/>
      <c r="AU1022" s="68"/>
      <c r="AV1022" s="68"/>
      <c r="AW1022" s="68"/>
      <c r="AX1022" s="68"/>
      <c r="AY1022" s="68" t="str">
        <f>"Select items beginning on row #"&amp;TEXT(ROW(A1060),"#")&amp;" to claim this boost"</f>
        <v>Select items beginning on row #1060 to claim this boost</v>
      </c>
    </row>
    <row r="1023" spans="1:51" ht="13.15" customHeight="1">
      <c r="A1023" s="14"/>
      <c r="B1023" s="81"/>
      <c r="C1023" s="84"/>
      <c r="D1023" s="560" t="s">
        <v>360</v>
      </c>
      <c r="E1023" s="90"/>
      <c r="F1023" s="90"/>
      <c r="G1023" s="104"/>
      <c r="H1023" s="104"/>
      <c r="I1023" s="49"/>
      <c r="J1023" s="1511" t="s">
        <v>599</v>
      </c>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39"/>
      <c r="AG1023" s="1539"/>
      <c r="AH1023" s="1539"/>
      <c r="AI1023" s="1539"/>
      <c r="AJ1023" s="1419"/>
      <c r="AK1023" s="1420"/>
      <c r="AL1023" s="1420"/>
      <c r="AM1023" s="1420"/>
      <c r="AN1023" s="1420"/>
      <c r="AO1023" s="1420"/>
      <c r="AP1023" s="1420"/>
      <c r="AQ1023" s="1421"/>
      <c r="AR1023" s="68"/>
      <c r="AS1023" s="68"/>
      <c r="AT1023" s="68"/>
      <c r="AU1023" s="68"/>
      <c r="AV1023" s="68"/>
      <c r="AW1023" s="68"/>
      <c r="AX1023" s="68"/>
      <c r="AY1023" s="68"/>
    </row>
    <row r="1024" spans="1:51" ht="13.15" customHeight="1">
      <c r="A1024" s="14"/>
      <c r="B1024" s="79"/>
      <c r="C1024" s="80" t="s">
        <v>230</v>
      </c>
      <c r="D1024" s="1520" t="s">
        <v>1403</v>
      </c>
      <c r="E1024" s="1521"/>
      <c r="F1024" s="1521"/>
      <c r="G1024" s="1521"/>
      <c r="H1024" s="1521"/>
      <c r="I1024" s="1521"/>
      <c r="J1024" s="1521"/>
      <c r="K1024" s="1521"/>
      <c r="L1024" s="1521"/>
      <c r="M1024" s="1521"/>
      <c r="N1024" s="1521"/>
      <c r="O1024" s="1521"/>
      <c r="P1024" s="1521"/>
      <c r="Q1024" s="1521"/>
      <c r="R1024" s="1521"/>
      <c r="S1024" s="1521"/>
      <c r="T1024" s="1521"/>
      <c r="U1024" s="1521"/>
      <c r="V1024" s="1521"/>
      <c r="W1024" s="1521"/>
      <c r="X1024" s="1521"/>
      <c r="Y1024" s="1521"/>
      <c r="Z1024" s="1521"/>
      <c r="AA1024" s="1521"/>
      <c r="AB1024" s="1521"/>
      <c r="AC1024" s="1521"/>
      <c r="AD1024" s="1521"/>
      <c r="AE1024" s="1522"/>
      <c r="AF1024" s="79"/>
      <c r="AG1024" s="1528" t="s">
        <v>553</v>
      </c>
      <c r="AH1024" s="1529"/>
      <c r="AI1024" s="87"/>
      <c r="AJ1024" s="1413">
        <f>ROUND(IF(AG1024="Yes",AF1026,0),0)</f>
        <v>1960000</v>
      </c>
      <c r="AK1024" s="1414"/>
      <c r="AL1024" s="1414"/>
      <c r="AM1024" s="1414"/>
      <c r="AN1024" s="1414"/>
      <c r="AO1024" s="1414"/>
      <c r="AP1024" s="1414"/>
      <c r="AQ1024" s="1415"/>
      <c r="AR1024" s="68"/>
      <c r="AS1024" s="68"/>
      <c r="AT1024" s="68"/>
      <c r="AU1024" s="68"/>
      <c r="AV1024" s="68"/>
      <c r="AW1024" s="68"/>
      <c r="AX1024" s="68"/>
      <c r="AY1024" s="68"/>
    </row>
    <row r="1025" spans="1:51" ht="13.15" customHeight="1">
      <c r="A1025" s="14"/>
      <c r="B1025" s="73"/>
      <c r="C1025" s="74"/>
      <c r="D1025" s="1508" t="s">
        <v>1878</v>
      </c>
      <c r="E1025" s="1509"/>
      <c r="F1025" s="1509"/>
      <c r="G1025" s="1509"/>
      <c r="H1025" s="1509"/>
      <c r="I1025" s="1509"/>
      <c r="J1025" s="1509"/>
      <c r="K1025" s="1509"/>
      <c r="L1025" s="1509"/>
      <c r="M1025" s="1509"/>
      <c r="N1025" s="1509"/>
      <c r="O1025" s="1509"/>
      <c r="P1025" s="1509"/>
      <c r="Q1025" s="1509"/>
      <c r="R1025" s="1509"/>
      <c r="S1025" s="1509"/>
      <c r="T1025" s="1509"/>
      <c r="U1025" s="1509"/>
      <c r="V1025" s="1509"/>
      <c r="W1025" s="1509"/>
      <c r="X1025" s="1509"/>
      <c r="Y1025" s="1509"/>
      <c r="Z1025" s="1509"/>
      <c r="AA1025" s="1509"/>
      <c r="AB1025" s="1509"/>
      <c r="AC1025" s="1509"/>
      <c r="AD1025" s="1509"/>
      <c r="AE1025" s="1510"/>
      <c r="AF1025" s="1562" t="str">
        <f>IF(AG1024="yes","Enter Amount:","")</f>
        <v>Enter Amount:</v>
      </c>
      <c r="AG1025" s="1563"/>
      <c r="AH1025" s="1563"/>
      <c r="AI1025" s="1564"/>
      <c r="AJ1025" s="1416"/>
      <c r="AK1025" s="1417"/>
      <c r="AL1025" s="1417"/>
      <c r="AM1025" s="1417"/>
      <c r="AN1025" s="1417"/>
      <c r="AO1025" s="1417"/>
      <c r="AP1025" s="1417"/>
      <c r="AQ1025" s="1418"/>
      <c r="AR1025" s="68"/>
      <c r="AS1025" s="68"/>
      <c r="AT1025" s="68"/>
      <c r="AU1025" s="68"/>
      <c r="AV1025" s="68"/>
      <c r="AW1025" s="68"/>
      <c r="AX1025" s="68"/>
      <c r="AY1025" s="68"/>
    </row>
    <row r="1026" spans="1:51" ht="13.15" customHeight="1">
      <c r="A1026" s="14"/>
      <c r="B1026" s="73"/>
      <c r="C1026" s="74"/>
      <c r="D1026" s="1508"/>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39">
        <v>1960000</v>
      </c>
      <c r="AG1026" s="1539"/>
      <c r="AH1026" s="1539"/>
      <c r="AI1026" s="1539"/>
      <c r="AJ1026" s="1416"/>
      <c r="AK1026" s="1417"/>
      <c r="AL1026" s="1417"/>
      <c r="AM1026" s="1417"/>
      <c r="AN1026" s="1417"/>
      <c r="AO1026" s="1417"/>
      <c r="AP1026" s="1417"/>
      <c r="AQ1026" s="1418"/>
      <c r="AR1026" s="68"/>
      <c r="AS1026" s="68"/>
      <c r="AT1026" s="68"/>
      <c r="AU1026" s="68"/>
      <c r="AV1026" s="68"/>
      <c r="AW1026" s="68"/>
      <c r="AX1026" s="68"/>
      <c r="AY1026" s="68"/>
    </row>
    <row r="1027" spans="1:51" ht="13.15"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419"/>
      <c r="AK1027" s="1420"/>
      <c r="AL1027" s="1420"/>
      <c r="AM1027" s="1420"/>
      <c r="AN1027" s="1420"/>
      <c r="AO1027" s="1420"/>
      <c r="AP1027" s="1420"/>
      <c r="AQ1027" s="1421"/>
      <c r="AR1027" s="68"/>
      <c r="AS1027" s="68"/>
      <c r="AT1027" s="68"/>
      <c r="AU1027" s="68"/>
      <c r="AV1027" s="68"/>
      <c r="AW1027" s="68"/>
      <c r="AX1027" s="68"/>
      <c r="AY1027" s="68"/>
    </row>
    <row r="1028" spans="1:51" ht="13.15" customHeight="1">
      <c r="A1028" s="14"/>
      <c r="B1028" s="79"/>
      <c r="C1028" s="80" t="s">
        <v>235</v>
      </c>
      <c r="D1028" s="1530" t="s">
        <v>1404</v>
      </c>
      <c r="E1028" s="1531"/>
      <c r="F1028" s="1531"/>
      <c r="G1028" s="1531"/>
      <c r="H1028" s="1531"/>
      <c r="I1028" s="1531"/>
      <c r="J1028" s="1531"/>
      <c r="K1028" s="1531"/>
      <c r="L1028" s="1531"/>
      <c r="M1028" s="1531"/>
      <c r="N1028" s="1531"/>
      <c r="O1028" s="1531"/>
      <c r="P1028" s="1531"/>
      <c r="Q1028" s="1531"/>
      <c r="R1028" s="1531"/>
      <c r="S1028" s="1531"/>
      <c r="T1028" s="1531"/>
      <c r="U1028" s="1531"/>
      <c r="V1028" s="1531"/>
      <c r="W1028" s="1531"/>
      <c r="X1028" s="1531"/>
      <c r="Y1028" s="1531"/>
      <c r="Z1028" s="1531"/>
      <c r="AA1028" s="1531"/>
      <c r="AB1028" s="1531"/>
      <c r="AC1028" s="1531"/>
      <c r="AD1028" s="1531"/>
      <c r="AE1028" s="1532"/>
      <c r="AF1028" s="79"/>
      <c r="AG1028" s="1528" t="s">
        <v>553</v>
      </c>
      <c r="AH1028" s="1529"/>
      <c r="AI1028" s="87"/>
      <c r="AJ1028" s="1413">
        <f>ROUND(IF(AG1028="yes",(AJ991*0.1),0),0)</f>
        <v>5001154</v>
      </c>
      <c r="AK1028" s="1414"/>
      <c r="AL1028" s="1414"/>
      <c r="AM1028" s="1414"/>
      <c r="AN1028" s="1414"/>
      <c r="AO1028" s="1414"/>
      <c r="AP1028" s="1414"/>
      <c r="AQ1028" s="1415"/>
      <c r="AR1028" s="68"/>
      <c r="AS1028" s="68"/>
      <c r="AT1028" s="68"/>
      <c r="AU1028" s="68"/>
      <c r="AV1028" s="68"/>
      <c r="AW1028" s="68"/>
      <c r="AX1028" s="68"/>
      <c r="AY1028" s="68"/>
    </row>
    <row r="1029" spans="1:51" ht="13.15" customHeight="1">
      <c r="A1029" s="14"/>
      <c r="B1029" s="73"/>
      <c r="C1029" s="74"/>
      <c r="D1029" s="1508" t="s">
        <v>1405</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3"/>
      <c r="AG1029" s="14"/>
      <c r="AH1029" s="14"/>
      <c r="AI1029" s="83"/>
      <c r="AJ1029" s="1416"/>
      <c r="AK1029" s="1417"/>
      <c r="AL1029" s="1417"/>
      <c r="AM1029" s="1417"/>
      <c r="AN1029" s="1417"/>
      <c r="AO1029" s="1417"/>
      <c r="AP1029" s="1417"/>
      <c r="AQ1029" s="1418"/>
      <c r="AR1029" s="68"/>
      <c r="AS1029" s="68"/>
      <c r="AT1029" s="68"/>
      <c r="AU1029" s="68"/>
      <c r="AV1029" s="68"/>
      <c r="AW1029" s="68"/>
      <c r="AX1029" s="68"/>
      <c r="AY1029" s="68"/>
    </row>
    <row r="1030" spans="1:51" ht="13.15"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419"/>
      <c r="AK1030" s="1420"/>
      <c r="AL1030" s="1420"/>
      <c r="AM1030" s="1420"/>
      <c r="AN1030" s="1420"/>
      <c r="AO1030" s="1420"/>
      <c r="AP1030" s="1420"/>
      <c r="AQ1030" s="1421"/>
      <c r="AR1030" s="68"/>
      <c r="AS1030" s="68"/>
      <c r="AT1030" s="68"/>
      <c r="AU1030" s="68"/>
      <c r="AV1030" s="68"/>
      <c r="AW1030" s="68"/>
      <c r="AX1030" s="68"/>
      <c r="AY1030" s="68"/>
    </row>
    <row r="1031" spans="1:51" ht="13.15" customHeight="1">
      <c r="A1031" s="14"/>
      <c r="B1031" s="73"/>
      <c r="C1031" s="367" t="s">
        <v>696</v>
      </c>
      <c r="D1031" s="1520" t="s">
        <v>1874</v>
      </c>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9"/>
      <c r="AG1031" s="1528" t="s">
        <v>677</v>
      </c>
      <c r="AH1031" s="1529"/>
      <c r="AI1031" s="87"/>
      <c r="AJ1031" s="1413">
        <f>ROUND(IF(AG1031="yes",(AJ991*0.15),0),0)</f>
        <v>0</v>
      </c>
      <c r="AK1031" s="1414"/>
      <c r="AL1031" s="1414"/>
      <c r="AM1031" s="1414"/>
      <c r="AN1031" s="1414"/>
      <c r="AO1031" s="1414"/>
      <c r="AP1031" s="1414"/>
      <c r="AQ1031" s="1415"/>
      <c r="AR1031" s="68"/>
      <c r="AS1031" s="68"/>
      <c r="AT1031" s="68"/>
      <c r="AU1031" s="68"/>
      <c r="AV1031" s="68"/>
      <c r="AW1031" s="68"/>
      <c r="AX1031" s="68"/>
      <c r="AY1031" s="68"/>
    </row>
    <row r="1032" spans="1:51" ht="13.15" customHeight="1">
      <c r="A1032" s="14"/>
      <c r="B1032" s="73"/>
      <c r="C1032" s="74"/>
      <c r="D1032" s="1574" t="s">
        <v>1875</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575"/>
      <c r="AF1032" s="950"/>
      <c r="AG1032" s="951"/>
      <c r="AH1032" s="951"/>
      <c r="AI1032" s="952"/>
      <c r="AJ1032" s="1416"/>
      <c r="AK1032" s="1417"/>
      <c r="AL1032" s="1417"/>
      <c r="AM1032" s="1417"/>
      <c r="AN1032" s="1417"/>
      <c r="AO1032" s="1417"/>
      <c r="AP1032" s="1417"/>
      <c r="AQ1032" s="1418"/>
      <c r="AR1032" s="68"/>
      <c r="AS1032" s="68"/>
      <c r="AT1032" s="68"/>
      <c r="AU1032" s="68"/>
      <c r="AV1032" s="68"/>
      <c r="AW1032" s="68"/>
      <c r="AX1032" s="68"/>
      <c r="AY1032" s="68"/>
    </row>
    <row r="1033" spans="1:51" ht="13.15" customHeight="1">
      <c r="A1033" s="14"/>
      <c r="B1033" s="73"/>
      <c r="C1033" s="74"/>
      <c r="D1033" s="1574"/>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75"/>
      <c r="AF1033" s="950"/>
      <c r="AG1033" s="951"/>
      <c r="AH1033" s="951"/>
      <c r="AI1033" s="952"/>
      <c r="AJ1033" s="1416"/>
      <c r="AK1033" s="1417"/>
      <c r="AL1033" s="1417"/>
      <c r="AM1033" s="1417"/>
      <c r="AN1033" s="1417"/>
      <c r="AO1033" s="1417"/>
      <c r="AP1033" s="1417"/>
      <c r="AQ1033" s="1418"/>
      <c r="AR1033" s="68"/>
      <c r="AS1033" s="68"/>
      <c r="AT1033" s="68"/>
      <c r="AU1033" s="68"/>
      <c r="AV1033" s="68"/>
      <c r="AW1033" s="68"/>
      <c r="AX1033" s="68"/>
      <c r="AY1033" s="68"/>
    </row>
    <row r="1034" spans="1:51" ht="13.15" customHeight="1">
      <c r="A1034" s="14"/>
      <c r="B1034" s="73"/>
      <c r="C1034" s="74"/>
      <c r="D1034" s="1576"/>
      <c r="E1034" s="1577"/>
      <c r="F1034" s="1577"/>
      <c r="G1034" s="1577"/>
      <c r="H1034" s="1577"/>
      <c r="I1034" s="1577"/>
      <c r="J1034" s="1577"/>
      <c r="K1034" s="1577"/>
      <c r="L1034" s="1577"/>
      <c r="M1034" s="1577"/>
      <c r="N1034" s="1577"/>
      <c r="O1034" s="1577"/>
      <c r="P1034" s="1577"/>
      <c r="Q1034" s="1577"/>
      <c r="R1034" s="1577"/>
      <c r="S1034" s="1577"/>
      <c r="T1034" s="1577"/>
      <c r="U1034" s="1577"/>
      <c r="V1034" s="1577"/>
      <c r="W1034" s="1577"/>
      <c r="X1034" s="1577"/>
      <c r="Y1034" s="1577"/>
      <c r="Z1034" s="1577"/>
      <c r="AA1034" s="1577"/>
      <c r="AB1034" s="1577"/>
      <c r="AC1034" s="1577"/>
      <c r="AD1034" s="1577"/>
      <c r="AE1034" s="1578"/>
      <c r="AF1034" s="953"/>
      <c r="AG1034" s="954"/>
      <c r="AH1034" s="954"/>
      <c r="AI1034" s="955"/>
      <c r="AJ1034" s="1419"/>
      <c r="AK1034" s="1420"/>
      <c r="AL1034" s="1420"/>
      <c r="AM1034" s="1420"/>
      <c r="AN1034" s="1420"/>
      <c r="AO1034" s="1420"/>
      <c r="AP1034" s="1420"/>
      <c r="AQ1034" s="1421"/>
      <c r="AR1034" s="68"/>
      <c r="AS1034" s="68"/>
      <c r="AT1034" s="68"/>
      <c r="AU1034" s="68"/>
      <c r="AV1034" s="68"/>
      <c r="AW1034" s="68"/>
      <c r="AX1034" s="68"/>
      <c r="AY1034" s="68"/>
    </row>
    <row r="1035" spans="1:51" ht="13.15" customHeight="1">
      <c r="A1035" s="14"/>
      <c r="B1035" s="73"/>
      <c r="C1035" s="367" t="s">
        <v>696</v>
      </c>
      <c r="D1035" s="1530" t="s">
        <v>1876</v>
      </c>
      <c r="E1035" s="1531"/>
      <c r="F1035" s="1531"/>
      <c r="G1035" s="1531"/>
      <c r="H1035" s="1531"/>
      <c r="I1035" s="1531"/>
      <c r="J1035" s="1531"/>
      <c r="K1035" s="1531"/>
      <c r="L1035" s="1531"/>
      <c r="M1035" s="1531"/>
      <c r="N1035" s="1531"/>
      <c r="O1035" s="1531"/>
      <c r="P1035" s="1531"/>
      <c r="Q1035" s="1531"/>
      <c r="R1035" s="1531"/>
      <c r="S1035" s="1531"/>
      <c r="T1035" s="1531"/>
      <c r="U1035" s="1531"/>
      <c r="V1035" s="1531"/>
      <c r="W1035" s="1531"/>
      <c r="X1035" s="1531"/>
      <c r="Y1035" s="1531"/>
      <c r="Z1035" s="1531"/>
      <c r="AA1035" s="1531"/>
      <c r="AB1035" s="1531"/>
      <c r="AC1035" s="1531"/>
      <c r="AD1035" s="1531"/>
      <c r="AE1035" s="1532"/>
      <c r="AF1035" s="73"/>
      <c r="AG1035" s="1731" t="s">
        <v>553</v>
      </c>
      <c r="AH1035" s="1732"/>
      <c r="AI1035" s="83"/>
      <c r="AJ1035" s="1413">
        <f>ROUND(IF(AND(AG1035="yes",AJ1031=0),(AJ991*0.1),0),0)</f>
        <v>5001154</v>
      </c>
      <c r="AK1035" s="1414"/>
      <c r="AL1035" s="1414"/>
      <c r="AM1035" s="1414"/>
      <c r="AN1035" s="1414"/>
      <c r="AO1035" s="1414"/>
      <c r="AP1035" s="1414"/>
      <c r="AQ1035" s="1415"/>
      <c r="AR1035" s="68"/>
      <c r="AS1035" s="68"/>
      <c r="AT1035" s="68"/>
      <c r="AU1035" s="68"/>
      <c r="AV1035" s="68"/>
      <c r="AW1035" s="68"/>
      <c r="AX1035" s="68"/>
      <c r="AY1035" s="68"/>
    </row>
    <row r="1036" spans="1:51" ht="13.15" customHeight="1">
      <c r="A1036" s="14"/>
      <c r="B1036" s="73"/>
      <c r="C1036" s="74"/>
      <c r="D1036" s="1574" t="s">
        <v>1877</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575"/>
      <c r="AF1036" s="73"/>
      <c r="AG1036" s="14"/>
      <c r="AH1036" s="14"/>
      <c r="AI1036" s="83"/>
      <c r="AJ1036" s="1416"/>
      <c r="AK1036" s="1417"/>
      <c r="AL1036" s="1417"/>
      <c r="AM1036" s="1417"/>
      <c r="AN1036" s="1417"/>
      <c r="AO1036" s="1417"/>
      <c r="AP1036" s="1417"/>
      <c r="AQ1036" s="1418"/>
      <c r="AR1036" s="68"/>
      <c r="AS1036" s="68"/>
      <c r="AT1036" s="68"/>
      <c r="AU1036" s="68"/>
      <c r="AV1036" s="68"/>
      <c r="AW1036" s="68"/>
      <c r="AX1036" s="68"/>
      <c r="AY1036" s="68"/>
    </row>
    <row r="1037" spans="1:51" ht="13.15" customHeight="1">
      <c r="A1037" s="14"/>
      <c r="B1037" s="73"/>
      <c r="C1037" s="74"/>
      <c r="D1037" s="1574"/>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75"/>
      <c r="AF1037" s="73"/>
      <c r="AG1037" s="14"/>
      <c r="AH1037" s="14"/>
      <c r="AI1037" s="83"/>
      <c r="AJ1037" s="1416"/>
      <c r="AK1037" s="1417"/>
      <c r="AL1037" s="1417"/>
      <c r="AM1037" s="1417"/>
      <c r="AN1037" s="1417"/>
      <c r="AO1037" s="1417"/>
      <c r="AP1037" s="1417"/>
      <c r="AQ1037" s="1418"/>
      <c r="AR1037" s="68"/>
      <c r="AS1037" s="68"/>
      <c r="AT1037" s="68"/>
      <c r="AU1037" s="68"/>
      <c r="AV1037" s="68"/>
      <c r="AW1037" s="68"/>
      <c r="AX1037" s="68"/>
      <c r="AY1037" s="68"/>
    </row>
    <row r="1038" spans="1:51" ht="13.15" customHeight="1">
      <c r="A1038" s="14"/>
      <c r="B1038" s="73"/>
      <c r="C1038" s="74"/>
      <c r="D1038" s="1574"/>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75"/>
      <c r="AF1038" s="73"/>
      <c r="AG1038" s="14"/>
      <c r="AH1038" s="14"/>
      <c r="AI1038" s="83"/>
      <c r="AJ1038" s="1416"/>
      <c r="AK1038" s="1417"/>
      <c r="AL1038" s="1417"/>
      <c r="AM1038" s="1417"/>
      <c r="AN1038" s="1417"/>
      <c r="AO1038" s="1417"/>
      <c r="AP1038" s="1417"/>
      <c r="AQ1038" s="1418"/>
      <c r="AR1038" s="68"/>
      <c r="AS1038" s="68"/>
      <c r="AT1038" s="68"/>
      <c r="AU1038" s="68"/>
      <c r="AV1038" s="68"/>
      <c r="AW1038" s="68"/>
      <c r="AX1038" s="68"/>
      <c r="AY1038" s="68"/>
    </row>
    <row r="1039" spans="1:51" ht="13.15" customHeight="1">
      <c r="A1039" s="14"/>
      <c r="B1039" s="73"/>
      <c r="C1039" s="74"/>
      <c r="D1039" s="1576"/>
      <c r="E1039" s="1577"/>
      <c r="F1039" s="1577"/>
      <c r="G1039" s="1577"/>
      <c r="H1039" s="1577"/>
      <c r="I1039" s="1577"/>
      <c r="J1039" s="1577"/>
      <c r="K1039" s="1577"/>
      <c r="L1039" s="1577"/>
      <c r="M1039" s="1577"/>
      <c r="N1039" s="1577"/>
      <c r="O1039" s="1577"/>
      <c r="P1039" s="1577"/>
      <c r="Q1039" s="1577"/>
      <c r="R1039" s="1577"/>
      <c r="S1039" s="1577"/>
      <c r="T1039" s="1577"/>
      <c r="U1039" s="1577"/>
      <c r="V1039" s="1577"/>
      <c r="W1039" s="1577"/>
      <c r="X1039" s="1577"/>
      <c r="Y1039" s="1577"/>
      <c r="Z1039" s="1577"/>
      <c r="AA1039" s="1577"/>
      <c r="AB1039" s="1577"/>
      <c r="AC1039" s="1577"/>
      <c r="AD1039" s="1577"/>
      <c r="AE1039" s="1578"/>
      <c r="AF1039" s="73"/>
      <c r="AG1039" s="14"/>
      <c r="AH1039" s="14"/>
      <c r="AI1039" s="83"/>
      <c r="AJ1039" s="1416"/>
      <c r="AK1039" s="1417"/>
      <c r="AL1039" s="1417"/>
      <c r="AM1039" s="1417"/>
      <c r="AN1039" s="1417"/>
      <c r="AO1039" s="1417"/>
      <c r="AP1039" s="1417"/>
      <c r="AQ1039" s="1418"/>
      <c r="AR1039" s="68"/>
      <c r="AS1039" s="68"/>
      <c r="AT1039" s="68"/>
      <c r="AU1039" s="68"/>
      <c r="AV1039" s="68"/>
      <c r="AW1039" s="68"/>
      <c r="AX1039" s="68"/>
      <c r="AY1039" s="68"/>
    </row>
    <row r="1040" spans="1:51" ht="13.15" customHeight="1">
      <c r="A1040" s="14"/>
      <c r="B1040" s="79"/>
      <c r="C1040" s="131" t="s">
        <v>1034</v>
      </c>
      <c r="D1040" s="1520" t="s">
        <v>1406</v>
      </c>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9"/>
      <c r="AG1040" s="1528" t="s">
        <v>553</v>
      </c>
      <c r="AH1040" s="1529"/>
      <c r="AI1040" s="87"/>
      <c r="AJ1040" s="1413">
        <f>ROUND(IF(AG1040="yes",(AJ991*0.1),0),0)</f>
        <v>5001154</v>
      </c>
      <c r="AK1040" s="1414"/>
      <c r="AL1040" s="1414"/>
      <c r="AM1040" s="1414"/>
      <c r="AN1040" s="1414"/>
      <c r="AO1040" s="1414"/>
      <c r="AP1040" s="1414"/>
      <c r="AQ1040" s="1415"/>
      <c r="AR1040" s="68"/>
      <c r="AS1040" s="68"/>
      <c r="AT1040" s="68"/>
      <c r="AU1040" s="68"/>
      <c r="AV1040" s="68"/>
      <c r="AW1040" s="68"/>
      <c r="AX1040" s="68"/>
      <c r="AY1040" s="68"/>
    </row>
    <row r="1041" spans="1:51" ht="13.15" customHeight="1">
      <c r="A1041" s="14"/>
      <c r="B1041" s="73"/>
      <c r="C1041" s="74"/>
      <c r="D1041" s="1508" t="s">
        <v>2502</v>
      </c>
      <c r="E1041" s="1509"/>
      <c r="F1041" s="1509"/>
      <c r="G1041" s="1509"/>
      <c r="H1041" s="1509"/>
      <c r="I1041" s="1509"/>
      <c r="J1041" s="1509"/>
      <c r="K1041" s="1509"/>
      <c r="L1041" s="1509"/>
      <c r="M1041" s="1509"/>
      <c r="N1041" s="1509"/>
      <c r="O1041" s="1509"/>
      <c r="P1041" s="1509"/>
      <c r="Q1041" s="1509"/>
      <c r="R1041" s="1509"/>
      <c r="S1041" s="1509"/>
      <c r="T1041" s="1509"/>
      <c r="U1041" s="1509"/>
      <c r="V1041" s="1509"/>
      <c r="W1041" s="1509"/>
      <c r="X1041" s="1509"/>
      <c r="Y1041" s="1509"/>
      <c r="Z1041" s="1509"/>
      <c r="AA1041" s="1509"/>
      <c r="AB1041" s="1509"/>
      <c r="AC1041" s="1509"/>
      <c r="AD1041" s="1509"/>
      <c r="AE1041" s="1510"/>
      <c r="AF1041" s="73"/>
      <c r="AG1041" s="14"/>
      <c r="AH1041" s="14"/>
      <c r="AI1041" s="83"/>
      <c r="AJ1041" s="1416"/>
      <c r="AK1041" s="1417"/>
      <c r="AL1041" s="1417"/>
      <c r="AM1041" s="1417"/>
      <c r="AN1041" s="1417"/>
      <c r="AO1041" s="1417"/>
      <c r="AP1041" s="1417"/>
      <c r="AQ1041" s="1418"/>
      <c r="AR1041" s="68"/>
      <c r="AS1041" s="68"/>
      <c r="AT1041" s="68"/>
      <c r="AU1041" s="68"/>
      <c r="AV1041" s="68"/>
      <c r="AW1041" s="68"/>
      <c r="AX1041" s="68"/>
      <c r="AY1041" s="68"/>
    </row>
    <row r="1042" spans="1:51" ht="13.15" customHeight="1">
      <c r="A1042" s="14"/>
      <c r="B1042" s="73"/>
      <c r="C1042" s="74"/>
      <c r="D1042" s="1508"/>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416"/>
      <c r="AK1042" s="1417"/>
      <c r="AL1042" s="1417"/>
      <c r="AM1042" s="1417"/>
      <c r="AN1042" s="1417"/>
      <c r="AO1042" s="1417"/>
      <c r="AP1042" s="1417"/>
      <c r="AQ1042" s="1418"/>
      <c r="AR1042" s="68"/>
      <c r="AS1042" s="68"/>
      <c r="AT1042" s="68"/>
      <c r="AU1042" s="68"/>
      <c r="AV1042" s="68"/>
      <c r="AW1042" s="68"/>
      <c r="AX1042" s="68"/>
      <c r="AY1042" s="68"/>
    </row>
    <row r="1043" spans="1:51" ht="13.15"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419"/>
      <c r="AK1043" s="1420"/>
      <c r="AL1043" s="1420"/>
      <c r="AM1043" s="1420"/>
      <c r="AN1043" s="1420"/>
      <c r="AO1043" s="1420"/>
      <c r="AP1043" s="1420"/>
      <c r="AQ1043" s="1421"/>
      <c r="AR1043" s="68"/>
      <c r="AS1043" s="68"/>
      <c r="AT1043" s="68"/>
      <c r="AU1043" s="68"/>
      <c r="AV1043" s="68"/>
      <c r="AW1043" s="68"/>
      <c r="AX1043" s="68"/>
      <c r="AY1043" s="68"/>
    </row>
    <row r="1044" spans="1:51" ht="13.15" customHeight="1">
      <c r="A1044" s="14"/>
      <c r="B1044" s="79"/>
      <c r="C1044" s="131" t="s">
        <v>1872</v>
      </c>
      <c r="D1044" s="1530" t="s">
        <v>2054</v>
      </c>
      <c r="E1044" s="1531"/>
      <c r="F1044" s="1531"/>
      <c r="G1044" s="1531"/>
      <c r="H1044" s="1531"/>
      <c r="I1044" s="1531"/>
      <c r="J1044" s="1531"/>
      <c r="K1044" s="1531"/>
      <c r="L1044" s="1531"/>
      <c r="M1044" s="1531"/>
      <c r="N1044" s="1531"/>
      <c r="O1044" s="1531"/>
      <c r="P1044" s="1531"/>
      <c r="Q1044" s="1531"/>
      <c r="R1044" s="1531"/>
      <c r="S1044" s="1531"/>
      <c r="T1044" s="1531"/>
      <c r="U1044" s="1531"/>
      <c r="V1044" s="1531"/>
      <c r="W1044" s="1531"/>
      <c r="X1044" s="1531"/>
      <c r="Y1044" s="1531"/>
      <c r="Z1044" s="1531"/>
      <c r="AA1044" s="1531"/>
      <c r="AB1044" s="1531"/>
      <c r="AC1044" s="1531"/>
      <c r="AD1044" s="1531"/>
      <c r="AE1044" s="1532"/>
      <c r="AF1044" s="79"/>
      <c r="AG1044" s="1579" t="str">
        <f>IF(X1047&gt;0,"Yes","No")</f>
        <v>Yes</v>
      </c>
      <c r="AH1044" s="1580"/>
      <c r="AI1044" s="87"/>
      <c r="AJ1044" s="1413">
        <f>IF((X1047=0),0,AY1004*AJ991)</f>
        <v>5501268.8499999996</v>
      </c>
      <c r="AK1044" s="1414"/>
      <c r="AL1044" s="1414"/>
      <c r="AM1044" s="1414"/>
      <c r="AN1044" s="1414"/>
      <c r="AO1044" s="1414"/>
      <c r="AP1044" s="1414"/>
      <c r="AQ1044" s="1415"/>
      <c r="AR1044" s="68"/>
      <c r="AS1044" s="68"/>
      <c r="AT1044" s="68"/>
      <c r="AU1044" s="68"/>
      <c r="AV1044" s="68"/>
      <c r="AW1044" s="68"/>
      <c r="AX1044" s="68"/>
      <c r="AY1044" s="68"/>
    </row>
    <row r="1045" spans="1:51" ht="13.15" customHeight="1">
      <c r="A1045" s="14"/>
      <c r="B1045" s="73"/>
      <c r="C1045" s="476"/>
      <c r="D1045" s="1508" t="s">
        <v>1408</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3"/>
      <c r="AG1045" s="477"/>
      <c r="AH1045" s="477"/>
      <c r="AI1045" s="83"/>
      <c r="AJ1045" s="1416"/>
      <c r="AK1045" s="1417"/>
      <c r="AL1045" s="1417"/>
      <c r="AM1045" s="1417"/>
      <c r="AN1045" s="1417"/>
      <c r="AO1045" s="1417"/>
      <c r="AP1045" s="1417"/>
      <c r="AQ1045" s="1418"/>
      <c r="AR1045" s="68"/>
      <c r="AS1045" s="68"/>
      <c r="AT1045" s="68"/>
      <c r="AU1045" s="13"/>
      <c r="AV1045" s="68"/>
      <c r="AW1045" s="68"/>
      <c r="AX1045" s="68"/>
      <c r="AY1045" s="68"/>
    </row>
    <row r="1046" spans="1:51" ht="13.15" customHeight="1">
      <c r="A1046" s="14"/>
      <c r="B1046" s="73"/>
      <c r="C1046" s="476"/>
      <c r="D1046" s="1508"/>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77"/>
      <c r="AH1046" s="477"/>
      <c r="AI1046" s="83"/>
      <c r="AJ1046" s="1416"/>
      <c r="AK1046" s="1417"/>
      <c r="AL1046" s="1417"/>
      <c r="AM1046" s="1417"/>
      <c r="AN1046" s="1417"/>
      <c r="AO1046" s="1417"/>
      <c r="AP1046" s="1417"/>
      <c r="AQ1046" s="1418"/>
      <c r="AR1046" s="68"/>
      <c r="AS1046" s="68"/>
      <c r="AT1046" s="68"/>
      <c r="AU1046" s="13"/>
      <c r="AV1046" s="68"/>
      <c r="AW1046" s="68"/>
      <c r="AX1046" s="68"/>
      <c r="AY1046" s="68"/>
    </row>
    <row r="1047" spans="1:51" ht="13.15" customHeight="1">
      <c r="A1047" s="14"/>
      <c r="B1047" s="77"/>
      <c r="C1047" s="78"/>
      <c r="D1047" s="132" t="s">
        <v>991</v>
      </c>
      <c r="E1047" s="133"/>
      <c r="F1047" s="133"/>
      <c r="G1047" s="133"/>
      <c r="H1047" s="133"/>
      <c r="I1047" s="1729">
        <f>AY1002</f>
        <v>97</v>
      </c>
      <c r="J1047" s="1730"/>
      <c r="K1047" s="7"/>
      <c r="L1047" s="133"/>
      <c r="M1047" s="133"/>
      <c r="N1047" s="133"/>
      <c r="O1047" s="133"/>
      <c r="P1047" s="133"/>
      <c r="Q1047" s="133"/>
      <c r="R1047" s="133"/>
      <c r="S1047" s="133"/>
      <c r="T1047" s="133"/>
      <c r="U1047" s="133"/>
      <c r="V1047" s="134" t="s">
        <v>992</v>
      </c>
      <c r="W1047" s="48"/>
      <c r="X1047" s="1727">
        <f>BG632</f>
        <v>11</v>
      </c>
      <c r="Y1047" s="1728"/>
      <c r="Z1047" s="48"/>
      <c r="AA1047" s="48"/>
      <c r="AB1047" s="48"/>
      <c r="AC1047" s="48"/>
      <c r="AD1047" s="48"/>
      <c r="AE1047" s="49"/>
      <c r="AF1047" s="959"/>
      <c r="AG1047" s="960"/>
      <c r="AH1047" s="960"/>
      <c r="AI1047" s="961"/>
      <c r="AJ1047" s="1419"/>
      <c r="AK1047" s="1420"/>
      <c r="AL1047" s="1420"/>
      <c r="AM1047" s="1420"/>
      <c r="AN1047" s="1420"/>
      <c r="AO1047" s="1420"/>
      <c r="AP1047" s="1420"/>
      <c r="AQ1047" s="1421"/>
      <c r="AR1047" s="68"/>
      <c r="AS1047" s="68"/>
      <c r="AT1047" s="68"/>
      <c r="AU1047" s="14"/>
      <c r="AV1047" s="68"/>
      <c r="AW1047" s="68"/>
      <c r="AX1047" s="68"/>
      <c r="AY1047" s="68"/>
    </row>
    <row r="1048" spans="1:51" ht="13.15" customHeight="1">
      <c r="A1048" s="14"/>
      <c r="B1048" s="79"/>
      <c r="C1048" s="131" t="s">
        <v>1873</v>
      </c>
      <c r="D1048" s="1520" t="s">
        <v>2531</v>
      </c>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2"/>
      <c r="AF1048" s="73"/>
      <c r="AG1048" s="1579" t="str">
        <f>IF(X1051&gt;0,"Yes","No")</f>
        <v>Yes</v>
      </c>
      <c r="AH1048" s="1580"/>
      <c r="AI1048" s="83"/>
      <c r="AJ1048" s="1413">
        <f>IF((X1051=0),0,(2*AY1005)*AJ991)</f>
        <v>15003460.5</v>
      </c>
      <c r="AK1048" s="1414"/>
      <c r="AL1048" s="1414"/>
      <c r="AM1048" s="1414"/>
      <c r="AN1048" s="1414"/>
      <c r="AO1048" s="1414"/>
      <c r="AP1048" s="1414"/>
      <c r="AQ1048" s="1415"/>
      <c r="AR1048" s="68"/>
      <c r="AS1048" s="68"/>
      <c r="AT1048" s="68"/>
      <c r="AU1048" s="14"/>
      <c r="AV1048" s="68"/>
      <c r="AW1048" s="68"/>
      <c r="AX1048" s="68"/>
      <c r="AY1048" s="68"/>
    </row>
    <row r="1049" spans="1:51" ht="13.15" customHeight="1">
      <c r="A1049" s="14"/>
      <c r="B1049" s="73"/>
      <c r="C1049" s="476"/>
      <c r="D1049" s="1508" t="s">
        <v>1407</v>
      </c>
      <c r="E1049" s="1509"/>
      <c r="F1049" s="1509"/>
      <c r="G1049" s="1509"/>
      <c r="H1049" s="1509"/>
      <c r="I1049" s="1509"/>
      <c r="J1049" s="1509"/>
      <c r="K1049" s="1509"/>
      <c r="L1049" s="1509"/>
      <c r="M1049" s="1509"/>
      <c r="N1049" s="1509"/>
      <c r="O1049" s="1509"/>
      <c r="P1049" s="1509"/>
      <c r="Q1049" s="1509"/>
      <c r="R1049" s="1509"/>
      <c r="S1049" s="1509"/>
      <c r="T1049" s="1509"/>
      <c r="U1049" s="1509"/>
      <c r="V1049" s="1509"/>
      <c r="W1049" s="1509"/>
      <c r="X1049" s="1509"/>
      <c r="Y1049" s="1509"/>
      <c r="Z1049" s="1509"/>
      <c r="AA1049" s="1509"/>
      <c r="AB1049" s="1509"/>
      <c r="AC1049" s="1509"/>
      <c r="AD1049" s="1509"/>
      <c r="AE1049" s="1510"/>
      <c r="AF1049" s="73"/>
      <c r="AG1049" s="477"/>
      <c r="AH1049" s="477"/>
      <c r="AI1049" s="83"/>
      <c r="AJ1049" s="1416"/>
      <c r="AK1049" s="1417"/>
      <c r="AL1049" s="1417"/>
      <c r="AM1049" s="1417"/>
      <c r="AN1049" s="1417"/>
      <c r="AO1049" s="1417"/>
      <c r="AP1049" s="1417"/>
      <c r="AQ1049" s="1418"/>
      <c r="AR1049" s="68"/>
      <c r="AS1049" s="68"/>
      <c r="AT1049" s="68"/>
      <c r="AU1049" s="68"/>
      <c r="AV1049" s="68"/>
      <c r="AW1049" s="68"/>
      <c r="AX1049" s="68"/>
      <c r="AY1049" s="68"/>
    </row>
    <row r="1050" spans="1:51" ht="13.15" customHeight="1">
      <c r="A1050" s="14"/>
      <c r="B1050" s="73"/>
      <c r="C1050" s="83"/>
      <c r="D1050" s="1508"/>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956"/>
      <c r="AG1050" s="957"/>
      <c r="AH1050" s="957"/>
      <c r="AI1050" s="958"/>
      <c r="AJ1050" s="1416"/>
      <c r="AK1050" s="1417"/>
      <c r="AL1050" s="1417"/>
      <c r="AM1050" s="1417"/>
      <c r="AN1050" s="1417"/>
      <c r="AO1050" s="1417"/>
      <c r="AP1050" s="1417"/>
      <c r="AQ1050" s="1418"/>
      <c r="AR1050" s="68"/>
      <c r="AS1050" s="68"/>
      <c r="AT1050" s="68"/>
      <c r="AU1050" s="68"/>
      <c r="AV1050" s="68"/>
      <c r="AW1050" s="68"/>
      <c r="AX1050" s="68"/>
      <c r="AY1050" s="68"/>
    </row>
    <row r="1051" spans="1:51" ht="13.15" customHeight="1">
      <c r="A1051" s="14"/>
      <c r="B1051" s="77"/>
      <c r="C1051" s="78"/>
      <c r="D1051" s="132" t="s">
        <v>991</v>
      </c>
      <c r="E1051" s="133"/>
      <c r="F1051" s="133"/>
      <c r="G1051" s="133"/>
      <c r="H1051" s="133"/>
      <c r="I1051" s="1729">
        <f>AY1002</f>
        <v>97</v>
      </c>
      <c r="J1051" s="1730"/>
      <c r="K1051" s="14"/>
      <c r="L1051" s="133"/>
      <c r="M1051" s="133"/>
      <c r="N1051" s="133"/>
      <c r="O1051" s="133"/>
      <c r="P1051" s="133"/>
      <c r="Q1051" s="133"/>
      <c r="R1051" s="133"/>
      <c r="S1051" s="133"/>
      <c r="T1051" s="133"/>
      <c r="U1051" s="133"/>
      <c r="V1051" s="134" t="s">
        <v>993</v>
      </c>
      <c r="X1051" s="1727">
        <f>BK632</f>
        <v>15</v>
      </c>
      <c r="Y1051" s="1728"/>
      <c r="AF1051" s="959"/>
      <c r="AG1051" s="960"/>
      <c r="AH1051" s="960"/>
      <c r="AI1051" s="961"/>
      <c r="AJ1051" s="1419"/>
      <c r="AK1051" s="1420"/>
      <c r="AL1051" s="1420"/>
      <c r="AM1051" s="1420"/>
      <c r="AN1051" s="1420"/>
      <c r="AO1051" s="1420"/>
      <c r="AP1051" s="1420"/>
      <c r="AQ1051" s="1421"/>
      <c r="AR1051" s="68"/>
      <c r="AS1051" s="68"/>
      <c r="AT1051" s="68"/>
      <c r="AU1051" s="68"/>
      <c r="AV1051" s="68"/>
      <c r="AW1051" s="68"/>
      <c r="AX1051" s="68"/>
      <c r="AY1051" s="68"/>
    </row>
    <row r="1052" spans="1:51" ht="13.15" customHeight="1">
      <c r="A1052" s="14"/>
      <c r="B1052" s="102"/>
      <c r="C1052" s="103"/>
      <c r="D1052" s="1725" t="s">
        <v>521</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71">
        <f>SUM(AJ991:AQ1051)</f>
        <v>87479726.349999994</v>
      </c>
      <c r="AK1052" s="1572"/>
      <c r="AL1052" s="1572"/>
      <c r="AM1052" s="1572"/>
      <c r="AN1052" s="1572"/>
      <c r="AO1052" s="1572"/>
      <c r="AP1052" s="1572"/>
      <c r="AQ1052" s="1573"/>
      <c r="AR1052" s="68"/>
      <c r="AS1052" s="68"/>
      <c r="AT1052" s="68"/>
      <c r="AU1052" s="68"/>
      <c r="AV1052" s="68"/>
      <c r="AW1052" s="68"/>
      <c r="AX1052" s="68"/>
      <c r="AY1052" s="68"/>
    </row>
    <row r="1053" spans="1:51" ht="13.1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1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1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1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1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1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15" customHeight="1">
      <c r="A1059" s="88"/>
      <c r="B1059" s="1411">
        <f>IF(ISNA(IF((AJ1019&gt;(AJ991*0.15)),"(f) cannot be greater than 15% of unadjusted eligible basis.",0)),"",(IF((AJ1019&gt;(AJ991*0.15)),"(f) cannot be greater than 15% of unadjusted eligible basis.",0)))</f>
        <v>0</v>
      </c>
      <c r="C1059" s="1411"/>
      <c r="D1059" s="1411"/>
      <c r="E1059" s="1411"/>
      <c r="F1059" s="1411"/>
      <c r="G1059" s="1411"/>
      <c r="H1059" s="1411"/>
      <c r="I1059" s="1411"/>
      <c r="J1059" s="1411"/>
      <c r="K1059" s="1411"/>
      <c r="L1059" s="1411"/>
      <c r="M1059" s="1411"/>
      <c r="N1059" s="1411"/>
      <c r="O1059" s="1411"/>
      <c r="P1059" s="1411"/>
      <c r="Q1059" s="1411"/>
      <c r="R1059" s="1411"/>
      <c r="S1059" s="1411"/>
      <c r="T1059" s="1411"/>
      <c r="U1059" s="1411"/>
      <c r="V1059" s="1411"/>
      <c r="W1059" s="1411"/>
      <c r="X1059" s="1411"/>
      <c r="Y1059" s="1411"/>
      <c r="Z1059" s="1411"/>
      <c r="AA1059" s="1411"/>
      <c r="AB1059" s="1411"/>
      <c r="AC1059" s="1411"/>
      <c r="AD1059" s="1411"/>
      <c r="AE1059" s="1411"/>
      <c r="AF1059" s="1411"/>
      <c r="AG1059" s="1411"/>
      <c r="AH1059" s="1411"/>
      <c r="AI1059" s="1411"/>
      <c r="AJ1059" s="1411"/>
      <c r="AK1059" s="1411"/>
      <c r="AL1059" s="1411"/>
      <c r="AM1059" s="1411"/>
      <c r="AN1059" s="1411"/>
      <c r="AO1059" s="1411"/>
      <c r="AP1059" s="1411"/>
      <c r="AQ1059" s="68"/>
      <c r="AR1059" s="68"/>
      <c r="AS1059" s="68"/>
      <c r="AT1059" s="68"/>
      <c r="AU1059" s="68"/>
      <c r="AV1059" s="68"/>
      <c r="AW1059" s="68"/>
      <c r="AX1059" s="68"/>
      <c r="AY1059" s="68"/>
    </row>
    <row r="1060" spans="1:51" ht="13.1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1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1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1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15" customHeight="1">
      <c r="A1064" s="1367" t="s">
        <v>599</v>
      </c>
      <c r="B1064" s="1367"/>
      <c r="C1064" s="8">
        <v>1</v>
      </c>
      <c r="D1064" s="1268" t="s">
        <v>1133</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15"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15"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15"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15"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15"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15" customHeight="1">
      <c r="A1070" s="1367" t="s">
        <v>599</v>
      </c>
      <c r="B1070" s="1367"/>
      <c r="C1070" s="8">
        <v>2</v>
      </c>
      <c r="D1070" s="1268" t="s">
        <v>1132</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15"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15"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15"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15"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15"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15" customHeight="1">
      <c r="A1076" s="1367" t="s">
        <v>599</v>
      </c>
      <c r="B1076" s="1367"/>
      <c r="C1076" s="8">
        <v>3</v>
      </c>
      <c r="D1076" s="1268" t="s">
        <v>2456</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15"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15"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15"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15"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15"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15"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15" customHeight="1">
      <c r="A1083" s="1367" t="s">
        <v>599</v>
      </c>
      <c r="B1083" s="1367"/>
      <c r="C1083" s="8">
        <v>4</v>
      </c>
      <c r="D1083" s="1268" t="s">
        <v>1118</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15"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15"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15" customHeight="1">
      <c r="A1086" s="1367" t="s">
        <v>599</v>
      </c>
      <c r="B1086" s="1367"/>
      <c r="C1086" s="8">
        <v>5</v>
      </c>
      <c r="D1086" s="1268" t="s">
        <v>2457</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15"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15"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15"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15"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15" customHeight="1">
      <c r="A1091" s="1367" t="s">
        <v>599</v>
      </c>
      <c r="B1091" s="1367"/>
      <c r="C1091" s="8">
        <v>6</v>
      </c>
      <c r="D1091" s="1268" t="s">
        <v>1119</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15"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15"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15" customHeight="1">
      <c r="A1094" s="1367" t="s">
        <v>599</v>
      </c>
      <c r="B1094" s="1367"/>
      <c r="C1094" s="212">
        <v>7</v>
      </c>
      <c r="D1094" s="1268" t="s">
        <v>1121</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15"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15"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15"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15" customHeight="1">
      <c r="A1098" s="1367" t="s">
        <v>599</v>
      </c>
      <c r="B1098" s="1367"/>
      <c r="C1098" s="212">
        <v>8</v>
      </c>
      <c r="D1098" s="1328" t="s">
        <v>1870</v>
      </c>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row>
    <row r="1099" spans="1:37" ht="13.15" customHeight="1">
      <c r="A1099" s="1"/>
      <c r="B1099" s="1"/>
      <c r="C1099" s="212"/>
      <c r="D1099" s="1328"/>
      <c r="E1099" s="1328"/>
      <c r="F1099" s="1328"/>
      <c r="G1099" s="1328"/>
      <c r="H1099" s="1328"/>
      <c r="I1099" s="1328"/>
      <c r="J1099" s="1328"/>
      <c r="K1099" s="1328"/>
      <c r="L1099" s="1328"/>
      <c r="M1099" s="1328"/>
      <c r="N1099" s="1328"/>
      <c r="O1099" s="1328"/>
      <c r="P1099" s="1328"/>
      <c r="Q1099" s="1328"/>
      <c r="R1099" s="1328"/>
      <c r="S1099" s="1328"/>
      <c r="T1099" s="1328"/>
      <c r="U1099" s="1328"/>
      <c r="V1099" s="1328"/>
      <c r="W1099" s="1328"/>
      <c r="X1099" s="1328"/>
      <c r="Y1099" s="1328"/>
      <c r="Z1099" s="1328"/>
      <c r="AA1099" s="1328"/>
      <c r="AB1099" s="1328"/>
      <c r="AC1099" s="1328"/>
      <c r="AD1099" s="1328"/>
      <c r="AE1099" s="1328"/>
      <c r="AF1099" s="1328"/>
      <c r="AG1099" s="1328"/>
      <c r="AH1099" s="1328"/>
      <c r="AI1099" s="1328"/>
      <c r="AJ1099" s="1328"/>
      <c r="AK1099" s="1328"/>
    </row>
    <row r="1100" spans="1:37" ht="13.15" customHeight="1">
      <c r="A1100" s="1"/>
      <c r="B1100" s="1"/>
      <c r="C1100" s="212"/>
      <c r="D1100" s="1328"/>
      <c r="E1100" s="1328"/>
      <c r="F1100" s="1328"/>
      <c r="G1100" s="1328"/>
      <c r="H1100" s="1328"/>
      <c r="I1100" s="1328"/>
      <c r="J1100" s="1328"/>
      <c r="K1100" s="1328"/>
      <c r="L1100" s="1328"/>
      <c r="M1100" s="1328"/>
      <c r="N1100" s="1328"/>
      <c r="O1100" s="1328"/>
      <c r="P1100" s="1328"/>
      <c r="Q1100" s="1328"/>
      <c r="R1100" s="1328"/>
      <c r="S1100" s="1328"/>
      <c r="T1100" s="1328"/>
      <c r="U1100" s="1328"/>
      <c r="V1100" s="1328"/>
      <c r="W1100" s="1328"/>
      <c r="X1100" s="1328"/>
      <c r="Y1100" s="1328"/>
      <c r="Z1100" s="1328"/>
      <c r="AA1100" s="1328"/>
      <c r="AB1100" s="1328"/>
      <c r="AC1100" s="1328"/>
      <c r="AD1100" s="1328"/>
      <c r="AE1100" s="1328"/>
      <c r="AF1100" s="1328"/>
      <c r="AG1100" s="1328"/>
      <c r="AH1100" s="1328"/>
      <c r="AI1100" s="1328"/>
      <c r="AJ1100" s="1328"/>
      <c r="AK1100" s="1328"/>
    </row>
    <row r="1101" spans="1:37" ht="0" hidden="1" customHeight="1">
      <c r="A1101" s="1"/>
      <c r="B1101" s="1"/>
      <c r="C1101" s="212"/>
      <c r="D1101" s="1328"/>
      <c r="E1101" s="1328"/>
      <c r="F1101" s="1328"/>
      <c r="G1101" s="1328"/>
      <c r="H1101" s="1328"/>
      <c r="I1101" s="1328"/>
      <c r="J1101" s="1328"/>
      <c r="K1101" s="1328"/>
      <c r="L1101" s="1328"/>
      <c r="M1101" s="1328"/>
      <c r="N1101" s="1328"/>
      <c r="O1101" s="1328"/>
      <c r="P1101" s="1328"/>
      <c r="Q1101" s="1328"/>
      <c r="R1101" s="1328"/>
      <c r="S1101" s="1328"/>
      <c r="T1101" s="1328"/>
      <c r="U1101" s="1328"/>
      <c r="V1101" s="1328"/>
      <c r="W1101" s="1328"/>
      <c r="X1101" s="1328"/>
      <c r="Y1101" s="1328"/>
      <c r="Z1101" s="1328"/>
      <c r="AA1101" s="1328"/>
      <c r="AB1101" s="1328"/>
      <c r="AC1101" s="1328"/>
      <c r="AD1101" s="1328"/>
      <c r="AE1101" s="1328"/>
      <c r="AF1101" s="1328"/>
      <c r="AG1101" s="1328"/>
      <c r="AH1101" s="1328"/>
      <c r="AI1101" s="1328"/>
      <c r="AJ1101" s="1328"/>
      <c r="AK1101" s="1328"/>
    </row>
    <row r="1102" spans="1:37" ht="0" hidden="1" customHeight="1">
      <c r="A1102" s="35"/>
      <c r="B1102" s="25"/>
      <c r="C1102" s="212"/>
      <c r="D1102" s="1328"/>
      <c r="E1102" s="1328"/>
      <c r="F1102" s="1328"/>
      <c r="G1102" s="1328"/>
      <c r="H1102" s="1328"/>
      <c r="I1102" s="1328"/>
      <c r="J1102" s="1328"/>
      <c r="K1102" s="1328"/>
      <c r="L1102" s="1328"/>
      <c r="M1102" s="1328"/>
      <c r="N1102" s="1328"/>
      <c r="O1102" s="1328"/>
      <c r="P1102" s="1328"/>
      <c r="Q1102" s="1328"/>
      <c r="R1102" s="1328"/>
      <c r="S1102" s="1328"/>
      <c r="T1102" s="1328"/>
      <c r="U1102" s="1328"/>
      <c r="V1102" s="1328"/>
      <c r="W1102" s="1328"/>
      <c r="X1102" s="1328"/>
      <c r="Y1102" s="1328"/>
      <c r="Z1102" s="1328"/>
      <c r="AA1102" s="1328"/>
      <c r="AB1102" s="1328"/>
      <c r="AC1102" s="1328"/>
      <c r="AD1102" s="1328"/>
      <c r="AE1102" s="1328"/>
      <c r="AF1102" s="1328"/>
      <c r="AG1102" s="1328"/>
      <c r="AH1102" s="1328"/>
      <c r="AI1102" s="1328"/>
      <c r="AJ1102" s="1328"/>
      <c r="AK1102" s="1328"/>
    </row>
    <row r="1103" spans="1:37" ht="0" hidden="1" customHeight="1">
      <c r="A1103" s="1367" t="s">
        <v>599</v>
      </c>
      <c r="B1103" s="1367"/>
      <c r="C1103" s="212">
        <v>9</v>
      </c>
      <c r="D1103" s="1268" t="s">
        <v>1120</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B723:F723"/>
    <mergeCell ref="AK739:AO739"/>
    <mergeCell ref="O735:S735"/>
    <mergeCell ref="AC736:AG736"/>
    <mergeCell ref="T738:W738"/>
    <mergeCell ref="T744:W744"/>
    <mergeCell ref="B741:F741"/>
    <mergeCell ref="AK732:AO732"/>
    <mergeCell ref="AK733:AO733"/>
    <mergeCell ref="P663:R663"/>
    <mergeCell ref="AH731:AJ731"/>
    <mergeCell ref="K725:N725"/>
    <mergeCell ref="AI663:AK663"/>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K718:N718"/>
    <mergeCell ref="K719:N719"/>
    <mergeCell ref="AE699:AI699"/>
    <mergeCell ref="T739:W739"/>
    <mergeCell ref="O724:S724"/>
    <mergeCell ref="T725:W725"/>
    <mergeCell ref="G724:J724"/>
    <mergeCell ref="AA312:AK312"/>
    <mergeCell ref="AA314:AK314"/>
    <mergeCell ref="AA313:AK313"/>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7:DV627"/>
    <mergeCell ref="DX632:EB632"/>
    <mergeCell ref="EC632:EG63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DM627:DQ627"/>
    <mergeCell ref="BG628:BH628"/>
    <mergeCell ref="BI628:BJ628"/>
    <mergeCell ref="BK628:BL628"/>
    <mergeCell ref="BN628:BR628"/>
    <mergeCell ref="BS628:BW628"/>
    <mergeCell ref="BX628:CB628"/>
    <mergeCell ref="CC628:CG628"/>
    <mergeCell ref="CH628:CL628"/>
    <mergeCell ref="CM628:CQ628"/>
    <mergeCell ref="BX627:CB627"/>
    <mergeCell ref="CC627:CG627"/>
    <mergeCell ref="BN626:BR626"/>
    <mergeCell ref="AI563:AL563"/>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K714:N717"/>
    <mergeCell ref="Z668:AK668"/>
    <mergeCell ref="G659:R659"/>
    <mergeCell ref="W706:AK706"/>
    <mergeCell ref="AH726:AJ726"/>
    <mergeCell ref="G719:J719"/>
    <mergeCell ref="O718:S718"/>
    <mergeCell ref="AH509:AK509"/>
    <mergeCell ref="AC503:AF503"/>
    <mergeCell ref="AC513:AF513"/>
    <mergeCell ref="AH526:AK526"/>
    <mergeCell ref="AC518:AF518"/>
    <mergeCell ref="AG440:AJ440"/>
    <mergeCell ref="D443:AF443"/>
    <mergeCell ref="W471:Y471"/>
    <mergeCell ref="AH520:AK520"/>
    <mergeCell ref="G474:V474"/>
    <mergeCell ref="Q487:AK487"/>
    <mergeCell ref="Q486:AK486"/>
    <mergeCell ref="AC499:AK499"/>
    <mergeCell ref="W468:Y468"/>
    <mergeCell ref="Q491:AK491"/>
    <mergeCell ref="AG445:AJ445"/>
    <mergeCell ref="AC521:AF521"/>
    <mergeCell ref="Q488:AK488"/>
    <mergeCell ref="Q493:AK493"/>
    <mergeCell ref="AC455:AF455"/>
    <mergeCell ref="F457:AB458"/>
    <mergeCell ref="D466:V466"/>
    <mergeCell ref="AC502:AF502"/>
    <mergeCell ref="M495:P495"/>
    <mergeCell ref="AC501:AF501"/>
    <mergeCell ref="AG449:AJ449"/>
    <mergeCell ref="AH523:AK523"/>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D441:AF441"/>
    <mergeCell ref="AA332:AF332"/>
    <mergeCell ref="AA328:AK328"/>
    <mergeCell ref="AA333:AK333"/>
    <mergeCell ref="H329:R329"/>
    <mergeCell ref="AD412:AE412"/>
    <mergeCell ref="H414:AE415"/>
    <mergeCell ref="K403:AJ403"/>
    <mergeCell ref="N371:Q371"/>
    <mergeCell ref="V382:W382"/>
    <mergeCell ref="Y364:Z364"/>
    <mergeCell ref="H341:R341"/>
    <mergeCell ref="AA320:AK320"/>
    <mergeCell ref="AA337:AK337"/>
    <mergeCell ref="H327:R327"/>
    <mergeCell ref="J387:U387"/>
    <mergeCell ref="T399:AJ399"/>
    <mergeCell ref="T398:AJ398"/>
    <mergeCell ref="AC387:AJ387"/>
    <mergeCell ref="V388:AJ388"/>
    <mergeCell ref="AG395:AJ395"/>
    <mergeCell ref="AI392:AJ392"/>
    <mergeCell ref="W470:Y470"/>
    <mergeCell ref="D471:V471"/>
    <mergeCell ref="O520:AA520"/>
    <mergeCell ref="AH518:AK518"/>
    <mergeCell ref="AH514:AK514"/>
    <mergeCell ref="D467:V467"/>
    <mergeCell ref="AG450:AJ450"/>
    <mergeCell ref="AG447:AJ447"/>
    <mergeCell ref="W467:Y467"/>
    <mergeCell ref="D448:AF448"/>
    <mergeCell ref="AG446:AJ446"/>
    <mergeCell ref="Z432:AA432"/>
    <mergeCell ref="AG441:AJ441"/>
    <mergeCell ref="AC516:AF516"/>
    <mergeCell ref="Q494:AK494"/>
    <mergeCell ref="AH507:AK507"/>
    <mergeCell ref="AH502:AK502"/>
    <mergeCell ref="H339:M339"/>
    <mergeCell ref="AG444:AJ444"/>
    <mergeCell ref="B489:P490"/>
    <mergeCell ref="AC506:AF506"/>
    <mergeCell ref="Q489:R490"/>
    <mergeCell ref="AI315:AK315"/>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AI323:AK323"/>
    <mergeCell ref="D440:AF440"/>
    <mergeCell ref="AF430:AG430"/>
    <mergeCell ref="AG437:AJ437"/>
    <mergeCell ref="AA336:AK336"/>
    <mergeCell ref="H333:R333"/>
    <mergeCell ref="S405:AJ405"/>
    <mergeCell ref="AA331:AF331"/>
    <mergeCell ref="AI339:AK339"/>
    <mergeCell ref="AA335:AK335"/>
    <mergeCell ref="P323:R323"/>
    <mergeCell ref="H324:M324"/>
    <mergeCell ref="AA325:AK325"/>
    <mergeCell ref="H315:M315"/>
    <mergeCell ref="H321:R321"/>
    <mergeCell ref="AA317:AK317"/>
    <mergeCell ref="AH505:AK505"/>
    <mergeCell ref="W466:Y466"/>
    <mergeCell ref="W473:Y473"/>
    <mergeCell ref="D469:V469"/>
    <mergeCell ref="W469:Y469"/>
    <mergeCell ref="W474:Y474"/>
    <mergeCell ref="D438:AF438"/>
    <mergeCell ref="M355:N355"/>
    <mergeCell ref="D439:AF439"/>
    <mergeCell ref="H331:M331"/>
    <mergeCell ref="D445:AF445"/>
    <mergeCell ref="AC500:AF500"/>
    <mergeCell ref="C554:L554"/>
    <mergeCell ref="C555:L555"/>
    <mergeCell ref="M554:P554"/>
    <mergeCell ref="AH536:AK536"/>
    <mergeCell ref="AH528:AK528"/>
    <mergeCell ref="Q551:S553"/>
    <mergeCell ref="T551:V553"/>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M562:AS562"/>
    <mergeCell ref="AM559:AS559"/>
    <mergeCell ref="AI589:AK589"/>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E557:AH557"/>
    <mergeCell ref="AC535:AF535"/>
    <mergeCell ref="AI554:AL554"/>
    <mergeCell ref="W557:Y557"/>
    <mergeCell ref="AC520:AF520"/>
    <mergeCell ref="AC527:AF527"/>
    <mergeCell ref="B520:H542"/>
    <mergeCell ref="Z551:AD553"/>
    <mergeCell ref="AM554:AS554"/>
    <mergeCell ref="AE555:AH555"/>
    <mergeCell ref="Q557:S557"/>
    <mergeCell ref="AH541:AK541"/>
    <mergeCell ref="AC534:AF534"/>
    <mergeCell ref="Q556:S556"/>
    <mergeCell ref="AH542:AK542"/>
    <mergeCell ref="AC542:AF542"/>
    <mergeCell ref="AC525:AF525"/>
    <mergeCell ref="AE556:AH556"/>
    <mergeCell ref="Q555:S555"/>
    <mergeCell ref="W551:Y553"/>
    <mergeCell ref="AH530:AK530"/>
    <mergeCell ref="AM551:AS553"/>
    <mergeCell ref="AE551:AH553"/>
    <mergeCell ref="AI551:AL553"/>
    <mergeCell ref="AM555:AS555"/>
    <mergeCell ref="AC541:AF541"/>
    <mergeCell ref="AE561:AH561"/>
    <mergeCell ref="O535:AA535"/>
    <mergeCell ref="W556:Y556"/>
    <mergeCell ref="AH539:AK539"/>
    <mergeCell ref="M556:P556"/>
    <mergeCell ref="M561:P561"/>
    <mergeCell ref="AC540:AF540"/>
    <mergeCell ref="M557:P557"/>
    <mergeCell ref="AC538:AF538"/>
    <mergeCell ref="AH533:AK533"/>
    <mergeCell ref="T556:V556"/>
    <mergeCell ref="AM558:AS558"/>
    <mergeCell ref="AM556:AS556"/>
    <mergeCell ref="AH537:AK537"/>
    <mergeCell ref="AI561:AL561"/>
    <mergeCell ref="AE560:AH560"/>
    <mergeCell ref="AE559:AH559"/>
    <mergeCell ref="Q558:S558"/>
    <mergeCell ref="AI559:AL559"/>
    <mergeCell ref="AI557:AL557"/>
    <mergeCell ref="W558:Y558"/>
    <mergeCell ref="AE558:AH558"/>
    <mergeCell ref="BS626:BW626"/>
    <mergeCell ref="BN624:BR624"/>
    <mergeCell ref="BN622:BR622"/>
    <mergeCell ref="BS622:BW622"/>
    <mergeCell ref="BN623:BR623"/>
    <mergeCell ref="BK612:BL612"/>
    <mergeCell ref="BI614:BJ614"/>
    <mergeCell ref="BS619:BW619"/>
    <mergeCell ref="BN602:BR602"/>
    <mergeCell ref="BK606:BL606"/>
    <mergeCell ref="BI605:BJ605"/>
    <mergeCell ref="BS609:BW609"/>
    <mergeCell ref="AM560:AS560"/>
    <mergeCell ref="H598:R598"/>
    <mergeCell ref="G577:R577"/>
    <mergeCell ref="G594:R594"/>
    <mergeCell ref="BK601:BL601"/>
    <mergeCell ref="Z577:AK577"/>
    <mergeCell ref="BN597:BR597"/>
    <mergeCell ref="BG597:BH597"/>
    <mergeCell ref="AI558:AL558"/>
    <mergeCell ref="AM557:AS557"/>
    <mergeCell ref="T557:V557"/>
    <mergeCell ref="AG583:AH583"/>
    <mergeCell ref="G588:R588"/>
    <mergeCell ref="AE562:AH562"/>
    <mergeCell ref="Z557:AD557"/>
    <mergeCell ref="BG603:BH603"/>
    <mergeCell ref="BS605:BW605"/>
    <mergeCell ref="BX605:CB605"/>
    <mergeCell ref="BI601:BJ601"/>
    <mergeCell ref="BK600:BL600"/>
    <mergeCell ref="BG598:BH598"/>
    <mergeCell ref="AE565:AH565"/>
    <mergeCell ref="Z605:AE605"/>
    <mergeCell ref="BS623:BW623"/>
    <mergeCell ref="BX623:CB623"/>
    <mergeCell ref="BN625:BR625"/>
    <mergeCell ref="BS625:BW625"/>
    <mergeCell ref="BE609:BF609"/>
    <mergeCell ref="BG612:BH612"/>
    <mergeCell ref="BK629:BL629"/>
    <mergeCell ref="BE626:BF626"/>
    <mergeCell ref="BG626:BH626"/>
    <mergeCell ref="BI626:BJ626"/>
    <mergeCell ref="BK626:BL626"/>
    <mergeCell ref="BE605:BF605"/>
    <mergeCell ref="BG622:BH622"/>
    <mergeCell ref="BI622:BJ622"/>
    <mergeCell ref="BK622:BL622"/>
    <mergeCell ref="BN619:BR619"/>
    <mergeCell ref="BX612:CB612"/>
    <mergeCell ref="BX615:CB615"/>
    <mergeCell ref="BK610:BL610"/>
    <mergeCell ref="BG611:BH611"/>
    <mergeCell ref="BN609:BR609"/>
    <mergeCell ref="BN610:BR610"/>
    <mergeCell ref="BN627:BR627"/>
    <mergeCell ref="BI609:BJ609"/>
    <mergeCell ref="BS627:BW627"/>
    <mergeCell ref="BK598:BL598"/>
    <mergeCell ref="CC601:CG601"/>
    <mergeCell ref="BS597:BW597"/>
    <mergeCell ref="BG596:BH596"/>
    <mergeCell ref="BG599:BH599"/>
    <mergeCell ref="BX607:CB607"/>
    <mergeCell ref="BS598:BW598"/>
    <mergeCell ref="BS599:BW599"/>
    <mergeCell ref="CC598:CG598"/>
    <mergeCell ref="BS604:BW604"/>
    <mergeCell ref="CC605:CG605"/>
    <mergeCell ref="BS602:BW602"/>
    <mergeCell ref="BI607:BJ607"/>
    <mergeCell ref="BG604:BH604"/>
    <mergeCell ref="CC610:CG610"/>
    <mergeCell ref="CC607:CG607"/>
    <mergeCell ref="BS608:BW608"/>
    <mergeCell ref="BN608:BR608"/>
    <mergeCell ref="BI604:BJ604"/>
    <mergeCell ref="BS606:BW606"/>
    <mergeCell ref="BI603:BJ603"/>
    <mergeCell ref="CC609:CG609"/>
    <mergeCell ref="BI606:BJ606"/>
    <mergeCell ref="BG605:BH605"/>
    <mergeCell ref="BI608:BJ608"/>
    <mergeCell ref="BN603:BR603"/>
    <mergeCell ref="BN606:BR606"/>
    <mergeCell ref="BN618:BR618"/>
    <mergeCell ref="BK617:BL617"/>
    <mergeCell ref="BI612:BJ612"/>
    <mergeCell ref="BK609:BL609"/>
    <mergeCell ref="BE621:BF621"/>
    <mergeCell ref="BG621:BH621"/>
    <mergeCell ref="BI621:BJ621"/>
    <mergeCell ref="BK621:BL621"/>
    <mergeCell ref="BG610:BH610"/>
    <mergeCell ref="BS610:BW610"/>
    <mergeCell ref="BN655:BR655"/>
    <mergeCell ref="BS640:BW640"/>
    <mergeCell ref="BN629:BR629"/>
    <mergeCell ref="BS629:BW629"/>
    <mergeCell ref="BX629:CB629"/>
    <mergeCell ref="BX639:CB639"/>
    <mergeCell ref="BX640:CB640"/>
    <mergeCell ref="Z633:AB633"/>
    <mergeCell ref="BX609:CB609"/>
    <mergeCell ref="G645:R645"/>
    <mergeCell ref="BE603:BF603"/>
    <mergeCell ref="BE607:BF607"/>
    <mergeCell ref="BE608:BF608"/>
    <mergeCell ref="BK607:BL607"/>
    <mergeCell ref="BN607:BR607"/>
    <mergeCell ref="BS607:BW607"/>
    <mergeCell ref="BG620:BH620"/>
    <mergeCell ref="BI620:BJ620"/>
    <mergeCell ref="BK620:BL620"/>
    <mergeCell ref="Q638:S638"/>
    <mergeCell ref="Z634:AB634"/>
    <mergeCell ref="Z635:AB635"/>
    <mergeCell ref="AO632:AS632"/>
    <mergeCell ref="H648:R648"/>
    <mergeCell ref="BI615:BJ615"/>
    <mergeCell ref="BG618:BH618"/>
    <mergeCell ref="BE612:BF612"/>
    <mergeCell ref="BX626:CB626"/>
    <mergeCell ref="BX610:CB610"/>
    <mergeCell ref="BI610:BJ610"/>
    <mergeCell ref="BK603:BL603"/>
    <mergeCell ref="BG608:BH608"/>
    <mergeCell ref="G644:R644"/>
    <mergeCell ref="Z645:AK645"/>
    <mergeCell ref="P655:R655"/>
    <mergeCell ref="G613:L613"/>
    <mergeCell ref="Z653:AK653"/>
    <mergeCell ref="Z647:AE647"/>
    <mergeCell ref="P647:R647"/>
    <mergeCell ref="AI647:AK647"/>
    <mergeCell ref="AO624:AS626"/>
    <mergeCell ref="BS630:BW630"/>
    <mergeCell ref="CC602:CG602"/>
    <mergeCell ref="CC606:CG606"/>
    <mergeCell ref="BG609:BH609"/>
    <mergeCell ref="BX602:CB602"/>
    <mergeCell ref="Z609:AK609"/>
    <mergeCell ref="BG606:BH606"/>
    <mergeCell ref="BX604:CB604"/>
    <mergeCell ref="B624:L626"/>
    <mergeCell ref="BN639:BR639"/>
    <mergeCell ref="BN640:BR640"/>
    <mergeCell ref="BK627:BL627"/>
    <mergeCell ref="BI625:BJ625"/>
    <mergeCell ref="BK625:BL625"/>
    <mergeCell ref="BE624:BF624"/>
    <mergeCell ref="BE628:BF628"/>
    <mergeCell ref="BE620:BF620"/>
    <mergeCell ref="BI600:BJ600"/>
    <mergeCell ref="BN600:BR600"/>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BX603:CB603"/>
    <mergeCell ref="BG607:BH607"/>
    <mergeCell ref="BX608:CB608"/>
    <mergeCell ref="BX606:CB606"/>
    <mergeCell ref="H606:R606"/>
    <mergeCell ref="G605:L605"/>
    <mergeCell ref="BE606:BF606"/>
    <mergeCell ref="AA590:AK590"/>
    <mergeCell ref="BK605:BL605"/>
    <mergeCell ref="AA606:AK606"/>
    <mergeCell ref="BX599:CB599"/>
    <mergeCell ref="BE601:BF601"/>
    <mergeCell ref="BE598:BF598"/>
    <mergeCell ref="BG600:BH600"/>
    <mergeCell ref="BI597:BJ597"/>
    <mergeCell ref="BK596:BL596"/>
    <mergeCell ref="AA311:AK311"/>
    <mergeCell ref="AA306:AK306"/>
    <mergeCell ref="AA303:AK303"/>
    <mergeCell ref="B503:H508"/>
    <mergeCell ref="D444:AF444"/>
    <mergeCell ref="AH519:AK519"/>
    <mergeCell ref="AG448:AJ448"/>
    <mergeCell ref="Z596:AK596"/>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CH599:CL599"/>
    <mergeCell ref="CC600:CG600"/>
    <mergeCell ref="CC597:CG597"/>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H515:AK515"/>
    <mergeCell ref="AH513:AK513"/>
    <mergeCell ref="D468:V468"/>
    <mergeCell ref="AC505:AF505"/>
    <mergeCell ref="AH506:AK506"/>
    <mergeCell ref="AH508:AK508"/>
    <mergeCell ref="D442:AF442"/>
    <mergeCell ref="AG380:AH380"/>
    <mergeCell ref="Q485:AK485"/>
    <mergeCell ref="D472:V472"/>
    <mergeCell ref="W472:Y472"/>
    <mergeCell ref="AC508:AF508"/>
    <mergeCell ref="P345:AE345"/>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H299:M299"/>
    <mergeCell ref="H300:M300"/>
    <mergeCell ref="AA257:AK257"/>
    <mergeCell ref="L280:AD280"/>
    <mergeCell ref="L275:AD275"/>
    <mergeCell ref="H290:R290"/>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F150:T150"/>
    <mergeCell ref="J173:S173"/>
    <mergeCell ref="O155:AH155"/>
    <mergeCell ref="D270:H270"/>
    <mergeCell ref="X270:AC270"/>
    <mergeCell ref="Z263:AE263"/>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O159:T159"/>
    <mergeCell ref="J174:AB174"/>
    <mergeCell ref="U175:V175"/>
    <mergeCell ref="R177:S177"/>
    <mergeCell ref="AI226:AJ226"/>
    <mergeCell ref="T189:AE189"/>
    <mergeCell ref="T195:U195"/>
    <mergeCell ref="E187:AE188"/>
    <mergeCell ref="AF178:AG178"/>
    <mergeCell ref="Z199:AA199"/>
    <mergeCell ref="Y123:AK123"/>
    <mergeCell ref="D208:M208"/>
    <mergeCell ref="M244:AE244"/>
    <mergeCell ref="I190:N190"/>
    <mergeCell ref="M247:R247"/>
    <mergeCell ref="A222:AT223"/>
    <mergeCell ref="T190:AE190"/>
    <mergeCell ref="M232:AK232"/>
    <mergeCell ref="M233:AE233"/>
    <mergeCell ref="N191:AE192"/>
    <mergeCell ref="Z247:AE247"/>
    <mergeCell ref="W245:X245"/>
    <mergeCell ref="P291:R291"/>
    <mergeCell ref="L274:AJ274"/>
    <mergeCell ref="H289:R289"/>
    <mergeCell ref="H291:M291"/>
    <mergeCell ref="AH254:AK254"/>
    <mergeCell ref="I185:AE185"/>
    <mergeCell ref="D205:M205"/>
    <mergeCell ref="M238:T238"/>
    <mergeCell ref="T197:U197"/>
    <mergeCell ref="M235:AE235"/>
    <mergeCell ref="U236:W236"/>
    <mergeCell ref="M243:AE243"/>
    <mergeCell ref="D204:M204"/>
    <mergeCell ref="D211:M211"/>
    <mergeCell ref="AI228:AJ228"/>
    <mergeCell ref="W234:X234"/>
    <mergeCell ref="AB212:AC212"/>
    <mergeCell ref="AC234:AE234"/>
    <mergeCell ref="AH197:AI197"/>
    <mergeCell ref="Z205:AN205"/>
    <mergeCell ref="I189:P189"/>
    <mergeCell ref="M260:AE260"/>
    <mergeCell ref="AA249:AK249"/>
    <mergeCell ref="H309:R309"/>
    <mergeCell ref="H313:R313"/>
    <mergeCell ref="H304:R304"/>
    <mergeCell ref="H303:R303"/>
    <mergeCell ref="AA308:AF308"/>
    <mergeCell ref="AA238:AK238"/>
    <mergeCell ref="W253:X253"/>
    <mergeCell ref="AA295:AK295"/>
    <mergeCell ref="AF259:AK259"/>
    <mergeCell ref="AC261:AE261"/>
    <mergeCell ref="M254:AE254"/>
    <mergeCell ref="AF243:AK243"/>
    <mergeCell ref="T196:U196"/>
    <mergeCell ref="D220:Z220"/>
    <mergeCell ref="T193:AI193"/>
    <mergeCell ref="AI227:AJ227"/>
    <mergeCell ref="L276:S276"/>
    <mergeCell ref="L278:Q278"/>
    <mergeCell ref="AA296:AK296"/>
    <mergeCell ref="AA289:AK289"/>
    <mergeCell ref="H298:R298"/>
    <mergeCell ref="H312:R312"/>
    <mergeCell ref="AI307:AK307"/>
    <mergeCell ref="L279:AD279"/>
    <mergeCell ref="AA292:AF292"/>
    <mergeCell ref="AB276:AD276"/>
    <mergeCell ref="Y278:AD278"/>
    <mergeCell ref="P205:U205"/>
    <mergeCell ref="M239:AE239"/>
    <mergeCell ref="AH246:AK246"/>
    <mergeCell ref="M245:T245"/>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H322:R322"/>
    <mergeCell ref="P315:R315"/>
    <mergeCell ref="H288:R288"/>
    <mergeCell ref="AA290:AK290"/>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H314:R314"/>
    <mergeCell ref="H316:M316"/>
    <mergeCell ref="AA322:AK322"/>
    <mergeCell ref="H292:M292"/>
    <mergeCell ref="M251:AE251"/>
    <mergeCell ref="AA301:AK301"/>
    <mergeCell ref="H301:R301"/>
    <mergeCell ref="H330:R330"/>
    <mergeCell ref="AA321:AK321"/>
    <mergeCell ref="H325:R325"/>
    <mergeCell ref="H307:M307"/>
    <mergeCell ref="M263:R263"/>
    <mergeCell ref="M265:T265"/>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AC347:AE347"/>
    <mergeCell ref="P343:AE343"/>
    <mergeCell ref="AA340:AF340"/>
    <mergeCell ref="AF251:AK251"/>
    <mergeCell ref="AA265:AK265"/>
    <mergeCell ref="H295:R295"/>
    <mergeCell ref="M261:T261"/>
    <mergeCell ref="AH262:AK262"/>
    <mergeCell ref="H311:R311"/>
    <mergeCell ref="H308:M308"/>
    <mergeCell ref="P307:R307"/>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C528:AF528"/>
    <mergeCell ref="D473:V473"/>
    <mergeCell ref="AC504:AF504"/>
    <mergeCell ref="S489:AK490"/>
    <mergeCell ref="B551:L553"/>
    <mergeCell ref="M551:P553"/>
    <mergeCell ref="AC531:AF531"/>
    <mergeCell ref="AH500:AK500"/>
    <mergeCell ref="M555:P555"/>
    <mergeCell ref="C556:L556"/>
    <mergeCell ref="Q562:S562"/>
    <mergeCell ref="AC533:AF533"/>
    <mergeCell ref="Z555:AD555"/>
    <mergeCell ref="Z569:AK569"/>
    <mergeCell ref="M563:P563"/>
    <mergeCell ref="Q564:S564"/>
    <mergeCell ref="AI562:AL562"/>
    <mergeCell ref="AC532:AF532"/>
    <mergeCell ref="T565:V565"/>
    <mergeCell ref="Z613:AE613"/>
    <mergeCell ref="Z661:AK661"/>
    <mergeCell ref="Z685:AK685"/>
    <mergeCell ref="G675:R675"/>
    <mergeCell ref="Z667:AK667"/>
    <mergeCell ref="N575:O575"/>
    <mergeCell ref="G569:R569"/>
    <mergeCell ref="H582:R582"/>
    <mergeCell ref="Z663:AE663"/>
    <mergeCell ref="Z643:AK643"/>
    <mergeCell ref="Z654:AK654"/>
    <mergeCell ref="N583:O583"/>
    <mergeCell ref="G661:R661"/>
    <mergeCell ref="G593:R593"/>
    <mergeCell ref="W636:Y636"/>
    <mergeCell ref="W637:Y637"/>
    <mergeCell ref="C627:L627"/>
    <mergeCell ref="C635:L635"/>
    <mergeCell ref="H614:R614"/>
    <mergeCell ref="Z632:AB632"/>
    <mergeCell ref="G651:R651"/>
    <mergeCell ref="G652:R652"/>
    <mergeCell ref="M574:R574"/>
    <mergeCell ref="G670:R670"/>
    <mergeCell ref="Z669:AK669"/>
    <mergeCell ref="P581:R581"/>
    <mergeCell ref="G653:R653"/>
    <mergeCell ref="G568:R568"/>
    <mergeCell ref="AG607:AH607"/>
    <mergeCell ref="N649:O649"/>
    <mergeCell ref="AA648:AK648"/>
    <mergeCell ref="M562:P562"/>
    <mergeCell ref="H664:R664"/>
    <mergeCell ref="AA582:AK582"/>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N657:O657"/>
    <mergeCell ref="AF629:AJ629"/>
    <mergeCell ref="G654:R654"/>
    <mergeCell ref="G646:R646"/>
    <mergeCell ref="Z644:AK644"/>
    <mergeCell ref="AE564:AH564"/>
    <mergeCell ref="AI655:AK655"/>
    <mergeCell ref="G662:R662"/>
    <mergeCell ref="M558:P558"/>
    <mergeCell ref="G571:R571"/>
    <mergeCell ref="G585:R585"/>
    <mergeCell ref="AG575:AH575"/>
    <mergeCell ref="Z568:AK568"/>
    <mergeCell ref="Z571:AK571"/>
    <mergeCell ref="P589:R589"/>
    <mergeCell ref="AF628:AJ628"/>
    <mergeCell ref="Z580:AK580"/>
    <mergeCell ref="AG657:AH657"/>
    <mergeCell ref="G721:J721"/>
    <mergeCell ref="G720:J720"/>
    <mergeCell ref="Z563:AD563"/>
    <mergeCell ref="W700:AK700"/>
    <mergeCell ref="G677:R677"/>
    <mergeCell ref="Z678:AK678"/>
    <mergeCell ref="G685:R685"/>
    <mergeCell ref="AA672:AK672"/>
    <mergeCell ref="Z684:AK684"/>
    <mergeCell ref="G684:R684"/>
    <mergeCell ref="AK719:AO719"/>
    <mergeCell ref="AE698:AI698"/>
    <mergeCell ref="AI687:AK687"/>
    <mergeCell ref="AE696:AI696"/>
    <mergeCell ref="Z662:AK662"/>
    <mergeCell ref="Z659:AK659"/>
    <mergeCell ref="Z559:AD559"/>
    <mergeCell ref="Z660:AK660"/>
    <mergeCell ref="G663:L663"/>
    <mergeCell ref="C561:L561"/>
    <mergeCell ref="AM564:AS564"/>
    <mergeCell ref="T719:W71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X792:AB792"/>
    <mergeCell ref="T752:W752"/>
    <mergeCell ref="O797:S797"/>
    <mergeCell ref="O793:S793"/>
    <mergeCell ref="J790:N790"/>
    <mergeCell ref="O788:S788"/>
    <mergeCell ref="AC746:AG746"/>
    <mergeCell ref="AC747:AG747"/>
    <mergeCell ref="K748:N748"/>
    <mergeCell ref="AH745:AJ745"/>
    <mergeCell ref="AH746:AJ746"/>
    <mergeCell ref="AH747:AJ747"/>
    <mergeCell ref="AC783:AG786"/>
    <mergeCell ref="J791:N791"/>
    <mergeCell ref="C638:L638"/>
    <mergeCell ref="G722:J722"/>
    <mergeCell ref="O723:S723"/>
    <mergeCell ref="X723:AB723"/>
    <mergeCell ref="K724:N724"/>
    <mergeCell ref="AG665:AH665"/>
    <mergeCell ref="T729:W729"/>
    <mergeCell ref="AH728:AJ728"/>
    <mergeCell ref="AK748:AO748"/>
    <mergeCell ref="M825:P825"/>
    <mergeCell ref="J769:N772"/>
    <mergeCell ref="AG823:AJ824"/>
    <mergeCell ref="AC797:AG797"/>
    <mergeCell ref="AC787:AG787"/>
    <mergeCell ref="X769:AB772"/>
    <mergeCell ref="T769:W772"/>
    <mergeCell ref="O791:S791"/>
    <mergeCell ref="T787:W787"/>
    <mergeCell ref="T788:W788"/>
    <mergeCell ref="T789:W789"/>
    <mergeCell ref="K743:N743"/>
    <mergeCell ref="O743:S743"/>
    <mergeCell ref="T743:W743"/>
    <mergeCell ref="K744:N744"/>
    <mergeCell ref="O744:S744"/>
    <mergeCell ref="AC742:AG742"/>
    <mergeCell ref="X777:AB777"/>
    <mergeCell ref="AC777:AG777"/>
    <mergeCell ref="Q823:T824"/>
    <mergeCell ref="Z809:AE809"/>
    <mergeCell ref="X750:AB750"/>
    <mergeCell ref="AK738:AO738"/>
    <mergeCell ref="G730:J730"/>
    <mergeCell ref="X730:AB730"/>
    <mergeCell ref="X731:AB731"/>
    <mergeCell ref="AH727:AJ727"/>
    <mergeCell ref="AC724:AG724"/>
    <mergeCell ref="C825:H825"/>
    <mergeCell ref="B727:F727"/>
    <mergeCell ref="B731:F731"/>
    <mergeCell ref="B730:F730"/>
    <mergeCell ref="AG831:AJ831"/>
    <mergeCell ref="X793:AB793"/>
    <mergeCell ref="T783:W786"/>
    <mergeCell ref="X773:AB773"/>
    <mergeCell ref="O789:S789"/>
    <mergeCell ref="J775:N775"/>
    <mergeCell ref="AC776:AG776"/>
    <mergeCell ref="AC792:AG792"/>
    <mergeCell ref="J783:N786"/>
    <mergeCell ref="T790:W790"/>
    <mergeCell ref="Q829:T829"/>
    <mergeCell ref="T795:W795"/>
    <mergeCell ref="U828:X828"/>
    <mergeCell ref="AG828:AJ828"/>
    <mergeCell ref="Z807:AE807"/>
    <mergeCell ref="O774:S774"/>
    <mergeCell ref="O794:S794"/>
    <mergeCell ref="AC793:AG793"/>
    <mergeCell ref="X775:AB775"/>
    <mergeCell ref="X776:AB776"/>
    <mergeCell ref="J793:N793"/>
    <mergeCell ref="X788:AB788"/>
    <mergeCell ref="O775:S775"/>
    <mergeCell ref="Q831:T831"/>
    <mergeCell ref="M827:P827"/>
    <mergeCell ref="J797:N797"/>
    <mergeCell ref="J795:N795"/>
    <mergeCell ref="AC774:AG774"/>
    <mergeCell ref="Q832:T832"/>
    <mergeCell ref="X794:AB794"/>
    <mergeCell ref="T796:W796"/>
    <mergeCell ref="X774:AB774"/>
    <mergeCell ref="AG830:AJ830"/>
    <mergeCell ref="J788:N788"/>
    <mergeCell ref="U832:X832"/>
    <mergeCell ref="M832:P832"/>
    <mergeCell ref="W866:AC866"/>
    <mergeCell ref="T773:W773"/>
    <mergeCell ref="W859:AC859"/>
    <mergeCell ref="C832:L832"/>
    <mergeCell ref="AC825:AF825"/>
    <mergeCell ref="AG827:AJ827"/>
    <mergeCell ref="M826:P826"/>
    <mergeCell ref="Q825:T825"/>
    <mergeCell ref="J773:N773"/>
    <mergeCell ref="O773:S773"/>
    <mergeCell ref="J776:N776"/>
    <mergeCell ref="C827:H827"/>
    <mergeCell ref="C830:H830"/>
    <mergeCell ref="P816:Y816"/>
    <mergeCell ref="O795:S795"/>
    <mergeCell ref="T775:W775"/>
    <mergeCell ref="U827:X827"/>
    <mergeCell ref="C826:H826"/>
    <mergeCell ref="U829:X829"/>
    <mergeCell ref="W852:AC852"/>
    <mergeCell ref="Q828:T828"/>
    <mergeCell ref="AC775:AG775"/>
    <mergeCell ref="W849:AC849"/>
    <mergeCell ref="Q827:T827"/>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78:AC87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A923:AF923"/>
    <mergeCell ref="BD902:BE902"/>
    <mergeCell ref="AB916:AE916"/>
    <mergeCell ref="AA921:AF921"/>
    <mergeCell ref="U940:Z94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I945:T945"/>
    <mergeCell ref="U945:Z945"/>
    <mergeCell ref="AA945:AF945"/>
    <mergeCell ref="F945:H945"/>
    <mergeCell ref="F925:T925"/>
    <mergeCell ref="F926:T926"/>
    <mergeCell ref="F927:T927"/>
    <mergeCell ref="U925:Z925"/>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M871:V871"/>
    <mergeCell ref="M878:V878"/>
    <mergeCell ref="W870:AC870"/>
    <mergeCell ref="D1064:AK1069"/>
    <mergeCell ref="M874:V874"/>
    <mergeCell ref="R985:AA985"/>
    <mergeCell ref="M958:S958"/>
    <mergeCell ref="AE958:AK958"/>
    <mergeCell ref="W973:AG973"/>
    <mergeCell ref="M972:S972"/>
    <mergeCell ref="D999:AE999"/>
    <mergeCell ref="D1052:AI1052"/>
    <mergeCell ref="D1048:AE1048"/>
    <mergeCell ref="D1045:AE1046"/>
    <mergeCell ref="D1049:AE1050"/>
    <mergeCell ref="X1047:Y1047"/>
    <mergeCell ref="X1051:Y1051"/>
    <mergeCell ref="I1047:J1047"/>
    <mergeCell ref="BI623:BJ623"/>
    <mergeCell ref="BK623:BL623"/>
    <mergeCell ref="W638:Y638"/>
    <mergeCell ref="AC624:AE626"/>
    <mergeCell ref="AK628:AN628"/>
    <mergeCell ref="AK637:AN637"/>
    <mergeCell ref="AK638:AN638"/>
    <mergeCell ref="AF633:AJ633"/>
    <mergeCell ref="AC629:AE629"/>
    <mergeCell ref="BG627:BH627"/>
    <mergeCell ref="BI627:BJ627"/>
    <mergeCell ref="T635:V635"/>
    <mergeCell ref="T636:V636"/>
    <mergeCell ref="T637:V637"/>
    <mergeCell ref="T638:V638"/>
    <mergeCell ref="Q624:S626"/>
    <mergeCell ref="W633:Y633"/>
    <mergeCell ref="BE629:BF629"/>
    <mergeCell ref="BG629:BH629"/>
    <mergeCell ref="Q628:S628"/>
    <mergeCell ref="W630:Y630"/>
    <mergeCell ref="AO636:AS636"/>
    <mergeCell ref="AO627:AS627"/>
    <mergeCell ref="Z627:AB627"/>
    <mergeCell ref="C637:L637"/>
    <mergeCell ref="C628:L628"/>
    <mergeCell ref="Z631:AB631"/>
    <mergeCell ref="AF624:AJ626"/>
    <mergeCell ref="Z630:AB630"/>
    <mergeCell ref="AC635:AE635"/>
    <mergeCell ref="C633:L633"/>
    <mergeCell ref="C634:L634"/>
    <mergeCell ref="AF638:AJ638"/>
    <mergeCell ref="AC638:AE638"/>
    <mergeCell ref="BG631:BH631"/>
    <mergeCell ref="BI631:BJ631"/>
    <mergeCell ref="AO640:AS640"/>
    <mergeCell ref="BG632:BH632"/>
    <mergeCell ref="BK632:BL632"/>
    <mergeCell ref="BN632:BR632"/>
    <mergeCell ref="M635:P635"/>
    <mergeCell ref="M636:P636"/>
    <mergeCell ref="M637:P637"/>
    <mergeCell ref="M638:P638"/>
    <mergeCell ref="T628:V628"/>
    <mergeCell ref="Q636:S636"/>
    <mergeCell ref="Q637:S637"/>
    <mergeCell ref="AF635:AJ635"/>
    <mergeCell ref="AO635:AS635"/>
    <mergeCell ref="BG624:BH624"/>
    <mergeCell ref="BE627:BF627"/>
    <mergeCell ref="AF636:AJ636"/>
    <mergeCell ref="AF637:AJ637"/>
    <mergeCell ref="AK624:AN626"/>
    <mergeCell ref="AC636:AE636"/>
    <mergeCell ref="AC637:AE63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BI630:BJ630"/>
    <mergeCell ref="BI629:BJ629"/>
    <mergeCell ref="BI617:BJ617"/>
    <mergeCell ref="BN620:BR620"/>
    <mergeCell ref="BE611:BF611"/>
    <mergeCell ref="BN613:BR613"/>
    <mergeCell ref="BN611:BR611"/>
    <mergeCell ref="CH617:CL617"/>
    <mergeCell ref="BG613:BH613"/>
    <mergeCell ref="BK615:BL615"/>
    <mergeCell ref="CC614:CG614"/>
    <mergeCell ref="BN615:BR615"/>
    <mergeCell ref="BK616:BL616"/>
    <mergeCell ref="BS616:BW616"/>
    <mergeCell ref="CH612:CL612"/>
    <mergeCell ref="CH611:CL611"/>
    <mergeCell ref="BK618:BL618"/>
    <mergeCell ref="BE614:BF614"/>
    <mergeCell ref="BG616:BH616"/>
    <mergeCell ref="BK611:BL611"/>
    <mergeCell ref="AO641:AS641"/>
    <mergeCell ref="BS617:BW617"/>
    <mergeCell ref="BE613:BF613"/>
    <mergeCell ref="BS641:BW641"/>
    <mergeCell ref="AO638:AS638"/>
    <mergeCell ref="BS632:BW632"/>
    <mergeCell ref="BK631:BL631"/>
    <mergeCell ref="BN631:BR631"/>
    <mergeCell ref="BN638:BR638"/>
    <mergeCell ref="BE616:BF616"/>
    <mergeCell ref="BE617:BF617"/>
    <mergeCell ref="BI618:BJ618"/>
    <mergeCell ref="CC616:CG616"/>
    <mergeCell ref="BX622:CB622"/>
    <mergeCell ref="BG614:BH614"/>
    <mergeCell ref="BE622:BF622"/>
    <mergeCell ref="CX596:DB596"/>
    <mergeCell ref="W565:Y565"/>
    <mergeCell ref="CM596:CQ59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566:AL566"/>
    <mergeCell ref="AM561:AS561"/>
    <mergeCell ref="CC611:CG611"/>
    <mergeCell ref="BS612:BW612"/>
    <mergeCell ref="BN616:BR616"/>
    <mergeCell ref="BE618:BF618"/>
    <mergeCell ref="BE619:BF619"/>
    <mergeCell ref="BI616:BJ616"/>
    <mergeCell ref="CC596:CG596"/>
    <mergeCell ref="CM597:CQ597"/>
    <mergeCell ref="CM598:CQ598"/>
    <mergeCell ref="CM599:CQ599"/>
    <mergeCell ref="Z597:AE597"/>
    <mergeCell ref="BX600:CB600"/>
    <mergeCell ref="BG602:BH602"/>
    <mergeCell ref="AM566:AS566"/>
    <mergeCell ref="CS601:CW601"/>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H340:M340"/>
    <mergeCell ref="Z593:AK593"/>
    <mergeCell ref="Z554:AD554"/>
    <mergeCell ref="M560:P560"/>
    <mergeCell ref="C560:L560"/>
    <mergeCell ref="Z560:AD560"/>
    <mergeCell ref="AJ356:AK356"/>
    <mergeCell ref="AG390:AJ390"/>
    <mergeCell ref="AI564:AL564"/>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M358:N358"/>
    <mergeCell ref="I410:AE410"/>
    <mergeCell ref="AA573:AK573"/>
    <mergeCell ref="W465:Y465"/>
    <mergeCell ref="AF574:AK574"/>
    <mergeCell ref="Z585:AK585"/>
    <mergeCell ref="M565:P565"/>
    <mergeCell ref="T563:V563"/>
    <mergeCell ref="Z564:AD564"/>
    <mergeCell ref="Z565:AD565"/>
    <mergeCell ref="G579:R579"/>
    <mergeCell ref="AI581:AK581"/>
    <mergeCell ref="AI572:AK572"/>
    <mergeCell ref="G570:R57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R616:DV616"/>
    <mergeCell ref="CX616:DB616"/>
    <mergeCell ref="DH614:DL614"/>
    <mergeCell ref="DM614:DQ614"/>
    <mergeCell ref="CX614:DB614"/>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Z655:AE655"/>
    <mergeCell ref="Z652:AK652"/>
    <mergeCell ref="Y823:AB824"/>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M968:S968"/>
    <mergeCell ref="M846:V846"/>
    <mergeCell ref="W843:AC843"/>
    <mergeCell ref="J849:V849"/>
    <mergeCell ref="AC893:AH893"/>
    <mergeCell ref="W855:AC855"/>
    <mergeCell ref="AC892:AH892"/>
    <mergeCell ref="W846:AC846"/>
    <mergeCell ref="BD903:BE903"/>
    <mergeCell ref="AA925:AF925"/>
    <mergeCell ref="U926:Z926"/>
    <mergeCell ref="M970:S970"/>
    <mergeCell ref="M955:S955"/>
    <mergeCell ref="AA926:AF926"/>
    <mergeCell ref="F928:T928"/>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K752:AO752"/>
    <mergeCell ref="AA948:AF94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B733:F73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M971:S971"/>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AK718:AO718"/>
    <mergeCell ref="AH723:AJ723"/>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26:AB826"/>
    <mergeCell ref="O745:S745"/>
    <mergeCell ref="Y830:AB830"/>
    <mergeCell ref="O756:R756"/>
    <mergeCell ref="AG756:AJ756"/>
    <mergeCell ref="O787:S787"/>
    <mergeCell ref="Q826:T826"/>
    <mergeCell ref="M829:P829"/>
    <mergeCell ref="Z815:AE815"/>
    <mergeCell ref="Z808:AE808"/>
    <mergeCell ref="C763:AR765"/>
    <mergeCell ref="C766:AR768"/>
    <mergeCell ref="T749:W749"/>
    <mergeCell ref="K750:N750"/>
    <mergeCell ref="AC740:AG740"/>
    <mergeCell ref="AC741:AG741"/>
    <mergeCell ref="J774:N774"/>
    <mergeCell ref="M830:P830"/>
    <mergeCell ref="T791:W791"/>
    <mergeCell ref="Q830:T830"/>
    <mergeCell ref="C829:H829"/>
    <mergeCell ref="AH748:AJ748"/>
    <mergeCell ref="X745:AB745"/>
    <mergeCell ref="X746:AB746"/>
    <mergeCell ref="B746:F746"/>
    <mergeCell ref="B747:F747"/>
    <mergeCell ref="B748:F748"/>
    <mergeCell ref="B749:F749"/>
    <mergeCell ref="B750:F750"/>
    <mergeCell ref="K747:N747"/>
    <mergeCell ref="AK741:AO741"/>
    <mergeCell ref="K745:N745"/>
    <mergeCell ref="Z561:AD561"/>
    <mergeCell ref="K730:N730"/>
    <mergeCell ref="K731:N731"/>
    <mergeCell ref="O727:S727"/>
    <mergeCell ref="Z572:AE572"/>
    <mergeCell ref="Q563:S563"/>
    <mergeCell ref="AI565:AL565"/>
    <mergeCell ref="Z588:AK588"/>
    <mergeCell ref="Z578:AK578"/>
    <mergeCell ref="Z603:AK603"/>
    <mergeCell ref="AI605:AK605"/>
    <mergeCell ref="AF634:AJ634"/>
    <mergeCell ref="AK630:AN630"/>
    <mergeCell ref="AK631:AN631"/>
    <mergeCell ref="AK632:AN632"/>
    <mergeCell ref="Z604:AK604"/>
    <mergeCell ref="AM563:AS563"/>
    <mergeCell ref="H573:R573"/>
    <mergeCell ref="G597:L597"/>
    <mergeCell ref="AG591:AH591"/>
    <mergeCell ref="P605:R605"/>
    <mergeCell ref="AC630:AE630"/>
    <mergeCell ref="AC631:AE631"/>
    <mergeCell ref="Q627:S627"/>
    <mergeCell ref="A617:AT618"/>
    <mergeCell ref="M624:P626"/>
    <mergeCell ref="M627:P627"/>
    <mergeCell ref="M628:P628"/>
    <mergeCell ref="Z601:AK601"/>
    <mergeCell ref="G609:R609"/>
    <mergeCell ref="Z594:AK594"/>
    <mergeCell ref="AK731:AO73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T740:W740"/>
    <mergeCell ref="G741:J741"/>
    <mergeCell ref="G736:J736"/>
    <mergeCell ref="AC739:AG739"/>
    <mergeCell ref="T793:W793"/>
    <mergeCell ref="G739:J739"/>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AJ993:AQ999"/>
    <mergeCell ref="AH737:AJ737"/>
    <mergeCell ref="AH738:AJ738"/>
    <mergeCell ref="U823:X824"/>
    <mergeCell ref="Z806:AE806"/>
    <mergeCell ref="B751:F751"/>
    <mergeCell ref="T750:W750"/>
    <mergeCell ref="K751:N751"/>
    <mergeCell ref="O751:S751"/>
    <mergeCell ref="T751:W751"/>
    <mergeCell ref="B742:F742"/>
    <mergeCell ref="K737:N737"/>
    <mergeCell ref="F831:L831"/>
    <mergeCell ref="AH739:AJ739"/>
    <mergeCell ref="AH740:AJ740"/>
    <mergeCell ref="M831:P831"/>
    <mergeCell ref="T745:W745"/>
    <mergeCell ref="B739:F739"/>
    <mergeCell ref="D998:AE998"/>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613:EL613"/>
    <mergeCell ref="DX610:EB610"/>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C637:EG637"/>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44:FA644"/>
    <mergeCell ref="EC641:EG641"/>
    <mergeCell ref="EC643:EG643"/>
    <mergeCell ref="EH643:EL643"/>
    <mergeCell ref="AO634:AS634"/>
    <mergeCell ref="BX637:CB637"/>
    <mergeCell ref="CH638:CL638"/>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CH641:CL641"/>
    <mergeCell ref="BN641:BR641"/>
    <mergeCell ref="BN637:BR637"/>
    <mergeCell ref="BS631:BW631"/>
    <mergeCell ref="BX624:CB624"/>
    <mergeCell ref="CC624:CG624"/>
    <mergeCell ref="CC626:CG626"/>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M612:EQ612"/>
    <mergeCell ref="BN617:BR617"/>
    <mergeCell ref="DR619:DV619"/>
    <mergeCell ref="Z636:AB636"/>
    <mergeCell ref="Z637:AB637"/>
    <mergeCell ref="Z638:AB638"/>
    <mergeCell ref="W627:Y627"/>
    <mergeCell ref="T627:V627"/>
    <mergeCell ref="Z624:AB626"/>
    <mergeCell ref="T624:V626"/>
    <mergeCell ref="BX619:CB619"/>
    <mergeCell ref="CM633:CQ633"/>
    <mergeCell ref="DM619:DQ619"/>
    <mergeCell ref="BE631:BF631"/>
    <mergeCell ref="BE630:BF630"/>
    <mergeCell ref="DH630:DL630"/>
    <mergeCell ref="CH637:CL637"/>
    <mergeCell ref="BX638:CB638"/>
    <mergeCell ref="BS620:BW620"/>
    <mergeCell ref="BX620:CB620"/>
    <mergeCell ref="BE623:BF623"/>
    <mergeCell ref="BG623:BH623"/>
    <mergeCell ref="BN621:BR621"/>
    <mergeCell ref="BI624:BJ624"/>
    <mergeCell ref="DC631:DG631"/>
    <mergeCell ref="DM631:DQ631"/>
    <mergeCell ref="DH631:DL631"/>
    <mergeCell ref="AK636:AN636"/>
    <mergeCell ref="CC637:CG637"/>
    <mergeCell ref="DC630:DG630"/>
    <mergeCell ref="CS630:CW630"/>
    <mergeCell ref="CX630:DB630"/>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R630:DV630"/>
    <mergeCell ref="DR645:DV645"/>
    <mergeCell ref="CC645:CG645"/>
    <mergeCell ref="BX632:CB632"/>
    <mergeCell ref="CH625:CL625"/>
    <mergeCell ref="CM625:CQ625"/>
    <mergeCell ref="BX625:CB625"/>
    <mergeCell ref="CC623:CG623"/>
    <mergeCell ref="CC629:CG629"/>
    <mergeCell ref="CH629:CL629"/>
    <mergeCell ref="CM638:CQ638"/>
    <mergeCell ref="CC625:CG625"/>
    <mergeCell ref="BS639:BW639"/>
    <mergeCell ref="BS621:BW621"/>
    <mergeCell ref="BX621:CB621"/>
    <mergeCell ref="CC621:CG621"/>
    <mergeCell ref="CH621:CL621"/>
    <mergeCell ref="CM621:CQ621"/>
    <mergeCell ref="DM626:DQ626"/>
    <mergeCell ref="DR626:DV626"/>
    <mergeCell ref="BI619:BJ619"/>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DM646:DQ646"/>
    <mergeCell ref="BN645:BR645"/>
    <mergeCell ref="DM645:DQ645"/>
    <mergeCell ref="CH627:CL627"/>
    <mergeCell ref="CM627:CQ627"/>
    <mergeCell ref="CM637:CQ637"/>
    <mergeCell ref="CH630:CL630"/>
    <mergeCell ref="CS627:CW627"/>
    <mergeCell ref="CX627:DB627"/>
    <mergeCell ref="DC627:DG627"/>
    <mergeCell ref="DH627:DL627"/>
    <mergeCell ref="CM641:CQ641"/>
    <mergeCell ref="BX641:CB641"/>
    <mergeCell ref="CC641:CG641"/>
    <mergeCell ref="CC639:CG639"/>
    <mergeCell ref="CS631:CW631"/>
    <mergeCell ref="CX631:DB631"/>
    <mergeCell ref="CH631:CL631"/>
    <mergeCell ref="CC631:CG631"/>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CM645:CQ645"/>
    <mergeCell ref="CM647:CQ647"/>
    <mergeCell ref="CM646:CQ646"/>
    <mergeCell ref="BX647:CB647"/>
    <mergeCell ref="CX646:DB646"/>
    <mergeCell ref="CH646:CL646"/>
    <mergeCell ref="CC646:CG646"/>
    <mergeCell ref="DH645:DL645"/>
    <mergeCell ref="BX646:CB646"/>
    <mergeCell ref="CH620:CL620"/>
    <mergeCell ref="CM620:CQ620"/>
    <mergeCell ref="CC622:CG622"/>
    <mergeCell ref="CH622:CL622"/>
    <mergeCell ref="CM622:CQ622"/>
    <mergeCell ref="CH623:CL623"/>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48:DB648"/>
    <mergeCell ref="DC648:DG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EM670:EQ670"/>
    <mergeCell ref="AK730:AO730"/>
    <mergeCell ref="Z686:AK686"/>
    <mergeCell ref="AC729:AG729"/>
    <mergeCell ref="AG681:AH681"/>
    <mergeCell ref="Z671:AE671"/>
    <mergeCell ref="X725:AB725"/>
    <mergeCell ref="AE694:AF694"/>
    <mergeCell ref="AK727:AO727"/>
    <mergeCell ref="AK720:AO720"/>
    <mergeCell ref="AK721:AO721"/>
    <mergeCell ref="AC723:AG723"/>
    <mergeCell ref="Z683:AK683"/>
    <mergeCell ref="AA688:AK688"/>
    <mergeCell ref="AC719:AG719"/>
    <mergeCell ref="X720:AB720"/>
    <mergeCell ref="X722:AB722"/>
    <mergeCell ref="AI679:AK679"/>
    <mergeCell ref="AH724:AJ724"/>
    <mergeCell ref="E707:AK707"/>
    <mergeCell ref="O722:S722"/>
    <mergeCell ref="G679:L679"/>
    <mergeCell ref="O714:S717"/>
    <mergeCell ref="N673:O673"/>
    <mergeCell ref="G687:L687"/>
    <mergeCell ref="T722:W722"/>
    <mergeCell ref="B721:F721"/>
    <mergeCell ref="B725:F725"/>
    <mergeCell ref="B724:F724"/>
    <mergeCell ref="B729:F729"/>
    <mergeCell ref="B720:F720"/>
    <mergeCell ref="B722:F722"/>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AH734:AJ734"/>
    <mergeCell ref="T714:W717"/>
    <mergeCell ref="O719:S719"/>
    <mergeCell ref="X724:AB724"/>
    <mergeCell ref="AH722:AJ722"/>
    <mergeCell ref="T733:W733"/>
    <mergeCell ref="AC734:AG734"/>
    <mergeCell ref="AC735:AG735"/>
    <mergeCell ref="X732:AB732"/>
    <mergeCell ref="K734:N734"/>
    <mergeCell ref="AC733:AG733"/>
    <mergeCell ref="AK736:AO736"/>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B734:F734"/>
    <mergeCell ref="AC730:AG730"/>
    <mergeCell ref="B737:F737"/>
    <mergeCell ref="O730:S730"/>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Q631:S631"/>
    <mergeCell ref="Q632:S632"/>
    <mergeCell ref="Q633:S633"/>
    <mergeCell ref="Q634:S634"/>
    <mergeCell ref="AK633:AN633"/>
    <mergeCell ref="W632:Y632"/>
    <mergeCell ref="P613:R613"/>
    <mergeCell ref="G587:R587"/>
    <mergeCell ref="G578:R578"/>
    <mergeCell ref="M633:P633"/>
    <mergeCell ref="M634:P634"/>
    <mergeCell ref="G610:R610"/>
    <mergeCell ref="T558:V558"/>
    <mergeCell ref="W561:Y561"/>
    <mergeCell ref="W562:Y562"/>
    <mergeCell ref="W563:Y563"/>
    <mergeCell ref="W564:Y564"/>
    <mergeCell ref="T560:V560"/>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W634:Y634"/>
    <mergeCell ref="H590:R590"/>
    <mergeCell ref="G601:R601"/>
    <mergeCell ref="AC632:AE632"/>
    <mergeCell ref="AC628:AE628"/>
    <mergeCell ref="C629:L629"/>
    <mergeCell ref="C630:L630"/>
    <mergeCell ref="C631:L631"/>
    <mergeCell ref="C632:L632"/>
    <mergeCell ref="Z628:AB628"/>
    <mergeCell ref="Z629:AB629"/>
    <mergeCell ref="C636:L636"/>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K635:AN635"/>
    <mergeCell ref="AF631:AJ631"/>
    <mergeCell ref="Q635:S635"/>
    <mergeCell ref="AI613:AK613"/>
    <mergeCell ref="AK629:AN629"/>
    <mergeCell ref="AF632:AJ632"/>
    <mergeCell ref="AK627:AN627"/>
    <mergeCell ref="AF627:AJ627"/>
    <mergeCell ref="Z562:AD562"/>
    <mergeCell ref="AC539:AF539"/>
    <mergeCell ref="AC537:AF537"/>
    <mergeCell ref="V381:W38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X749:AB749"/>
    <mergeCell ref="B743:F743"/>
    <mergeCell ref="B744:F744"/>
    <mergeCell ref="B745:F745"/>
    <mergeCell ref="O746:S746"/>
    <mergeCell ref="T746:W746"/>
    <mergeCell ref="X791:AB791"/>
    <mergeCell ref="G729:J729"/>
    <mergeCell ref="B726:F726"/>
    <mergeCell ref="G655:L655"/>
    <mergeCell ref="H656:R656"/>
    <mergeCell ref="AA656:AK656"/>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G732:J732"/>
    <mergeCell ref="K728:N728"/>
    <mergeCell ref="K746:N746"/>
    <mergeCell ref="B754:AH755"/>
    <mergeCell ref="G727:J727"/>
    <mergeCell ref="AK740:AO740"/>
    <mergeCell ref="AH730:AJ730"/>
    <mergeCell ref="X735:AB735"/>
    <mergeCell ref="X736:AB736"/>
    <mergeCell ref="T735:W735"/>
    <mergeCell ref="X739:AB739"/>
    <mergeCell ref="B735:F735"/>
    <mergeCell ref="B738:F738"/>
    <mergeCell ref="AH742:AJ742"/>
    <mergeCell ref="AK734:AO734"/>
    <mergeCell ref="AK735:AO735"/>
    <mergeCell ref="T734:W734"/>
    <mergeCell ref="O734:S734"/>
    <mergeCell ref="O748:S748"/>
    <mergeCell ref="X740:AB740"/>
    <mergeCell ref="X748:AB748"/>
    <mergeCell ref="N665:O665"/>
    <mergeCell ref="H672:R672"/>
    <mergeCell ref="G676:R676"/>
    <mergeCell ref="O747:S747"/>
    <mergeCell ref="T747:W747"/>
    <mergeCell ref="AC748:AG748"/>
    <mergeCell ref="B714:F717"/>
    <mergeCell ref="AC744:AG744"/>
    <mergeCell ref="AC745:AG745"/>
    <mergeCell ref="K733:N733"/>
    <mergeCell ref="AH736:AJ736"/>
    <mergeCell ref="AH735:AJ735"/>
    <mergeCell ref="X734:AB734"/>
    <mergeCell ref="X733:AB733"/>
    <mergeCell ref="K735:N735"/>
    <mergeCell ref="K736:N736"/>
    <mergeCell ref="T742:W742"/>
    <mergeCell ref="T728:W728"/>
    <mergeCell ref="AC737:AG737"/>
    <mergeCell ref="O733:S733"/>
    <mergeCell ref="G740:J740"/>
    <mergeCell ref="K739:N73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1" zoomScale="110" zoomScaleNormal="110" workbookViewId="0">
      <selection activeCell="C105" sqref="C105"/>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7265625" style="158" hidden="1"/>
    <col min="16384" max="16384" width="0.1796875" style="158" customWidth="1"/>
  </cols>
  <sheetData>
    <row r="1" spans="1:21" s="110" customFormat="1" ht="13.5">
      <c r="A1" s="168" t="s">
        <v>557</v>
      </c>
      <c r="B1" s="125"/>
      <c r="C1" s="125"/>
      <c r="D1" s="125"/>
      <c r="E1" s="126"/>
      <c r="F1" s="1872" t="s">
        <v>629</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375</v>
      </c>
      <c r="D2" s="138" t="s">
        <v>374</v>
      </c>
      <c r="E2" s="138" t="s">
        <v>24</v>
      </c>
      <c r="F2" s="139" t="str">
        <f>Application!B627&amp;Application!C627</f>
        <v>1)Citibank Permanent Loan</v>
      </c>
      <c r="G2" s="139" t="str">
        <f>Application!B628&amp;Application!C628</f>
        <v>2)City of San Diego Bridge To HOME</v>
      </c>
      <c r="H2" s="139" t="str">
        <f>Application!B629&amp;Application!C629</f>
        <v>3)San Diego Housing Commission</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8500000</v>
      </c>
      <c r="C4" s="147">
        <v>8500000</v>
      </c>
      <c r="D4" s="147"/>
      <c r="E4" s="147">
        <v>8500000</v>
      </c>
      <c r="F4" s="147"/>
      <c r="G4" s="147"/>
      <c r="H4" s="147"/>
      <c r="I4" s="147"/>
      <c r="J4" s="147"/>
      <c r="K4" s="147"/>
      <c r="L4" s="147"/>
      <c r="M4" s="147"/>
      <c r="N4" s="147"/>
      <c r="O4" s="147"/>
      <c r="P4" s="147"/>
      <c r="Q4" s="147"/>
      <c r="R4" s="550">
        <f>SUM(E4:Q4)</f>
        <v>8500000</v>
      </c>
      <c r="S4" s="148"/>
      <c r="T4" s="148"/>
      <c r="U4" s="143"/>
    </row>
    <row r="5" spans="1:21" s="144" customFormat="1">
      <c r="A5" s="145" t="s">
        <v>28</v>
      </c>
      <c r="B5" s="146">
        <f>SUM(C5+D5)</f>
        <v>100000</v>
      </c>
      <c r="C5" s="147">
        <v>100000</v>
      </c>
      <c r="D5" s="147"/>
      <c r="E5" s="147">
        <v>100000</v>
      </c>
      <c r="F5" s="147"/>
      <c r="G5" s="147"/>
      <c r="H5" s="147"/>
      <c r="I5" s="147"/>
      <c r="J5" s="147"/>
      <c r="K5" s="147"/>
      <c r="L5" s="147"/>
      <c r="M5" s="147"/>
      <c r="N5" s="147"/>
      <c r="O5" s="147"/>
      <c r="P5" s="147"/>
      <c r="Q5" s="147"/>
      <c r="R5" s="550">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8600000</v>
      </c>
      <c r="C8" s="146">
        <f t="shared" ref="C8:Q8" si="0">SUM(C4:C7)</f>
        <v>8600000</v>
      </c>
      <c r="D8" s="146">
        <f t="shared" si="0"/>
        <v>0</v>
      </c>
      <c r="E8" s="146">
        <f t="shared" si="0"/>
        <v>8600000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8600000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500000</v>
      </c>
      <c r="C10" s="147">
        <v>500000</v>
      </c>
      <c r="D10" s="147"/>
      <c r="E10" s="147">
        <v>500000</v>
      </c>
      <c r="F10" s="147"/>
      <c r="G10" s="147"/>
      <c r="H10" s="147"/>
      <c r="I10" s="147"/>
      <c r="J10" s="147"/>
      <c r="K10" s="147"/>
      <c r="L10" s="147"/>
      <c r="M10" s="147"/>
      <c r="N10" s="147"/>
      <c r="O10" s="147"/>
      <c r="P10" s="147"/>
      <c r="Q10" s="147"/>
      <c r="R10" s="550">
        <f>SUM(E10:Q10)</f>
        <v>500000</v>
      </c>
      <c r="S10" s="147">
        <v>500000</v>
      </c>
      <c r="T10" s="147"/>
      <c r="U10" s="143"/>
    </row>
    <row r="11" spans="1:21" s="144" customFormat="1">
      <c r="A11" s="149" t="s">
        <v>604</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500000</v>
      </c>
      <c r="S11" s="148"/>
      <c r="T11" s="150">
        <f>SUM(T9:T10)</f>
        <v>0</v>
      </c>
      <c r="U11" s="143"/>
    </row>
    <row r="12" spans="1:21" s="144" customFormat="1">
      <c r="A12" s="149" t="s">
        <v>84</v>
      </c>
      <c r="B12" s="146">
        <f t="shared" ref="B12:Q12" si="2">SUM(B8+B11)</f>
        <v>9100000</v>
      </c>
      <c r="C12" s="146">
        <f t="shared" si="2"/>
        <v>9100000</v>
      </c>
      <c r="D12" s="146">
        <f t="shared" si="2"/>
        <v>0</v>
      </c>
      <c r="E12" s="146">
        <f t="shared" si="2"/>
        <v>9100000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9100000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1000000</v>
      </c>
      <c r="C29" s="147">
        <v>1000000</v>
      </c>
      <c r="D29" s="147"/>
      <c r="E29" s="147">
        <v>1000000</v>
      </c>
      <c r="F29" s="147"/>
      <c r="G29" s="147"/>
      <c r="H29" s="147"/>
      <c r="I29" s="147"/>
      <c r="J29" s="147"/>
      <c r="K29" s="147"/>
      <c r="L29" s="147"/>
      <c r="M29" s="147"/>
      <c r="N29" s="147"/>
      <c r="O29" s="147"/>
      <c r="P29" s="147"/>
      <c r="Q29" s="147"/>
      <c r="R29" s="550">
        <f t="shared" ref="R29:R37" si="7">SUM(E29:Q29)</f>
        <v>1000000</v>
      </c>
      <c r="S29" s="147">
        <f>R29</f>
        <v>1000000</v>
      </c>
      <c r="T29" s="147"/>
      <c r="U29" s="143"/>
    </row>
    <row r="30" spans="1:21" s="144" customFormat="1">
      <c r="A30" s="145" t="s">
        <v>607</v>
      </c>
      <c r="B30" s="146">
        <f t="shared" si="6"/>
        <v>30135763</v>
      </c>
      <c r="C30" s="147">
        <v>30135763</v>
      </c>
      <c r="D30" s="147"/>
      <c r="E30" s="147">
        <f>C30-F30-G30-H30</f>
        <v>13572504</v>
      </c>
      <c r="F30" s="1014">
        <f>15727283-F31-F32</f>
        <v>12563706.5</v>
      </c>
      <c r="G30" s="147">
        <f>3175000-G33</f>
        <v>1909569.5</v>
      </c>
      <c r="H30" s="147">
        <f>1265400+824583</f>
        <v>2089983</v>
      </c>
      <c r="I30" s="147"/>
      <c r="J30" s="147"/>
      <c r="K30" s="147"/>
      <c r="L30" s="147"/>
      <c r="M30" s="147"/>
      <c r="N30" s="147"/>
      <c r="O30" s="147"/>
      <c r="P30" s="147"/>
      <c r="Q30" s="147"/>
      <c r="R30" s="550">
        <f t="shared" si="7"/>
        <v>30135763</v>
      </c>
      <c r="S30" s="147">
        <f t="shared" ref="S30:S37" si="8">R30</f>
        <v>30135763</v>
      </c>
      <c r="T30" s="147"/>
      <c r="U30" s="143"/>
    </row>
    <row r="31" spans="1:21" s="144" customFormat="1">
      <c r="A31" s="145" t="s">
        <v>608</v>
      </c>
      <c r="B31" s="146">
        <f t="shared" si="6"/>
        <v>1898146</v>
      </c>
      <c r="C31" s="147">
        <v>1898146</v>
      </c>
      <c r="D31" s="147"/>
      <c r="E31" s="147"/>
      <c r="F31" s="147">
        <v>1898146</v>
      </c>
      <c r="G31" s="147"/>
      <c r="H31" s="147"/>
      <c r="I31" s="147"/>
      <c r="J31" s="147"/>
      <c r="K31" s="147"/>
      <c r="L31" s="147"/>
      <c r="M31" s="147"/>
      <c r="N31" s="147"/>
      <c r="O31" s="147"/>
      <c r="P31" s="147"/>
      <c r="Q31" s="147"/>
      <c r="R31" s="550">
        <f t="shared" si="7"/>
        <v>1898146</v>
      </c>
      <c r="S31" s="147">
        <f t="shared" si="8"/>
        <v>1898146</v>
      </c>
      <c r="T31" s="147"/>
      <c r="U31" s="143"/>
    </row>
    <row r="32" spans="1:21" s="144" customFormat="1">
      <c r="A32" s="145" t="s">
        <v>137</v>
      </c>
      <c r="B32" s="146">
        <f t="shared" si="6"/>
        <v>1265430.5</v>
      </c>
      <c r="C32" s="147">
        <v>1265430.5</v>
      </c>
      <c r="D32" s="147"/>
      <c r="E32" s="147"/>
      <c r="F32" s="147">
        <v>1265430.5</v>
      </c>
      <c r="G32" s="147"/>
      <c r="H32" s="147"/>
      <c r="I32" s="147"/>
      <c r="J32" s="147"/>
      <c r="K32" s="147"/>
      <c r="L32" s="147"/>
      <c r="M32" s="147"/>
      <c r="N32" s="147"/>
      <c r="O32" s="147"/>
      <c r="P32" s="147"/>
      <c r="Q32" s="147"/>
      <c r="R32" s="550">
        <f t="shared" si="7"/>
        <v>1265430.5</v>
      </c>
      <c r="S32" s="147">
        <f t="shared" si="8"/>
        <v>1265430.5</v>
      </c>
      <c r="T32" s="147"/>
      <c r="U32" s="143"/>
    </row>
    <row r="33" spans="1:21" s="144" customFormat="1">
      <c r="A33" s="145" t="s">
        <v>138</v>
      </c>
      <c r="B33" s="146">
        <f t="shared" si="6"/>
        <v>1265430.5</v>
      </c>
      <c r="C33" s="147">
        <v>1265430.5</v>
      </c>
      <c r="D33" s="147"/>
      <c r="E33" s="147"/>
      <c r="F33" s="147"/>
      <c r="G33" s="147">
        <v>1265430.5</v>
      </c>
      <c r="H33" s="147"/>
      <c r="I33" s="147"/>
      <c r="J33" s="147"/>
      <c r="K33" s="147"/>
      <c r="L33" s="147"/>
      <c r="M33" s="147"/>
      <c r="N33" s="147"/>
      <c r="O33" s="147"/>
      <c r="P33" s="147"/>
      <c r="Q33" s="147"/>
      <c r="R33" s="550">
        <f t="shared" si="7"/>
        <v>1265430.5</v>
      </c>
      <c r="S33" s="147">
        <f t="shared" si="8"/>
        <v>1265430.5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360648</v>
      </c>
      <c r="C35" s="147">
        <v>360648</v>
      </c>
      <c r="D35" s="147"/>
      <c r="E35" s="147"/>
      <c r="F35" s="147"/>
      <c r="G35" s="147"/>
      <c r="H35" s="147">
        <v>360648</v>
      </c>
      <c r="I35" s="147"/>
      <c r="J35" s="147"/>
      <c r="K35" s="147"/>
      <c r="L35" s="147"/>
      <c r="M35" s="147"/>
      <c r="N35" s="147"/>
      <c r="O35" s="147"/>
      <c r="P35" s="147"/>
      <c r="Q35" s="147"/>
      <c r="R35" s="550">
        <f t="shared" si="7"/>
        <v>360648</v>
      </c>
      <c r="S35" s="147">
        <f t="shared" si="8"/>
        <v>360648</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ht="23">
      <c r="A37" s="1193" t="s">
        <v>2719</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c r="A38" s="149" t="s">
        <v>143</v>
      </c>
      <c r="B38" s="146">
        <f t="shared" si="6"/>
        <v>35925418</v>
      </c>
      <c r="C38" s="146">
        <f>SUM(C29:C37)</f>
        <v>35925418</v>
      </c>
      <c r="D38" s="146">
        <f t="shared" ref="D38:Q38" si="9">SUM(D29:D37)</f>
        <v>0</v>
      </c>
      <c r="E38" s="146">
        <f t="shared" si="9"/>
        <v>14572504</v>
      </c>
      <c r="F38" s="146">
        <f t="shared" si="9"/>
        <v>15727283</v>
      </c>
      <c r="G38" s="146">
        <f t="shared" si="9"/>
        <v>3175000</v>
      </c>
      <c r="H38" s="146">
        <f t="shared" si="9"/>
        <v>2450631</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35925418</v>
      </c>
      <c r="S38" s="150">
        <f>SUM(S29:S37)</f>
        <v>35925418</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1100000</v>
      </c>
      <c r="C40" s="147">
        <v>1100000</v>
      </c>
      <c r="D40" s="147"/>
      <c r="E40" s="147"/>
      <c r="F40" s="147"/>
      <c r="G40" s="147"/>
      <c r="H40" s="147">
        <v>1100000</v>
      </c>
      <c r="I40" s="147"/>
      <c r="J40" s="147"/>
      <c r="K40" s="147"/>
      <c r="L40" s="147"/>
      <c r="M40" s="147"/>
      <c r="N40" s="147"/>
      <c r="O40" s="147"/>
      <c r="P40" s="147"/>
      <c r="Q40" s="147"/>
      <c r="R40" s="550">
        <f>SUM(E40:Q40)</f>
        <v>1100000</v>
      </c>
      <c r="S40" s="147">
        <f>R40</f>
        <v>1100000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1100000</v>
      </c>
      <c r="C42" s="146">
        <f>SUM(C39:C41)</f>
        <v>1100000</v>
      </c>
      <c r="D42" s="146">
        <f>SUM(D39:D41)</f>
        <v>0</v>
      </c>
      <c r="E42" s="146">
        <f t="shared" ref="E42:T42" si="10">SUM(E40:E41)</f>
        <v>0</v>
      </c>
      <c r="F42" s="146">
        <f t="shared" si="10"/>
        <v>0</v>
      </c>
      <c r="G42" s="146">
        <f t="shared" si="10"/>
        <v>0</v>
      </c>
      <c r="H42" s="146">
        <f t="shared" si="10"/>
        <v>1100000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1100000</v>
      </c>
      <c r="S42" s="150">
        <f t="shared" si="10"/>
        <v>1100000</v>
      </c>
      <c r="T42" s="150">
        <f t="shared" si="10"/>
        <v>0</v>
      </c>
      <c r="U42" s="143"/>
    </row>
    <row r="43" spans="1:21" s="144" customFormat="1">
      <c r="A43" s="149" t="s">
        <v>148</v>
      </c>
      <c r="B43" s="146">
        <f>SUM(C43:D43)</f>
        <v>650000</v>
      </c>
      <c r="C43" s="147">
        <v>650000</v>
      </c>
      <c r="D43" s="147"/>
      <c r="E43" s="147"/>
      <c r="F43" s="147"/>
      <c r="G43" s="147"/>
      <c r="H43" s="147">
        <v>650000</v>
      </c>
      <c r="I43" s="147"/>
      <c r="J43" s="147"/>
      <c r="K43" s="147"/>
      <c r="L43" s="147"/>
      <c r="M43" s="147"/>
      <c r="N43" s="147"/>
      <c r="O43" s="147"/>
      <c r="P43" s="147"/>
      <c r="Q43" s="147"/>
      <c r="R43" s="550">
        <f>SUM(E43:Q43)</f>
        <v>650000</v>
      </c>
      <c r="S43" s="147">
        <f>R43</f>
        <v>650000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3953908</v>
      </c>
      <c r="C45" s="147">
        <v>3953908</v>
      </c>
      <c r="D45" s="147"/>
      <c r="E45" s="147">
        <f>C45-H45</f>
        <v>3154539</v>
      </c>
      <c r="F45" s="147"/>
      <c r="G45" s="147"/>
      <c r="H45" s="147">
        <v>799369</v>
      </c>
      <c r="I45" s="147"/>
      <c r="J45" s="147"/>
      <c r="K45" s="147"/>
      <c r="L45" s="147"/>
      <c r="M45" s="147"/>
      <c r="N45" s="147"/>
      <c r="O45" s="147"/>
      <c r="P45" s="147"/>
      <c r="Q45" s="147"/>
      <c r="R45" s="550">
        <f t="shared" ref="R45:R53" si="12">SUM(E45:Q45)</f>
        <v>3953908</v>
      </c>
      <c r="S45" s="147">
        <v>2449539.6</v>
      </c>
      <c r="T45" s="147"/>
      <c r="U45" s="143"/>
    </row>
    <row r="46" spans="1:21" s="144" customFormat="1">
      <c r="A46" s="145" t="s">
        <v>151</v>
      </c>
      <c r="B46" s="146">
        <f t="shared" si="11"/>
        <v>313322</v>
      </c>
      <c r="C46" s="147">
        <v>313322</v>
      </c>
      <c r="D46" s="147"/>
      <c r="E46" s="147">
        <v>313322</v>
      </c>
      <c r="F46" s="1014"/>
      <c r="G46" s="147"/>
      <c r="H46" s="147"/>
      <c r="I46" s="147"/>
      <c r="J46" s="147"/>
      <c r="K46" s="147"/>
      <c r="L46" s="147"/>
      <c r="M46" s="147"/>
      <c r="N46" s="147"/>
      <c r="O46" s="147"/>
      <c r="P46" s="147"/>
      <c r="Q46" s="147"/>
      <c r="R46" s="550">
        <f t="shared" si="12"/>
        <v>313322</v>
      </c>
      <c r="S46" s="147">
        <v>234991.6</v>
      </c>
      <c r="T46" s="147"/>
      <c r="U46" s="143"/>
    </row>
    <row r="47" spans="1:21" s="144" customFormat="1">
      <c r="A47" s="198" t="s">
        <v>152</v>
      </c>
      <c r="B47" s="146">
        <f t="shared" si="11"/>
        <v>15000</v>
      </c>
      <c r="C47" s="147">
        <v>15000</v>
      </c>
      <c r="D47" s="147"/>
      <c r="E47" s="147">
        <v>15000</v>
      </c>
      <c r="F47" s="147"/>
      <c r="G47" s="147"/>
      <c r="H47" s="147"/>
      <c r="I47" s="147"/>
      <c r="J47" s="147"/>
      <c r="K47" s="147"/>
      <c r="L47" s="147"/>
      <c r="M47" s="147"/>
      <c r="N47" s="147"/>
      <c r="O47" s="147"/>
      <c r="P47" s="147"/>
      <c r="Q47" s="147"/>
      <c r="R47" s="550">
        <f t="shared" si="12"/>
        <v>15000</v>
      </c>
      <c r="S47" s="147">
        <v>11250</v>
      </c>
      <c r="T47" s="147"/>
      <c r="U47" s="143"/>
    </row>
    <row r="48" spans="1:21" s="144" customFormat="1">
      <c r="A48" s="145" t="s">
        <v>153</v>
      </c>
      <c r="B48" s="146">
        <f t="shared" si="11"/>
        <v>324583</v>
      </c>
      <c r="C48" s="147">
        <v>324583</v>
      </c>
      <c r="D48" s="147"/>
      <c r="E48" s="147">
        <f>C48</f>
        <v>324583</v>
      </c>
      <c r="F48" s="147"/>
      <c r="G48" s="147"/>
      <c r="H48" s="147"/>
      <c r="I48" s="147"/>
      <c r="J48" s="147"/>
      <c r="K48" s="147"/>
      <c r="L48" s="147"/>
      <c r="M48" s="147"/>
      <c r="N48" s="147"/>
      <c r="O48" s="147"/>
      <c r="P48" s="147"/>
      <c r="Q48" s="147"/>
      <c r="R48" s="550">
        <f t="shared" si="12"/>
        <v>324583</v>
      </c>
      <c r="S48" s="147">
        <v>324583</v>
      </c>
      <c r="T48" s="147"/>
      <c r="U48" s="143"/>
    </row>
    <row r="49" spans="1:21" s="144" customFormat="1">
      <c r="A49" s="145" t="s">
        <v>57</v>
      </c>
      <c r="B49" s="146">
        <f t="shared" si="11"/>
        <v>78331</v>
      </c>
      <c r="C49" s="147">
        <v>78331</v>
      </c>
      <c r="D49" s="147"/>
      <c r="E49" s="147">
        <v>78331</v>
      </c>
      <c r="F49" s="147"/>
      <c r="G49" s="147"/>
      <c r="H49" s="147"/>
      <c r="I49" s="147"/>
      <c r="J49" s="147"/>
      <c r="K49" s="147"/>
      <c r="L49" s="147"/>
      <c r="M49" s="147"/>
      <c r="N49" s="147"/>
      <c r="O49" s="147"/>
      <c r="P49" s="147"/>
      <c r="Q49" s="147"/>
      <c r="R49" s="550">
        <f t="shared" si="12"/>
        <v>78331</v>
      </c>
      <c r="S49" s="147">
        <f>R49</f>
        <v>78331</v>
      </c>
      <c r="T49" s="147"/>
      <c r="U49" s="143"/>
    </row>
    <row r="50" spans="1:21" s="144" customFormat="1">
      <c r="A50" s="145" t="s">
        <v>156</v>
      </c>
      <c r="B50" s="146">
        <f t="shared" si="11"/>
        <v>100000</v>
      </c>
      <c r="C50" s="147">
        <v>100000</v>
      </c>
      <c r="D50" s="147"/>
      <c r="E50" s="147">
        <v>100000</v>
      </c>
      <c r="F50" s="147"/>
      <c r="G50" s="147"/>
      <c r="H50" s="147"/>
      <c r="I50" s="147"/>
      <c r="J50" s="147"/>
      <c r="K50" s="147"/>
      <c r="L50" s="147"/>
      <c r="M50" s="147"/>
      <c r="N50" s="147"/>
      <c r="O50" s="147"/>
      <c r="P50" s="147"/>
      <c r="Q50" s="147"/>
      <c r="R50" s="550">
        <f t="shared" si="12"/>
        <v>100000</v>
      </c>
      <c r="S50" s="147">
        <v>75000</v>
      </c>
      <c r="T50" s="147"/>
      <c r="U50" s="143"/>
    </row>
    <row r="51" spans="1:21" s="144" customFormat="1">
      <c r="A51" s="304" t="s">
        <v>154</v>
      </c>
      <c r="B51" s="146">
        <f t="shared" si="11"/>
        <v>105000</v>
      </c>
      <c r="C51" s="147">
        <v>105000</v>
      </c>
      <c r="D51" s="147"/>
      <c r="E51" s="147">
        <v>105000</v>
      </c>
      <c r="F51" s="147"/>
      <c r="G51" s="147"/>
      <c r="H51" s="147"/>
      <c r="I51" s="147"/>
      <c r="J51" s="147"/>
      <c r="K51" s="147"/>
      <c r="L51" s="147"/>
      <c r="M51" s="147"/>
      <c r="N51" s="147"/>
      <c r="O51" s="147"/>
      <c r="P51" s="147"/>
      <c r="Q51" s="147"/>
      <c r="R51" s="550">
        <f t="shared" si="12"/>
        <v>105000</v>
      </c>
      <c r="S51" s="147">
        <f>R51</f>
        <v>105000</v>
      </c>
      <c r="T51" s="147"/>
      <c r="U51" s="143"/>
    </row>
    <row r="52" spans="1:21" s="144" customFormat="1">
      <c r="A52" s="145" t="s">
        <v>155</v>
      </c>
      <c r="B52" s="146">
        <f t="shared" si="11"/>
        <v>551000</v>
      </c>
      <c r="C52" s="147">
        <v>551000</v>
      </c>
      <c r="D52" s="147"/>
      <c r="E52" s="147">
        <v>551000</v>
      </c>
      <c r="F52" s="147"/>
      <c r="G52" s="147"/>
      <c r="H52" s="147"/>
      <c r="I52" s="147"/>
      <c r="J52" s="147"/>
      <c r="K52" s="147"/>
      <c r="L52" s="147"/>
      <c r="M52" s="147"/>
      <c r="N52" s="147"/>
      <c r="O52" s="147"/>
      <c r="P52" s="147"/>
      <c r="Q52" s="147"/>
      <c r="R52" s="550">
        <f t="shared" si="12"/>
        <v>551000</v>
      </c>
      <c r="S52" s="147">
        <f>R52</f>
        <v>551000</v>
      </c>
      <c r="T52" s="147"/>
      <c r="U52" s="143"/>
    </row>
    <row r="53" spans="1:21" s="144" customFormat="1">
      <c r="A53" s="1193" t="s">
        <v>2720</v>
      </c>
      <c r="B53" s="146">
        <f t="shared" si="11"/>
        <v>25000</v>
      </c>
      <c r="C53" s="147">
        <v>25000</v>
      </c>
      <c r="D53" s="147"/>
      <c r="E53" s="147">
        <v>25000</v>
      </c>
      <c r="F53" s="147"/>
      <c r="G53" s="147"/>
      <c r="H53" s="147"/>
      <c r="I53" s="147"/>
      <c r="J53" s="147"/>
      <c r="K53" s="147"/>
      <c r="L53" s="147"/>
      <c r="M53" s="147"/>
      <c r="N53" s="147"/>
      <c r="O53" s="147"/>
      <c r="P53" s="147"/>
      <c r="Q53" s="147"/>
      <c r="R53" s="550">
        <f t="shared" si="12"/>
        <v>25000</v>
      </c>
      <c r="S53" s="147">
        <f>R53</f>
        <v>25000</v>
      </c>
      <c r="T53" s="147"/>
      <c r="U53" s="143"/>
    </row>
    <row r="54" spans="1:21" s="153" customFormat="1">
      <c r="A54" s="149" t="s">
        <v>157</v>
      </c>
      <c r="B54" s="150">
        <f>SUM(C54:D54)</f>
        <v>5466144</v>
      </c>
      <c r="C54" s="150">
        <f t="shared" ref="C54:T54" si="13">SUM(C45:C53)</f>
        <v>5466144</v>
      </c>
      <c r="D54" s="150">
        <f t="shared" si="13"/>
        <v>0</v>
      </c>
      <c r="E54" s="150">
        <f t="shared" si="13"/>
        <v>4666775</v>
      </c>
      <c r="F54" s="150">
        <f t="shared" si="13"/>
        <v>0</v>
      </c>
      <c r="G54" s="150">
        <f t="shared" si="13"/>
        <v>0</v>
      </c>
      <c r="H54" s="150">
        <f t="shared" si="13"/>
        <v>799369</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5466144</v>
      </c>
      <c r="S54" s="150">
        <f t="shared" si="13"/>
        <v>3854695.2</v>
      </c>
      <c r="T54" s="150">
        <f t="shared" si="13"/>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50">
        <f t="shared" ref="R56:R61" si="15">SUM(E56:Q56)</f>
        <v>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10000</v>
      </c>
      <c r="C58" s="147">
        <v>10000</v>
      </c>
      <c r="D58" s="147"/>
      <c r="E58" s="147">
        <v>10000</v>
      </c>
      <c r="F58" s="147"/>
      <c r="G58" s="147"/>
      <c r="H58" s="147"/>
      <c r="I58" s="147"/>
      <c r="J58" s="147"/>
      <c r="K58" s="147"/>
      <c r="L58" s="147"/>
      <c r="M58" s="147"/>
      <c r="N58" s="147"/>
      <c r="O58" s="147"/>
      <c r="P58" s="147"/>
      <c r="Q58" s="147"/>
      <c r="R58" s="550">
        <f t="shared" si="15"/>
        <v>10000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2721</v>
      </c>
      <c r="B61" s="146">
        <f t="shared" si="14"/>
        <v>15000</v>
      </c>
      <c r="C61" s="147">
        <v>15000</v>
      </c>
      <c r="D61" s="147"/>
      <c r="E61" s="147">
        <v>15000</v>
      </c>
      <c r="F61" s="147"/>
      <c r="G61" s="147"/>
      <c r="H61" s="147"/>
      <c r="I61" s="147"/>
      <c r="J61" s="147"/>
      <c r="K61" s="147"/>
      <c r="L61" s="147"/>
      <c r="M61" s="147"/>
      <c r="N61" s="147"/>
      <c r="O61" s="147"/>
      <c r="P61" s="147"/>
      <c r="Q61" s="147"/>
      <c r="R61" s="550">
        <f t="shared" si="15"/>
        <v>15000</v>
      </c>
      <c r="S61" s="148"/>
      <c r="T61" s="148"/>
      <c r="U61" s="143"/>
    </row>
    <row r="62" spans="1:21" s="144" customFormat="1" ht="13.9" customHeight="1">
      <c r="A62" s="149" t="s">
        <v>302</v>
      </c>
      <c r="B62" s="146">
        <f>SUM(C62:D62)</f>
        <v>25000</v>
      </c>
      <c r="C62" s="146">
        <f t="shared" ref="C62:R62" si="16">SUM(C56:C61)</f>
        <v>25000</v>
      </c>
      <c r="D62" s="146">
        <f t="shared" si="16"/>
        <v>0</v>
      </c>
      <c r="E62" s="146">
        <f t="shared" si="16"/>
        <v>25000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25000</v>
      </c>
      <c r="S62" s="148"/>
      <c r="T62" s="148"/>
      <c r="U62" s="143"/>
    </row>
    <row r="63" spans="1:21" s="144" customFormat="1">
      <c r="A63" s="154" t="s">
        <v>303</v>
      </c>
      <c r="B63" s="146">
        <f t="shared" ref="B63:R63" si="17">SUM(B8+B11+B13+B14+B15+B26+B27+B38+B42+B43+B54+B62)</f>
        <v>52266562</v>
      </c>
      <c r="C63" s="146">
        <f t="shared" si="17"/>
        <v>52266562</v>
      </c>
      <c r="D63" s="146">
        <f t="shared" si="17"/>
        <v>0</v>
      </c>
      <c r="E63" s="146">
        <f t="shared" si="17"/>
        <v>28364279</v>
      </c>
      <c r="F63" s="146">
        <f t="shared" si="17"/>
        <v>15727283</v>
      </c>
      <c r="G63" s="146">
        <f t="shared" si="17"/>
        <v>3175000</v>
      </c>
      <c r="H63" s="146">
        <f t="shared" si="17"/>
        <v>5000000</v>
      </c>
      <c r="I63" s="146">
        <f t="shared" si="17"/>
        <v>0</v>
      </c>
      <c r="J63" s="146">
        <f t="shared" si="17"/>
        <v>0</v>
      </c>
      <c r="K63" s="146">
        <f t="shared" si="17"/>
        <v>0</v>
      </c>
      <c r="L63" s="146">
        <f t="shared" si="17"/>
        <v>0</v>
      </c>
      <c r="M63" s="146">
        <f t="shared" si="17"/>
        <v>0</v>
      </c>
      <c r="N63" s="146">
        <f t="shared" si="17"/>
        <v>0</v>
      </c>
      <c r="O63" s="146">
        <f t="shared" si="17"/>
        <v>0</v>
      </c>
      <c r="P63" s="146">
        <f t="shared" si="17"/>
        <v>0</v>
      </c>
      <c r="Q63" s="146">
        <f t="shared" si="17"/>
        <v>0</v>
      </c>
      <c r="R63" s="370">
        <f t="shared" si="17"/>
        <v>52266562</v>
      </c>
      <c r="S63" s="146">
        <f>SUM(S10+S13+S14+S15+S26+S27+S38+S42+S43+S54)</f>
        <v>42030113.200000003</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175000</v>
      </c>
      <c r="C65" s="147">
        <v>175000</v>
      </c>
      <c r="D65" s="147"/>
      <c r="E65" s="147">
        <v>175000</v>
      </c>
      <c r="F65" s="147"/>
      <c r="G65" s="147"/>
      <c r="H65" s="147"/>
      <c r="I65" s="147"/>
      <c r="J65" s="147"/>
      <c r="K65" s="147"/>
      <c r="L65" s="147"/>
      <c r="M65" s="147"/>
      <c r="N65" s="147"/>
      <c r="O65" s="147"/>
      <c r="P65" s="147"/>
      <c r="Q65" s="147"/>
      <c r="R65" s="550">
        <f>SUM(E65:Q65)</f>
        <v>175000</v>
      </c>
      <c r="S65" s="147">
        <f>R65</f>
        <v>175000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23">
      <c r="A69" s="1193" t="s">
        <v>2722</v>
      </c>
      <c r="B69" s="146">
        <f>SUM(C69+D69)</f>
        <v>150000</v>
      </c>
      <c r="C69" s="147">
        <f>50000+50000+50000</f>
        <v>150000</v>
      </c>
      <c r="D69" s="147"/>
      <c r="E69" s="147">
        <f>50000+50000+50000</f>
        <v>150000</v>
      </c>
      <c r="F69" s="147"/>
      <c r="G69" s="147"/>
      <c r="H69" s="147"/>
      <c r="I69" s="147"/>
      <c r="J69" s="147"/>
      <c r="K69" s="147"/>
      <c r="L69" s="147"/>
      <c r="M69" s="147"/>
      <c r="N69" s="147"/>
      <c r="O69" s="147"/>
      <c r="P69" s="147"/>
      <c r="Q69" s="147"/>
      <c r="R69" s="550">
        <f>SUM(E69:Q69)</f>
        <v>150000</v>
      </c>
      <c r="S69" s="147"/>
      <c r="T69" s="147"/>
      <c r="U69" s="143"/>
    </row>
    <row r="70" spans="1:21" s="144" customFormat="1">
      <c r="A70" s="149" t="s">
        <v>1756</v>
      </c>
      <c r="B70" s="146">
        <f>SUM(C70:D70)</f>
        <v>325000</v>
      </c>
      <c r="C70" s="146">
        <f>SUM(C65:C69)</f>
        <v>325000</v>
      </c>
      <c r="D70" s="146">
        <f>SUM(D65:D69)</f>
        <v>0</v>
      </c>
      <c r="E70" s="146">
        <f t="shared" ref="E70:T70" si="18">SUM(E65:E69)</f>
        <v>325000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325000</v>
      </c>
      <c r="S70" s="150">
        <f t="shared" si="18"/>
        <v>175000</v>
      </c>
      <c r="T70" s="150">
        <f t="shared" si="18"/>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473853.6</v>
      </c>
      <c r="C75" s="147">
        <v>473853.6</v>
      </c>
      <c r="D75" s="147"/>
      <c r="E75" s="147">
        <v>473853.6</v>
      </c>
      <c r="F75" s="147"/>
      <c r="G75" s="147"/>
      <c r="H75" s="147"/>
      <c r="I75" s="147"/>
      <c r="J75" s="147"/>
      <c r="K75" s="147"/>
      <c r="L75" s="147"/>
      <c r="M75" s="147"/>
      <c r="N75" s="147"/>
      <c r="O75" s="147"/>
      <c r="P75" s="147"/>
      <c r="Q75" s="147"/>
      <c r="R75" s="550">
        <f>SUM(E75:Q75)</f>
        <v>473853.6</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473853.6</v>
      </c>
      <c r="C77" s="146">
        <f>SUM(C72:C76)</f>
        <v>473853.6</v>
      </c>
      <c r="D77" s="146">
        <f>SUM(D72:D76)</f>
        <v>0</v>
      </c>
      <c r="E77" s="146">
        <f t="shared" ref="E77:Q77" si="19">SUM(E72:E76)</f>
        <v>473853.6</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473853.6</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1842500</v>
      </c>
      <c r="C79" s="147">
        <v>1842500</v>
      </c>
      <c r="D79" s="147"/>
      <c r="E79" s="147">
        <v>1842500</v>
      </c>
      <c r="F79" s="147"/>
      <c r="G79" s="147"/>
      <c r="H79" s="147"/>
      <c r="I79" s="147"/>
      <c r="J79" s="147"/>
      <c r="K79" s="147"/>
      <c r="L79" s="147"/>
      <c r="M79" s="147"/>
      <c r="N79" s="147"/>
      <c r="O79" s="147"/>
      <c r="P79" s="147"/>
      <c r="Q79" s="147"/>
      <c r="R79" s="550">
        <f>SUM(E79:Q79)</f>
        <v>1842500</v>
      </c>
      <c r="S79" s="147">
        <f>R79</f>
        <v>1842500</v>
      </c>
      <c r="T79" s="147"/>
      <c r="U79" s="143"/>
    </row>
    <row r="80" spans="1:21" s="144" customFormat="1">
      <c r="A80" s="304" t="s">
        <v>58</v>
      </c>
      <c r="B80" s="146">
        <f>SUM(C80:D80)</f>
        <v>482360</v>
      </c>
      <c r="C80" s="147">
        <v>482360</v>
      </c>
      <c r="D80" s="147"/>
      <c r="E80" s="147">
        <v>482360</v>
      </c>
      <c r="F80" s="147"/>
      <c r="G80" s="147"/>
      <c r="H80" s="147"/>
      <c r="I80" s="147"/>
      <c r="J80" s="147"/>
      <c r="K80" s="147"/>
      <c r="L80" s="147"/>
      <c r="M80" s="147"/>
      <c r="N80" s="147"/>
      <c r="O80" s="147"/>
      <c r="P80" s="147"/>
      <c r="Q80" s="147"/>
      <c r="R80" s="550">
        <f>SUM(E80:Q80)</f>
        <v>482360</v>
      </c>
      <c r="S80" s="147">
        <f>R80</f>
        <v>482360</v>
      </c>
      <c r="T80" s="147"/>
      <c r="U80" s="143"/>
    </row>
    <row r="81" spans="1:21" s="144" customFormat="1">
      <c r="A81" s="149" t="s">
        <v>1315</v>
      </c>
      <c r="B81" s="146">
        <f>SUM(C81:D81)</f>
        <v>2324860</v>
      </c>
      <c r="C81" s="543">
        <f>SUM(C79:C80)</f>
        <v>2324860</v>
      </c>
      <c r="D81" s="543">
        <f t="shared" ref="D81:T81" si="20">SUM(D79:D80)</f>
        <v>0</v>
      </c>
      <c r="E81" s="543">
        <f t="shared" si="20"/>
        <v>2324860</v>
      </c>
      <c r="F81" s="543">
        <f t="shared" si="20"/>
        <v>0</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2324860</v>
      </c>
      <c r="S81" s="543">
        <f t="shared" si="20"/>
        <v>2324860</v>
      </c>
      <c r="T81" s="543">
        <f t="shared" si="20"/>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9" customHeight="1">
      <c r="A83" s="145" t="s">
        <v>2409</v>
      </c>
      <c r="B83" s="146">
        <f t="shared" ref="B83:B95" si="21">SUM(C83+D83)</f>
        <v>98732.6</v>
      </c>
      <c r="C83" s="147">
        <v>98732.6</v>
      </c>
      <c r="D83" s="147"/>
      <c r="E83" s="147">
        <v>98732.6</v>
      </c>
      <c r="F83" s="147"/>
      <c r="G83" s="147"/>
      <c r="H83" s="147"/>
      <c r="I83" s="147"/>
      <c r="J83" s="147"/>
      <c r="K83" s="147"/>
      <c r="L83" s="147"/>
      <c r="M83" s="147"/>
      <c r="N83" s="147"/>
      <c r="O83" s="147"/>
      <c r="P83" s="147"/>
      <c r="Q83" s="147"/>
      <c r="R83" s="550">
        <f t="shared" ref="R83:R95" si="22">SUM(E83:Q83)</f>
        <v>98732.6</v>
      </c>
      <c r="S83" s="148"/>
      <c r="T83" s="148"/>
      <c r="U83" s="143"/>
    </row>
    <row r="84" spans="1:21" s="144" customFormat="1">
      <c r="A84" s="145" t="s">
        <v>776</v>
      </c>
      <c r="B84" s="146">
        <f t="shared" si="21"/>
        <v>50000</v>
      </c>
      <c r="C84" s="147">
        <v>50000</v>
      </c>
      <c r="D84" s="147"/>
      <c r="E84" s="147">
        <v>50000</v>
      </c>
      <c r="F84" s="147"/>
      <c r="G84" s="147"/>
      <c r="H84" s="147"/>
      <c r="I84" s="147"/>
      <c r="J84" s="147"/>
      <c r="K84" s="147"/>
      <c r="L84" s="147"/>
      <c r="M84" s="147"/>
      <c r="N84" s="147"/>
      <c r="O84" s="147"/>
      <c r="P84" s="147"/>
      <c r="Q84" s="147"/>
      <c r="R84" s="550">
        <f t="shared" si="22"/>
        <v>50000</v>
      </c>
      <c r="S84" s="147">
        <f>R84</f>
        <v>50000</v>
      </c>
      <c r="T84" s="147"/>
      <c r="U84" s="143"/>
    </row>
    <row r="85" spans="1:21" s="144" customFormat="1">
      <c r="A85" s="145" t="s">
        <v>777</v>
      </c>
      <c r="B85" s="146">
        <f t="shared" si="21"/>
        <v>2225572.6</v>
      </c>
      <c r="C85" s="147">
        <v>2225572.6</v>
      </c>
      <c r="D85" s="147"/>
      <c r="E85" s="147">
        <v>2225572.6</v>
      </c>
      <c r="F85" s="147"/>
      <c r="G85" s="147"/>
      <c r="H85" s="147"/>
      <c r="I85" s="147"/>
      <c r="J85" s="147"/>
      <c r="K85" s="147"/>
      <c r="L85" s="147"/>
      <c r="M85" s="147"/>
      <c r="N85" s="147"/>
      <c r="O85" s="147"/>
      <c r="P85" s="147"/>
      <c r="Q85" s="147"/>
      <c r="R85" s="550">
        <f t="shared" si="22"/>
        <v>2225572.6</v>
      </c>
      <c r="S85" s="147">
        <f>R85</f>
        <v>2225572.6</v>
      </c>
      <c r="T85" s="147"/>
      <c r="U85" s="143"/>
    </row>
    <row r="86" spans="1:21" s="144" customFormat="1">
      <c r="A86" s="145" t="s">
        <v>778</v>
      </c>
      <c r="B86" s="146">
        <f t="shared" si="21"/>
        <v>714426.6</v>
      </c>
      <c r="C86" s="147">
        <v>714426.6</v>
      </c>
      <c r="D86" s="147"/>
      <c r="E86" s="147">
        <v>714426.6</v>
      </c>
      <c r="F86" s="147"/>
      <c r="G86" s="147"/>
      <c r="H86" s="147"/>
      <c r="I86" s="147"/>
      <c r="J86" s="147"/>
      <c r="K86" s="147"/>
      <c r="L86" s="147"/>
      <c r="M86" s="147"/>
      <c r="N86" s="147"/>
      <c r="O86" s="147"/>
      <c r="P86" s="147"/>
      <c r="Q86" s="147"/>
      <c r="R86" s="550">
        <f t="shared" si="22"/>
        <v>714426.6</v>
      </c>
      <c r="S86" s="147">
        <f>R86</f>
        <v>714426.6</v>
      </c>
      <c r="T86" s="147"/>
      <c r="U86" s="143"/>
    </row>
    <row r="87" spans="1:21" s="144" customFormat="1">
      <c r="A87" s="145" t="s">
        <v>779</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780</v>
      </c>
      <c r="B88" s="146">
        <f t="shared" si="21"/>
        <v>150000</v>
      </c>
      <c r="C88" s="147">
        <f>150000</f>
        <v>150000</v>
      </c>
      <c r="D88" s="147"/>
      <c r="E88" s="147">
        <f>150000</f>
        <v>150000</v>
      </c>
      <c r="F88" s="147"/>
      <c r="G88" s="147"/>
      <c r="H88" s="147"/>
      <c r="I88" s="147"/>
      <c r="J88" s="147"/>
      <c r="K88" s="147"/>
      <c r="L88" s="147"/>
      <c r="M88" s="147"/>
      <c r="N88" s="147"/>
      <c r="O88" s="147"/>
      <c r="P88" s="147"/>
      <c r="Q88" s="147"/>
      <c r="R88" s="550">
        <f t="shared" si="22"/>
        <v>150000</v>
      </c>
      <c r="S88" s="148"/>
      <c r="T88" s="148"/>
      <c r="U88" s="143"/>
    </row>
    <row r="89" spans="1:21" s="144" customFormat="1">
      <c r="A89" s="145" t="s">
        <v>781</v>
      </c>
      <c r="B89" s="146">
        <f t="shared" si="21"/>
        <v>150000</v>
      </c>
      <c r="C89" s="147">
        <v>150000</v>
      </c>
      <c r="D89" s="147"/>
      <c r="E89" s="147">
        <v>150000</v>
      </c>
      <c r="F89" s="147"/>
      <c r="G89" s="147"/>
      <c r="H89" s="147"/>
      <c r="I89" s="147"/>
      <c r="J89" s="147"/>
      <c r="K89" s="147"/>
      <c r="L89" s="147"/>
      <c r="M89" s="147"/>
      <c r="N89" s="147"/>
      <c r="O89" s="147"/>
      <c r="P89" s="147"/>
      <c r="Q89" s="147"/>
      <c r="R89" s="550">
        <f t="shared" si="22"/>
        <v>150000</v>
      </c>
      <c r="S89" s="147">
        <f>R89</f>
        <v>150000</v>
      </c>
      <c r="T89" s="147"/>
      <c r="U89" s="143"/>
    </row>
    <row r="90" spans="1:21" s="144" customFormat="1">
      <c r="A90" s="145" t="s">
        <v>782</v>
      </c>
      <c r="B90" s="146">
        <f t="shared" si="21"/>
        <v>15000</v>
      </c>
      <c r="C90" s="147">
        <v>15000</v>
      </c>
      <c r="D90" s="147"/>
      <c r="E90" s="147">
        <v>15000</v>
      </c>
      <c r="F90" s="147"/>
      <c r="G90" s="147"/>
      <c r="H90" s="147"/>
      <c r="I90" s="147"/>
      <c r="J90" s="147"/>
      <c r="K90" s="147"/>
      <c r="L90" s="147"/>
      <c r="M90" s="147"/>
      <c r="N90" s="147"/>
      <c r="O90" s="147"/>
      <c r="P90" s="147"/>
      <c r="Q90" s="147"/>
      <c r="R90" s="550">
        <f t="shared" si="22"/>
        <v>15000</v>
      </c>
      <c r="S90" s="147">
        <f t="shared" ref="S90:S92" si="23">R90</f>
        <v>15000</v>
      </c>
      <c r="T90" s="147"/>
      <c r="U90" s="143"/>
    </row>
    <row r="91" spans="1:21" s="144" customFormat="1">
      <c r="A91" s="145" t="s">
        <v>373</v>
      </c>
      <c r="B91" s="146">
        <f t="shared" si="21"/>
        <v>50000</v>
      </c>
      <c r="C91" s="147">
        <v>50000</v>
      </c>
      <c r="D91" s="147"/>
      <c r="E91" s="147">
        <v>50000</v>
      </c>
      <c r="F91" s="147"/>
      <c r="G91" s="147"/>
      <c r="H91" s="147"/>
      <c r="I91" s="147"/>
      <c r="J91" s="147"/>
      <c r="K91" s="147"/>
      <c r="L91" s="147"/>
      <c r="M91" s="147"/>
      <c r="N91" s="147"/>
      <c r="O91" s="147"/>
      <c r="P91" s="147"/>
      <c r="Q91" s="147"/>
      <c r="R91" s="550">
        <f t="shared" si="22"/>
        <v>50000</v>
      </c>
      <c r="S91" s="147">
        <f t="shared" si="23"/>
        <v>50000</v>
      </c>
      <c r="T91" s="147"/>
      <c r="U91" s="143"/>
    </row>
    <row r="92" spans="1:21" s="144" customFormat="1">
      <c r="A92" s="304" t="s">
        <v>1317</v>
      </c>
      <c r="B92" s="146">
        <f t="shared" si="21"/>
        <v>20000</v>
      </c>
      <c r="C92" s="147">
        <v>20000</v>
      </c>
      <c r="D92" s="147"/>
      <c r="E92" s="147">
        <v>20000</v>
      </c>
      <c r="F92" s="147"/>
      <c r="G92" s="147"/>
      <c r="H92" s="147"/>
      <c r="I92" s="147"/>
      <c r="J92" s="147"/>
      <c r="K92" s="147"/>
      <c r="L92" s="147"/>
      <c r="M92" s="147"/>
      <c r="N92" s="147"/>
      <c r="O92" s="147"/>
      <c r="P92" s="147"/>
      <c r="Q92" s="147"/>
      <c r="R92" s="550">
        <f t="shared" si="22"/>
        <v>20000</v>
      </c>
      <c r="S92" s="147">
        <f t="shared" si="23"/>
        <v>20000</v>
      </c>
      <c r="T92" s="147"/>
      <c r="U92" s="143"/>
    </row>
    <row r="93" spans="1:21" s="144" customFormat="1">
      <c r="A93" s="1193" t="s">
        <v>2723</v>
      </c>
      <c r="B93" s="146">
        <f t="shared" si="21"/>
        <v>11264.6</v>
      </c>
      <c r="C93" s="1014">
        <v>11264.6</v>
      </c>
      <c r="D93" s="147"/>
      <c r="E93" s="147">
        <v>11264.6</v>
      </c>
      <c r="F93" s="147"/>
      <c r="G93" s="147"/>
      <c r="H93" s="147"/>
      <c r="I93" s="147"/>
      <c r="J93" s="147"/>
      <c r="K93" s="147"/>
      <c r="L93" s="147"/>
      <c r="M93" s="147"/>
      <c r="N93" s="147"/>
      <c r="O93" s="147"/>
      <c r="P93" s="147"/>
      <c r="Q93" s="147"/>
      <c r="R93" s="550">
        <f t="shared" si="22"/>
        <v>11264.6</v>
      </c>
      <c r="S93" s="147">
        <f>R93</f>
        <v>11264.6</v>
      </c>
      <c r="T93" s="147"/>
      <c r="U93" s="143"/>
    </row>
    <row r="94" spans="1:21" s="144" customFormat="1">
      <c r="A94" s="1193" t="s">
        <v>2724</v>
      </c>
      <c r="B94" s="146">
        <f t="shared" si="21"/>
        <v>250000.4</v>
      </c>
      <c r="C94" s="147">
        <v>250000.4</v>
      </c>
      <c r="D94" s="147"/>
      <c r="E94" s="147">
        <v>250000.4</v>
      </c>
      <c r="F94" s="147"/>
      <c r="G94" s="147"/>
      <c r="H94" s="147"/>
      <c r="I94" s="147"/>
      <c r="J94" s="147"/>
      <c r="K94" s="147"/>
      <c r="L94" s="147"/>
      <c r="M94" s="147"/>
      <c r="N94" s="147"/>
      <c r="O94" s="147"/>
      <c r="P94" s="147"/>
      <c r="Q94" s="147"/>
      <c r="R94" s="550">
        <f t="shared" si="22"/>
        <v>250000.4</v>
      </c>
      <c r="S94" s="147">
        <f>R94</f>
        <v>250000.4</v>
      </c>
      <c r="T94" s="147"/>
      <c r="U94" s="143"/>
    </row>
    <row r="95" spans="1:21" s="144" customFormat="1">
      <c r="A95" s="1193" t="s">
        <v>2725</v>
      </c>
      <c r="B95" s="146">
        <f t="shared" si="21"/>
        <v>200000.4</v>
      </c>
      <c r="C95" s="147">
        <v>200000.4</v>
      </c>
      <c r="D95" s="147"/>
      <c r="E95" s="147">
        <v>200000.4</v>
      </c>
      <c r="F95" s="147"/>
      <c r="G95" s="147"/>
      <c r="H95" s="147"/>
      <c r="I95" s="147"/>
      <c r="J95" s="147"/>
      <c r="K95" s="147"/>
      <c r="L95" s="147"/>
      <c r="M95" s="147"/>
      <c r="N95" s="147"/>
      <c r="O95" s="147"/>
      <c r="P95" s="147"/>
      <c r="Q95" s="147"/>
      <c r="R95" s="550">
        <f t="shared" si="22"/>
        <v>200000.4</v>
      </c>
      <c r="S95" s="147">
        <f>R95</f>
        <v>200000.4</v>
      </c>
      <c r="T95" s="147"/>
      <c r="U95" s="143"/>
    </row>
    <row r="96" spans="1:21" s="144" customFormat="1">
      <c r="A96" s="149" t="s">
        <v>783</v>
      </c>
      <c r="B96" s="146">
        <f>SUM(C96:D96)</f>
        <v>3934997.2</v>
      </c>
      <c r="C96" s="146">
        <f t="shared" ref="C96:R96" si="24">SUM(C83:C95)</f>
        <v>3934997.2</v>
      </c>
      <c r="D96" s="146">
        <f t="shared" si="24"/>
        <v>0</v>
      </c>
      <c r="E96" s="146">
        <f t="shared" si="24"/>
        <v>3934997.2</v>
      </c>
      <c r="F96" s="146">
        <f t="shared" si="24"/>
        <v>0</v>
      </c>
      <c r="G96" s="146">
        <f t="shared" si="24"/>
        <v>0</v>
      </c>
      <c r="H96" s="146">
        <f t="shared" si="24"/>
        <v>0</v>
      </c>
      <c r="I96" s="146">
        <f t="shared" si="24"/>
        <v>0</v>
      </c>
      <c r="J96" s="146">
        <f t="shared" si="24"/>
        <v>0</v>
      </c>
      <c r="K96" s="146">
        <f t="shared" si="24"/>
        <v>0</v>
      </c>
      <c r="L96" s="146">
        <f t="shared" si="24"/>
        <v>0</v>
      </c>
      <c r="M96" s="146">
        <f t="shared" si="24"/>
        <v>0</v>
      </c>
      <c r="N96" s="146">
        <f t="shared" si="24"/>
        <v>0</v>
      </c>
      <c r="O96" s="146">
        <f t="shared" si="24"/>
        <v>0</v>
      </c>
      <c r="P96" s="146">
        <f t="shared" si="24"/>
        <v>0</v>
      </c>
      <c r="Q96" s="146">
        <f t="shared" si="24"/>
        <v>0</v>
      </c>
      <c r="R96" s="370">
        <f t="shared" si="24"/>
        <v>3934997.2</v>
      </c>
      <c r="S96" s="150">
        <f>SUM(S84:S87,S89:S95)</f>
        <v>3686264.6</v>
      </c>
      <c r="T96" s="146">
        <f>SUM(T84:T87,T89:T95)</f>
        <v>0</v>
      </c>
      <c r="U96" s="143"/>
    </row>
    <row r="97" spans="1:21" s="144" customFormat="1">
      <c r="A97" s="149" t="s">
        <v>784</v>
      </c>
      <c r="B97" s="146">
        <f>SUM(C97:D97)</f>
        <v>59325272.800000004</v>
      </c>
      <c r="C97" s="146">
        <f t="shared" ref="C97:R97" si="25">SUM(C63+C70+C77+C81+C96)</f>
        <v>59325272.800000004</v>
      </c>
      <c r="D97" s="146">
        <f t="shared" si="25"/>
        <v>0</v>
      </c>
      <c r="E97" s="146">
        <f t="shared" si="25"/>
        <v>35422989.800000004</v>
      </c>
      <c r="F97" s="146">
        <f t="shared" si="25"/>
        <v>15727283</v>
      </c>
      <c r="G97" s="146">
        <f t="shared" si="25"/>
        <v>3175000</v>
      </c>
      <c r="H97" s="146">
        <f t="shared" si="25"/>
        <v>5000000</v>
      </c>
      <c r="I97" s="146">
        <f t="shared" si="25"/>
        <v>0</v>
      </c>
      <c r="J97" s="146">
        <f t="shared" si="25"/>
        <v>0</v>
      </c>
      <c r="K97" s="146">
        <f t="shared" si="25"/>
        <v>0</v>
      </c>
      <c r="L97" s="146">
        <f t="shared" si="25"/>
        <v>0</v>
      </c>
      <c r="M97" s="146">
        <f t="shared" si="25"/>
        <v>0</v>
      </c>
      <c r="N97" s="146">
        <f t="shared" si="25"/>
        <v>0</v>
      </c>
      <c r="O97" s="146">
        <f t="shared" si="25"/>
        <v>0</v>
      </c>
      <c r="P97" s="146">
        <f t="shared" si="25"/>
        <v>0</v>
      </c>
      <c r="Q97" s="146">
        <f t="shared" si="25"/>
        <v>0</v>
      </c>
      <c r="R97" s="146">
        <f t="shared" si="25"/>
        <v>59325272.800000004</v>
      </c>
      <c r="S97" s="146">
        <f>SUM(S63+S70+S81+S96)</f>
        <v>48216237.800000004</v>
      </c>
      <c r="T97" s="146">
        <f>SUM(T63+T70+T81+T96)</f>
        <v>0</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7232434.5999999996</v>
      </c>
      <c r="C99" s="1014">
        <v>7232434.5999999996</v>
      </c>
      <c r="D99" s="1014"/>
      <c r="E99" s="1014">
        <v>3077477.6</v>
      </c>
      <c r="F99" s="147"/>
      <c r="G99" s="147"/>
      <c r="H99" s="147"/>
      <c r="I99" s="147">
        <v>4154957</v>
      </c>
      <c r="J99" s="147"/>
      <c r="K99" s="147"/>
      <c r="L99" s="147"/>
      <c r="M99" s="147"/>
      <c r="N99" s="147"/>
      <c r="O99" s="147"/>
      <c r="P99" s="147"/>
      <c r="Q99" s="147"/>
      <c r="R99" s="550">
        <f>SUM(E99:Q99)</f>
        <v>7232434.5999999996</v>
      </c>
      <c r="S99" s="147">
        <f>C99</f>
        <v>7232434.5999999996</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7232434.5999999996</v>
      </c>
      <c r="C104" s="146">
        <f>SUM(C99:C103)</f>
        <v>7232434.5999999996</v>
      </c>
      <c r="D104" s="146">
        <f t="shared" ref="D104:T104" si="26">SUM(D99:D103)</f>
        <v>0</v>
      </c>
      <c r="E104" s="146">
        <f t="shared" si="26"/>
        <v>3077477.6</v>
      </c>
      <c r="F104" s="146">
        <f>SUM(F99:F103)</f>
        <v>0</v>
      </c>
      <c r="G104" s="146">
        <f t="shared" si="26"/>
        <v>0</v>
      </c>
      <c r="H104" s="146">
        <f t="shared" si="26"/>
        <v>0</v>
      </c>
      <c r="I104" s="146">
        <f t="shared" si="26"/>
        <v>4154957</v>
      </c>
      <c r="J104" s="146">
        <f t="shared" si="26"/>
        <v>0</v>
      </c>
      <c r="K104" s="146">
        <f t="shared" si="26"/>
        <v>0</v>
      </c>
      <c r="L104" s="146">
        <f t="shared" si="26"/>
        <v>0</v>
      </c>
      <c r="M104" s="146">
        <f t="shared" si="26"/>
        <v>0</v>
      </c>
      <c r="N104" s="146">
        <f t="shared" si="26"/>
        <v>0</v>
      </c>
      <c r="O104" s="146">
        <f t="shared" si="26"/>
        <v>0</v>
      </c>
      <c r="P104" s="146">
        <f t="shared" si="26"/>
        <v>0</v>
      </c>
      <c r="Q104" s="146">
        <f t="shared" si="26"/>
        <v>0</v>
      </c>
      <c r="R104" s="370">
        <f t="shared" si="26"/>
        <v>7232434.5999999996</v>
      </c>
      <c r="S104" s="150">
        <f t="shared" si="26"/>
        <v>7232434.5999999996</v>
      </c>
      <c r="T104" s="150">
        <f t="shared" si="26"/>
        <v>0</v>
      </c>
      <c r="U104" s="143"/>
    </row>
    <row r="105" spans="1:21" s="144" customFormat="1">
      <c r="A105" s="149" t="s">
        <v>789</v>
      </c>
      <c r="B105" s="150">
        <f>SUM(C105:D105)</f>
        <v>66557707.400000006</v>
      </c>
      <c r="C105" s="150">
        <f t="shared" ref="C105:R105" si="27">SUM(C97+C104)</f>
        <v>66557707.400000006</v>
      </c>
      <c r="D105" s="150">
        <f t="shared" si="27"/>
        <v>0</v>
      </c>
      <c r="E105" s="150">
        <f t="shared" si="27"/>
        <v>38500467.400000006</v>
      </c>
      <c r="F105" s="150">
        <f t="shared" si="27"/>
        <v>15727283</v>
      </c>
      <c r="G105" s="150">
        <f t="shared" si="27"/>
        <v>3175000</v>
      </c>
      <c r="H105" s="150">
        <f t="shared" si="27"/>
        <v>5000000</v>
      </c>
      <c r="I105" s="150">
        <f t="shared" si="27"/>
        <v>4154957</v>
      </c>
      <c r="J105" s="150">
        <f t="shared" si="27"/>
        <v>0</v>
      </c>
      <c r="K105" s="150">
        <f t="shared" si="27"/>
        <v>0</v>
      </c>
      <c r="L105" s="150">
        <f t="shared" si="27"/>
        <v>0</v>
      </c>
      <c r="M105" s="150">
        <f t="shared" si="27"/>
        <v>0</v>
      </c>
      <c r="N105" s="150">
        <f t="shared" si="27"/>
        <v>0</v>
      </c>
      <c r="O105" s="150">
        <f t="shared" si="27"/>
        <v>0</v>
      </c>
      <c r="P105" s="150">
        <f t="shared" si="27"/>
        <v>0</v>
      </c>
      <c r="Q105" s="150">
        <f t="shared" si="27"/>
        <v>0</v>
      </c>
      <c r="R105" s="370">
        <f t="shared" si="27"/>
        <v>66557707.400000006</v>
      </c>
      <c r="S105" s="150">
        <f>S97+S104</f>
        <v>55448672.400000006</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55448672.400000006</v>
      </c>
      <c r="T107" s="150">
        <f>T105+T106</f>
        <v>0</v>
      </c>
    </row>
    <row r="108" spans="1:21" s="201" customFormat="1">
      <c r="A108" s="162" t="s">
        <v>891</v>
      </c>
      <c r="B108" s="157"/>
      <c r="C108" s="157"/>
      <c r="D108" s="157"/>
      <c r="E108" s="323">
        <f>Application!AO640</f>
        <v>38500467.400000006</v>
      </c>
      <c r="F108" s="323">
        <f>Application!AO627</f>
        <v>15727283</v>
      </c>
      <c r="G108" s="323">
        <f>Application!AO628</f>
        <v>3175000</v>
      </c>
      <c r="H108" s="323">
        <f>Application!AO629</f>
        <v>5000000</v>
      </c>
      <c r="I108" s="323">
        <f>Application!AO630</f>
        <v>4154957</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79" t="s">
        <v>1014</v>
      </c>
      <c r="E122" s="1879"/>
      <c r="F122" s="1879"/>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81" t="s">
        <v>1331</v>
      </c>
      <c r="E123" s="1798"/>
      <c r="F123" s="1798"/>
      <c r="G123" s="1798"/>
      <c r="H123" s="1798"/>
      <c r="I123" s="1798"/>
      <c r="J123" s="1798"/>
      <c r="K123" s="1798"/>
      <c r="L123" s="1798"/>
      <c r="M123" s="1798"/>
      <c r="N123" s="1798"/>
      <c r="O123" s="1798"/>
      <c r="P123" s="1798"/>
      <c r="Q123" s="1798"/>
      <c r="R123" s="1798"/>
      <c r="S123" s="1798"/>
      <c r="T123" s="352"/>
      <c r="U123" s="354"/>
    </row>
    <row r="124" spans="1:21" ht="12.5">
      <c r="A124" s="117" t="s">
        <v>1016</v>
      </c>
      <c r="B124" s="361"/>
      <c r="C124" s="117"/>
      <c r="D124" s="1798"/>
      <c r="E124" s="1798"/>
      <c r="F124" s="1798"/>
      <c r="G124" s="1798"/>
      <c r="H124" s="1798"/>
      <c r="I124" s="1798"/>
      <c r="J124" s="1798"/>
      <c r="K124" s="1798"/>
      <c r="L124" s="1798"/>
      <c r="M124" s="1798"/>
      <c r="N124" s="1798"/>
      <c r="O124" s="1798"/>
      <c r="P124" s="1798"/>
      <c r="Q124" s="1798"/>
      <c r="R124" s="1798"/>
      <c r="S124" s="1798"/>
      <c r="T124" s="352"/>
      <c r="U124" s="354"/>
    </row>
    <row r="125" spans="1:21" ht="12.5">
      <c r="A125" s="117" t="s">
        <v>1017</v>
      </c>
      <c r="B125" s="361"/>
      <c r="C125" s="117"/>
      <c r="D125" s="1798"/>
      <c r="E125" s="1798"/>
      <c r="F125" s="1798"/>
      <c r="G125" s="1798"/>
      <c r="H125" s="1798"/>
      <c r="I125" s="1798"/>
      <c r="J125" s="1798"/>
      <c r="K125" s="1798"/>
      <c r="L125" s="1798"/>
      <c r="M125" s="1798"/>
      <c r="N125" s="1798"/>
      <c r="O125" s="1798"/>
      <c r="P125" s="1798"/>
      <c r="Q125" s="1798"/>
      <c r="R125" s="1798"/>
      <c r="S125" s="1798"/>
      <c r="T125" s="352"/>
      <c r="U125" s="354"/>
    </row>
    <row r="126" spans="1:21" ht="12.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75"/>
      <c r="E128" s="1875"/>
      <c r="F128" s="1875"/>
      <c r="G128" s="1875"/>
      <c r="H128" s="1875"/>
      <c r="I128" s="117"/>
      <c r="J128" s="1876"/>
      <c r="K128" s="1876"/>
      <c r="L128" s="117"/>
      <c r="M128" s="117"/>
      <c r="N128" s="117"/>
      <c r="O128" s="117"/>
      <c r="P128" s="117"/>
      <c r="Q128" s="117"/>
      <c r="R128" s="117"/>
      <c r="S128" s="117"/>
      <c r="T128" s="352"/>
      <c r="U128" s="354"/>
    </row>
    <row r="129" spans="1:21" ht="12.5">
      <c r="A129" s="117" t="s">
        <v>301</v>
      </c>
      <c r="B129" s="361"/>
      <c r="C129" s="117"/>
      <c r="D129" s="1877" t="s">
        <v>1021</v>
      </c>
      <c r="E129" s="1877"/>
      <c r="F129" s="1877"/>
      <c r="G129" s="1877"/>
      <c r="H129" s="1877"/>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0</v>
      </c>
      <c r="C131" s="117"/>
      <c r="D131" s="1878"/>
      <c r="E131" s="1855"/>
      <c r="F131" s="1855"/>
      <c r="G131" s="1855"/>
      <c r="H131" s="1855"/>
      <c r="I131" s="117"/>
      <c r="J131" s="1878"/>
      <c r="K131" s="1855"/>
      <c r="L131" s="1855"/>
      <c r="M131" s="1855"/>
      <c r="N131" s="117"/>
      <c r="O131" s="117"/>
      <c r="P131" s="117"/>
      <c r="Q131" s="117"/>
      <c r="R131" s="117"/>
      <c r="S131" s="117"/>
      <c r="T131" s="352"/>
      <c r="U131" s="354"/>
    </row>
    <row r="132" spans="1:21" ht="12" customHeight="1">
      <c r="A132" s="364"/>
      <c r="B132" s="117"/>
      <c r="C132" s="117"/>
      <c r="D132" s="1882" t="s">
        <v>1024</v>
      </c>
      <c r="E132" s="1882"/>
      <c r="F132" s="1882"/>
      <c r="G132" s="1882"/>
      <c r="H132" s="1882"/>
      <c r="I132" s="117"/>
      <c r="J132" s="1882" t="s">
        <v>1025</v>
      </c>
      <c r="K132" s="1882"/>
      <c r="L132" s="1882"/>
      <c r="M132" s="188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3"/>
      <c r="B138" s="1875"/>
      <c r="C138" s="1875"/>
      <c r="D138" s="356"/>
      <c r="E138" s="1876"/>
      <c r="F138" s="1876"/>
      <c r="G138" s="117"/>
      <c r="H138" s="117"/>
      <c r="I138" s="117"/>
      <c r="J138" s="117"/>
      <c r="K138" s="117"/>
      <c r="L138" s="117"/>
      <c r="M138" s="117"/>
      <c r="N138" s="117"/>
      <c r="O138" s="117"/>
      <c r="P138" s="117"/>
      <c r="Q138" s="117"/>
      <c r="R138" s="117"/>
      <c r="S138" s="117"/>
      <c r="T138" s="358"/>
      <c r="U138" s="359"/>
    </row>
    <row r="139" spans="1:21" ht="13">
      <c r="A139" s="1880" t="s">
        <v>1028</v>
      </c>
      <c r="B139" s="1880"/>
      <c r="C139" s="1880"/>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4" workbookViewId="0">
      <selection activeCell="C127" sqref="C127"/>
    </sheetView>
  </sheetViews>
  <sheetFormatPr defaultColWidth="0" defaultRowHeight="11.5" zeroHeight="1"/>
  <cols>
    <col min="1" max="1" width="32.7265625" style="428" customWidth="1"/>
    <col min="2" max="3" width="12.1796875" style="424" customWidth="1"/>
    <col min="4" max="6" width="12.7265625" style="424" customWidth="1"/>
    <col min="7" max="9" width="12.1796875" style="424" customWidth="1"/>
    <col min="10" max="10" width="12.1796875" style="425" customWidth="1"/>
    <col min="11" max="11" width="8.7265625" style="426" hidden="1" customWidth="1"/>
    <col min="12" max="21" width="8.7265625" style="424" hidden="1" customWidth="1"/>
    <col min="22" max="23" width="0" style="424" hidden="1"/>
    <col min="24" max="256" width="8.7265625" style="424" hidden="1"/>
    <col min="257" max="257" width="32.7265625" style="424" hidden="1" customWidth="1"/>
    <col min="258" max="259" width="12.1796875" style="424" hidden="1" customWidth="1"/>
    <col min="260" max="260" width="12.7265625" style="424" hidden="1" customWidth="1"/>
    <col min="261" max="266" width="12.1796875" style="424" hidden="1" customWidth="1"/>
    <col min="267" max="277" width="8.7265625" style="424" hidden="1" customWidth="1"/>
    <col min="278" max="512" width="8.7265625" style="424" hidden="1"/>
    <col min="513" max="513" width="32.7265625" style="424" hidden="1" customWidth="1"/>
    <col min="514" max="515" width="12.1796875" style="424" hidden="1" customWidth="1"/>
    <col min="516" max="516" width="12.7265625" style="424" hidden="1" customWidth="1"/>
    <col min="517" max="522" width="12.1796875" style="424" hidden="1" customWidth="1"/>
    <col min="523" max="533" width="8.7265625" style="424" hidden="1" customWidth="1"/>
    <col min="534" max="768" width="8.7265625" style="424" hidden="1"/>
    <col min="769" max="769" width="32.7265625" style="424" hidden="1" customWidth="1"/>
    <col min="770" max="771" width="12.1796875" style="424" hidden="1" customWidth="1"/>
    <col min="772" max="772" width="12.7265625" style="424" hidden="1" customWidth="1"/>
    <col min="773" max="778" width="12.1796875" style="424" hidden="1" customWidth="1"/>
    <col min="779" max="789" width="8.7265625" style="424" hidden="1" customWidth="1"/>
    <col min="790" max="1024" width="8.7265625" style="424" hidden="1"/>
    <col min="1025" max="1025" width="32.7265625" style="424" hidden="1" customWidth="1"/>
    <col min="1026" max="1027" width="12.1796875" style="424" hidden="1" customWidth="1"/>
    <col min="1028" max="1028" width="12.7265625" style="424" hidden="1" customWidth="1"/>
    <col min="1029" max="1034" width="12.1796875" style="424" hidden="1" customWidth="1"/>
    <col min="1035" max="1045" width="8.7265625" style="424" hidden="1" customWidth="1"/>
    <col min="1046" max="1280" width="8.7265625" style="424" hidden="1"/>
    <col min="1281" max="1281" width="32.7265625" style="424" hidden="1" customWidth="1"/>
    <col min="1282" max="1283" width="12.1796875" style="424" hidden="1" customWidth="1"/>
    <col min="1284" max="1284" width="12.7265625" style="424" hidden="1" customWidth="1"/>
    <col min="1285" max="1290" width="12.1796875" style="424" hidden="1" customWidth="1"/>
    <col min="1291" max="1301" width="8.7265625" style="424" hidden="1" customWidth="1"/>
    <col min="1302" max="1536" width="8.7265625" style="424" hidden="1"/>
    <col min="1537" max="1537" width="32.7265625" style="424" hidden="1" customWidth="1"/>
    <col min="1538" max="1539" width="12.1796875" style="424" hidden="1" customWidth="1"/>
    <col min="1540" max="1540" width="12.7265625" style="424" hidden="1" customWidth="1"/>
    <col min="1541" max="1546" width="12.1796875" style="424" hidden="1" customWidth="1"/>
    <col min="1547" max="1557" width="8.7265625" style="424" hidden="1" customWidth="1"/>
    <col min="1558" max="1792" width="8.7265625" style="424" hidden="1"/>
    <col min="1793" max="1793" width="32.7265625" style="424" hidden="1" customWidth="1"/>
    <col min="1794" max="1795" width="12.1796875" style="424" hidden="1" customWidth="1"/>
    <col min="1796" max="1796" width="12.7265625" style="424" hidden="1" customWidth="1"/>
    <col min="1797" max="1802" width="12.1796875" style="424" hidden="1" customWidth="1"/>
    <col min="1803" max="1813" width="8.7265625" style="424" hidden="1" customWidth="1"/>
    <col min="1814" max="2048" width="8.7265625" style="424" hidden="1"/>
    <col min="2049" max="2049" width="32.7265625" style="424" hidden="1" customWidth="1"/>
    <col min="2050" max="2051" width="12.1796875" style="424" hidden="1" customWidth="1"/>
    <col min="2052" max="2052" width="12.7265625" style="424" hidden="1" customWidth="1"/>
    <col min="2053" max="2058" width="12.1796875" style="424" hidden="1" customWidth="1"/>
    <col min="2059" max="2069" width="8.7265625" style="424" hidden="1" customWidth="1"/>
    <col min="2070" max="2304" width="8.7265625" style="424" hidden="1"/>
    <col min="2305" max="2305" width="32.7265625" style="424" hidden="1" customWidth="1"/>
    <col min="2306" max="2307" width="12.1796875" style="424" hidden="1" customWidth="1"/>
    <col min="2308" max="2308" width="12.7265625" style="424" hidden="1" customWidth="1"/>
    <col min="2309" max="2314" width="12.1796875" style="424" hidden="1" customWidth="1"/>
    <col min="2315" max="2325" width="8.7265625" style="424" hidden="1" customWidth="1"/>
    <col min="2326" max="2560" width="8.7265625" style="424" hidden="1"/>
    <col min="2561" max="2561" width="32.7265625" style="424" hidden="1" customWidth="1"/>
    <col min="2562" max="2563" width="12.1796875" style="424" hidden="1" customWidth="1"/>
    <col min="2564" max="2564" width="12.7265625" style="424" hidden="1" customWidth="1"/>
    <col min="2565" max="2570" width="12.1796875" style="424" hidden="1" customWidth="1"/>
    <col min="2571" max="2581" width="8.7265625" style="424" hidden="1" customWidth="1"/>
    <col min="2582" max="2816" width="8.7265625" style="424" hidden="1"/>
    <col min="2817" max="2817" width="32.7265625" style="424" hidden="1" customWidth="1"/>
    <col min="2818" max="2819" width="12.1796875" style="424" hidden="1" customWidth="1"/>
    <col min="2820" max="2820" width="12.7265625" style="424" hidden="1" customWidth="1"/>
    <col min="2821" max="2826" width="12.1796875" style="424" hidden="1" customWidth="1"/>
    <col min="2827" max="2837" width="8.7265625" style="424" hidden="1" customWidth="1"/>
    <col min="2838" max="3072" width="8.7265625" style="424" hidden="1"/>
    <col min="3073" max="3073" width="32.7265625" style="424" hidden="1" customWidth="1"/>
    <col min="3074" max="3075" width="12.1796875" style="424" hidden="1" customWidth="1"/>
    <col min="3076" max="3076" width="12.7265625" style="424" hidden="1" customWidth="1"/>
    <col min="3077" max="3082" width="12.1796875" style="424" hidden="1" customWidth="1"/>
    <col min="3083" max="3093" width="8.7265625" style="424" hidden="1" customWidth="1"/>
    <col min="3094" max="3328" width="8.7265625" style="424" hidden="1"/>
    <col min="3329" max="3329" width="32.7265625" style="424" hidden="1" customWidth="1"/>
    <col min="3330" max="3331" width="12.1796875" style="424" hidden="1" customWidth="1"/>
    <col min="3332" max="3332" width="12.7265625" style="424" hidden="1" customWidth="1"/>
    <col min="3333" max="3338" width="12.1796875" style="424" hidden="1" customWidth="1"/>
    <col min="3339" max="3349" width="8.7265625" style="424" hidden="1" customWidth="1"/>
    <col min="3350" max="3584" width="8.7265625" style="424" hidden="1"/>
    <col min="3585" max="3585" width="32.7265625" style="424" hidden="1" customWidth="1"/>
    <col min="3586" max="3587" width="12.1796875" style="424" hidden="1" customWidth="1"/>
    <col min="3588" max="3588" width="12.7265625" style="424" hidden="1" customWidth="1"/>
    <col min="3589" max="3594" width="12.1796875" style="424" hidden="1" customWidth="1"/>
    <col min="3595" max="3605" width="8.7265625" style="424" hidden="1" customWidth="1"/>
    <col min="3606" max="3840" width="8.7265625" style="424" hidden="1"/>
    <col min="3841" max="3841" width="32.7265625" style="424" hidden="1" customWidth="1"/>
    <col min="3842" max="3843" width="12.1796875" style="424" hidden="1" customWidth="1"/>
    <col min="3844" max="3844" width="12.7265625" style="424" hidden="1" customWidth="1"/>
    <col min="3845" max="3850" width="12.1796875" style="424" hidden="1" customWidth="1"/>
    <col min="3851" max="3861" width="8.7265625" style="424" hidden="1" customWidth="1"/>
    <col min="3862" max="4096" width="8.7265625" style="424" hidden="1"/>
    <col min="4097" max="4097" width="32.7265625" style="424" hidden="1" customWidth="1"/>
    <col min="4098" max="4099" width="12.1796875" style="424" hidden="1" customWidth="1"/>
    <col min="4100" max="4100" width="12.7265625" style="424" hidden="1" customWidth="1"/>
    <col min="4101" max="4106" width="12.1796875" style="424" hidden="1" customWidth="1"/>
    <col min="4107" max="4117" width="8.7265625" style="424" hidden="1" customWidth="1"/>
    <col min="4118" max="4352" width="8.7265625" style="424" hidden="1"/>
    <col min="4353" max="4353" width="32.7265625" style="424" hidden="1" customWidth="1"/>
    <col min="4354" max="4355" width="12.1796875" style="424" hidden="1" customWidth="1"/>
    <col min="4356" max="4356" width="12.7265625" style="424" hidden="1" customWidth="1"/>
    <col min="4357" max="4362" width="12.1796875" style="424" hidden="1" customWidth="1"/>
    <col min="4363" max="4373" width="8.7265625" style="424" hidden="1" customWidth="1"/>
    <col min="4374" max="4608" width="8.7265625" style="424" hidden="1"/>
    <col min="4609" max="4609" width="32.7265625" style="424" hidden="1" customWidth="1"/>
    <col min="4610" max="4611" width="12.1796875" style="424" hidden="1" customWidth="1"/>
    <col min="4612" max="4612" width="12.7265625" style="424" hidden="1" customWidth="1"/>
    <col min="4613" max="4618" width="12.1796875" style="424" hidden="1" customWidth="1"/>
    <col min="4619" max="4629" width="8.7265625" style="424" hidden="1" customWidth="1"/>
    <col min="4630" max="4864" width="8.7265625" style="424" hidden="1"/>
    <col min="4865" max="4865" width="32.7265625" style="424" hidden="1" customWidth="1"/>
    <col min="4866" max="4867" width="12.1796875" style="424" hidden="1" customWidth="1"/>
    <col min="4868" max="4868" width="12.7265625" style="424" hidden="1" customWidth="1"/>
    <col min="4869" max="4874" width="12.1796875" style="424" hidden="1" customWidth="1"/>
    <col min="4875" max="4885" width="8.7265625" style="424" hidden="1" customWidth="1"/>
    <col min="4886" max="5120" width="8.7265625" style="424" hidden="1"/>
    <col min="5121" max="5121" width="32.7265625" style="424" hidden="1" customWidth="1"/>
    <col min="5122" max="5123" width="12.1796875" style="424" hidden="1" customWidth="1"/>
    <col min="5124" max="5124" width="12.7265625" style="424" hidden="1" customWidth="1"/>
    <col min="5125" max="5130" width="12.1796875" style="424" hidden="1" customWidth="1"/>
    <col min="5131" max="5141" width="8.7265625" style="424" hidden="1" customWidth="1"/>
    <col min="5142" max="5376" width="8.7265625" style="424" hidden="1"/>
    <col min="5377" max="5377" width="32.7265625" style="424" hidden="1" customWidth="1"/>
    <col min="5378" max="5379" width="12.1796875" style="424" hidden="1" customWidth="1"/>
    <col min="5380" max="5380" width="12.7265625" style="424" hidden="1" customWidth="1"/>
    <col min="5381" max="5386" width="12.1796875" style="424" hidden="1" customWidth="1"/>
    <col min="5387" max="5397" width="8.7265625" style="424" hidden="1" customWidth="1"/>
    <col min="5398" max="5632" width="8.7265625" style="424" hidden="1"/>
    <col min="5633" max="5633" width="32.7265625" style="424" hidden="1" customWidth="1"/>
    <col min="5634" max="5635" width="12.1796875" style="424" hidden="1" customWidth="1"/>
    <col min="5636" max="5636" width="12.7265625" style="424" hidden="1" customWidth="1"/>
    <col min="5637" max="5642" width="12.1796875" style="424" hidden="1" customWidth="1"/>
    <col min="5643" max="5653" width="8.7265625" style="424" hidden="1" customWidth="1"/>
    <col min="5654" max="5888" width="8.7265625" style="424" hidden="1"/>
    <col min="5889" max="5889" width="32.7265625" style="424" hidden="1" customWidth="1"/>
    <col min="5890" max="5891" width="12.1796875" style="424" hidden="1" customWidth="1"/>
    <col min="5892" max="5892" width="12.7265625" style="424" hidden="1" customWidth="1"/>
    <col min="5893" max="5898" width="12.1796875" style="424" hidden="1" customWidth="1"/>
    <col min="5899" max="5909" width="8.7265625" style="424" hidden="1" customWidth="1"/>
    <col min="5910" max="6144" width="8.7265625" style="424" hidden="1"/>
    <col min="6145" max="6145" width="32.7265625" style="424" hidden="1" customWidth="1"/>
    <col min="6146" max="6147" width="12.1796875" style="424" hidden="1" customWidth="1"/>
    <col min="6148" max="6148" width="12.7265625" style="424" hidden="1" customWidth="1"/>
    <col min="6149" max="6154" width="12.1796875" style="424" hidden="1" customWidth="1"/>
    <col min="6155" max="6165" width="8.7265625" style="424" hidden="1" customWidth="1"/>
    <col min="6166" max="6400" width="8.7265625" style="424" hidden="1"/>
    <col min="6401" max="6401" width="32.7265625" style="424" hidden="1" customWidth="1"/>
    <col min="6402" max="6403" width="12.1796875" style="424" hidden="1" customWidth="1"/>
    <col min="6404" max="6404" width="12.7265625" style="424" hidden="1" customWidth="1"/>
    <col min="6405" max="6410" width="12.1796875" style="424" hidden="1" customWidth="1"/>
    <col min="6411" max="6421" width="8.7265625" style="424" hidden="1" customWidth="1"/>
    <col min="6422" max="6656" width="8.7265625" style="424" hidden="1"/>
    <col min="6657" max="6657" width="32.7265625" style="424" hidden="1" customWidth="1"/>
    <col min="6658" max="6659" width="12.1796875" style="424" hidden="1" customWidth="1"/>
    <col min="6660" max="6660" width="12.7265625" style="424" hidden="1" customWidth="1"/>
    <col min="6661" max="6666" width="12.1796875" style="424" hidden="1" customWidth="1"/>
    <col min="6667" max="6677" width="8.7265625" style="424" hidden="1" customWidth="1"/>
    <col min="6678" max="6912" width="8.7265625" style="424" hidden="1"/>
    <col min="6913" max="6913" width="32.7265625" style="424" hidden="1" customWidth="1"/>
    <col min="6914" max="6915" width="12.1796875" style="424" hidden="1" customWidth="1"/>
    <col min="6916" max="6916" width="12.7265625" style="424" hidden="1" customWidth="1"/>
    <col min="6917" max="6922" width="12.1796875" style="424" hidden="1" customWidth="1"/>
    <col min="6923" max="6933" width="8.7265625" style="424" hidden="1" customWidth="1"/>
    <col min="6934" max="7168" width="8.7265625" style="424" hidden="1"/>
    <col min="7169" max="7169" width="32.7265625" style="424" hidden="1" customWidth="1"/>
    <col min="7170" max="7171" width="12.1796875" style="424" hidden="1" customWidth="1"/>
    <col min="7172" max="7172" width="12.7265625" style="424" hidden="1" customWidth="1"/>
    <col min="7173" max="7178" width="12.1796875" style="424" hidden="1" customWidth="1"/>
    <col min="7179" max="7189" width="8.7265625" style="424" hidden="1" customWidth="1"/>
    <col min="7190" max="7424" width="8.7265625" style="424" hidden="1"/>
    <col min="7425" max="7425" width="32.7265625" style="424" hidden="1" customWidth="1"/>
    <col min="7426" max="7427" width="12.1796875" style="424" hidden="1" customWidth="1"/>
    <col min="7428" max="7428" width="12.7265625" style="424" hidden="1" customWidth="1"/>
    <col min="7429" max="7434" width="12.1796875" style="424" hidden="1" customWidth="1"/>
    <col min="7435" max="7445" width="8.7265625" style="424" hidden="1" customWidth="1"/>
    <col min="7446" max="7680" width="8.7265625" style="424" hidden="1"/>
    <col min="7681" max="7681" width="32.7265625" style="424" hidden="1" customWidth="1"/>
    <col min="7682" max="7683" width="12.1796875" style="424" hidden="1" customWidth="1"/>
    <col min="7684" max="7684" width="12.7265625" style="424" hidden="1" customWidth="1"/>
    <col min="7685" max="7690" width="12.1796875" style="424" hidden="1" customWidth="1"/>
    <col min="7691" max="7701" width="8.7265625" style="424" hidden="1" customWidth="1"/>
    <col min="7702" max="7936" width="8.7265625" style="424" hidden="1"/>
    <col min="7937" max="7937" width="32.7265625" style="424" hidden="1" customWidth="1"/>
    <col min="7938" max="7939" width="12.1796875" style="424" hidden="1" customWidth="1"/>
    <col min="7940" max="7940" width="12.7265625" style="424" hidden="1" customWidth="1"/>
    <col min="7941" max="7946" width="12.1796875" style="424" hidden="1" customWidth="1"/>
    <col min="7947" max="7957" width="8.7265625" style="424" hidden="1" customWidth="1"/>
    <col min="7958" max="8192" width="8.7265625" style="424" hidden="1"/>
    <col min="8193" max="8193" width="32.7265625" style="424" hidden="1" customWidth="1"/>
    <col min="8194" max="8195" width="12.1796875" style="424" hidden="1" customWidth="1"/>
    <col min="8196" max="8196" width="12.7265625" style="424" hidden="1" customWidth="1"/>
    <col min="8197" max="8202" width="12.1796875" style="424" hidden="1" customWidth="1"/>
    <col min="8203" max="8213" width="8.7265625" style="424" hidden="1" customWidth="1"/>
    <col min="8214" max="8448" width="8.7265625" style="424" hidden="1"/>
    <col min="8449" max="8449" width="32.7265625" style="424" hidden="1" customWidth="1"/>
    <col min="8450" max="8451" width="12.1796875" style="424" hidden="1" customWidth="1"/>
    <col min="8452" max="8452" width="12.7265625" style="424" hidden="1" customWidth="1"/>
    <col min="8453" max="8458" width="12.1796875" style="424" hidden="1" customWidth="1"/>
    <col min="8459" max="8469" width="8.7265625" style="424" hidden="1" customWidth="1"/>
    <col min="8470" max="8704" width="8.7265625" style="424" hidden="1"/>
    <col min="8705" max="8705" width="32.7265625" style="424" hidden="1" customWidth="1"/>
    <col min="8706" max="8707" width="12.1796875" style="424" hidden="1" customWidth="1"/>
    <col min="8708" max="8708" width="12.7265625" style="424" hidden="1" customWidth="1"/>
    <col min="8709" max="8714" width="12.1796875" style="424" hidden="1" customWidth="1"/>
    <col min="8715" max="8725" width="8.7265625" style="424" hidden="1" customWidth="1"/>
    <col min="8726" max="8960" width="8.7265625" style="424" hidden="1"/>
    <col min="8961" max="8961" width="32.7265625" style="424" hidden="1" customWidth="1"/>
    <col min="8962" max="8963" width="12.1796875" style="424" hidden="1" customWidth="1"/>
    <col min="8964" max="8964" width="12.7265625" style="424" hidden="1" customWidth="1"/>
    <col min="8965" max="8970" width="12.1796875" style="424" hidden="1" customWidth="1"/>
    <col min="8971" max="8981" width="8.7265625" style="424" hidden="1" customWidth="1"/>
    <col min="8982" max="9216" width="8.7265625" style="424" hidden="1"/>
    <col min="9217" max="9217" width="32.7265625" style="424" hidden="1" customWidth="1"/>
    <col min="9218" max="9219" width="12.1796875" style="424" hidden="1" customWidth="1"/>
    <col min="9220" max="9220" width="12.7265625" style="424" hidden="1" customWidth="1"/>
    <col min="9221" max="9226" width="12.1796875" style="424" hidden="1" customWidth="1"/>
    <col min="9227" max="9237" width="8.7265625" style="424" hidden="1" customWidth="1"/>
    <col min="9238" max="9472" width="8.7265625" style="424" hidden="1"/>
    <col min="9473" max="9473" width="32.7265625" style="424" hidden="1" customWidth="1"/>
    <col min="9474" max="9475" width="12.1796875" style="424" hidden="1" customWidth="1"/>
    <col min="9476" max="9476" width="12.7265625" style="424" hidden="1" customWidth="1"/>
    <col min="9477" max="9482" width="12.1796875" style="424" hidden="1" customWidth="1"/>
    <col min="9483" max="9493" width="8.7265625" style="424" hidden="1" customWidth="1"/>
    <col min="9494" max="9728" width="8.7265625" style="424" hidden="1"/>
    <col min="9729" max="9729" width="32.7265625" style="424" hidden="1" customWidth="1"/>
    <col min="9730" max="9731" width="12.1796875" style="424" hidden="1" customWidth="1"/>
    <col min="9732" max="9732" width="12.7265625" style="424" hidden="1" customWidth="1"/>
    <col min="9733" max="9738" width="12.1796875" style="424" hidden="1" customWidth="1"/>
    <col min="9739" max="9749" width="8.7265625" style="424" hidden="1" customWidth="1"/>
    <col min="9750" max="9984" width="8.7265625" style="424" hidden="1"/>
    <col min="9985" max="9985" width="32.7265625" style="424" hidden="1" customWidth="1"/>
    <col min="9986" max="9987" width="12.1796875" style="424" hidden="1" customWidth="1"/>
    <col min="9988" max="9988" width="12.7265625" style="424" hidden="1" customWidth="1"/>
    <col min="9989" max="9994" width="12.1796875" style="424" hidden="1" customWidth="1"/>
    <col min="9995" max="10005" width="8.7265625" style="424" hidden="1" customWidth="1"/>
    <col min="10006" max="10240" width="8.7265625" style="424" hidden="1"/>
    <col min="10241" max="10241" width="32.7265625" style="424" hidden="1" customWidth="1"/>
    <col min="10242" max="10243" width="12.1796875" style="424" hidden="1" customWidth="1"/>
    <col min="10244" max="10244" width="12.7265625" style="424" hidden="1" customWidth="1"/>
    <col min="10245" max="10250" width="12.1796875" style="424" hidden="1" customWidth="1"/>
    <col min="10251" max="10261" width="8.7265625" style="424" hidden="1" customWidth="1"/>
    <col min="10262" max="10496" width="8.7265625" style="424" hidden="1"/>
    <col min="10497" max="10497" width="32.7265625" style="424" hidden="1" customWidth="1"/>
    <col min="10498" max="10499" width="12.1796875" style="424" hidden="1" customWidth="1"/>
    <col min="10500" max="10500" width="12.7265625" style="424" hidden="1" customWidth="1"/>
    <col min="10501" max="10506" width="12.1796875" style="424" hidden="1" customWidth="1"/>
    <col min="10507" max="10517" width="8.7265625" style="424" hidden="1" customWidth="1"/>
    <col min="10518" max="10752" width="8.7265625" style="424" hidden="1"/>
    <col min="10753" max="10753" width="32.7265625" style="424" hidden="1" customWidth="1"/>
    <col min="10754" max="10755" width="12.1796875" style="424" hidden="1" customWidth="1"/>
    <col min="10756" max="10756" width="12.7265625" style="424" hidden="1" customWidth="1"/>
    <col min="10757" max="10762" width="12.1796875" style="424" hidden="1" customWidth="1"/>
    <col min="10763" max="10773" width="8.7265625" style="424" hidden="1" customWidth="1"/>
    <col min="10774" max="11008" width="8.7265625" style="424" hidden="1"/>
    <col min="11009" max="11009" width="32.7265625" style="424" hidden="1" customWidth="1"/>
    <col min="11010" max="11011" width="12.1796875" style="424" hidden="1" customWidth="1"/>
    <col min="11012" max="11012" width="12.7265625" style="424" hidden="1" customWidth="1"/>
    <col min="11013" max="11018" width="12.1796875" style="424" hidden="1" customWidth="1"/>
    <col min="11019" max="11029" width="8.7265625" style="424" hidden="1" customWidth="1"/>
    <col min="11030" max="11264" width="8.7265625" style="424" hidden="1"/>
    <col min="11265" max="11265" width="32.7265625" style="424" hidden="1" customWidth="1"/>
    <col min="11266" max="11267" width="12.1796875" style="424" hidden="1" customWidth="1"/>
    <col min="11268" max="11268" width="12.7265625" style="424" hidden="1" customWidth="1"/>
    <col min="11269" max="11274" width="12.1796875" style="424" hidden="1" customWidth="1"/>
    <col min="11275" max="11285" width="8.7265625" style="424" hidden="1" customWidth="1"/>
    <col min="11286" max="11520" width="8.7265625" style="424" hidden="1"/>
    <col min="11521" max="11521" width="32.7265625" style="424" hidden="1" customWidth="1"/>
    <col min="11522" max="11523" width="12.1796875" style="424" hidden="1" customWidth="1"/>
    <col min="11524" max="11524" width="12.7265625" style="424" hidden="1" customWidth="1"/>
    <col min="11525" max="11530" width="12.1796875" style="424" hidden="1" customWidth="1"/>
    <col min="11531" max="11541" width="8.7265625" style="424" hidden="1" customWidth="1"/>
    <col min="11542" max="11776" width="8.7265625" style="424" hidden="1"/>
    <col min="11777" max="11777" width="32.7265625" style="424" hidden="1" customWidth="1"/>
    <col min="11778" max="11779" width="12.1796875" style="424" hidden="1" customWidth="1"/>
    <col min="11780" max="11780" width="12.7265625" style="424" hidden="1" customWidth="1"/>
    <col min="11781" max="11786" width="12.1796875" style="424" hidden="1" customWidth="1"/>
    <col min="11787" max="11797" width="8.7265625" style="424" hidden="1" customWidth="1"/>
    <col min="11798" max="12032" width="8.7265625" style="424" hidden="1"/>
    <col min="12033" max="12033" width="32.7265625" style="424" hidden="1" customWidth="1"/>
    <col min="12034" max="12035" width="12.1796875" style="424" hidden="1" customWidth="1"/>
    <col min="12036" max="12036" width="12.7265625" style="424" hidden="1" customWidth="1"/>
    <col min="12037" max="12042" width="12.1796875" style="424" hidden="1" customWidth="1"/>
    <col min="12043" max="12053" width="8.7265625" style="424" hidden="1" customWidth="1"/>
    <col min="12054" max="12288" width="8.7265625" style="424" hidden="1"/>
    <col min="12289" max="12289" width="32.7265625" style="424" hidden="1" customWidth="1"/>
    <col min="12290" max="12291" width="12.1796875" style="424" hidden="1" customWidth="1"/>
    <col min="12292" max="12292" width="12.7265625" style="424" hidden="1" customWidth="1"/>
    <col min="12293" max="12298" width="12.1796875" style="424" hidden="1" customWidth="1"/>
    <col min="12299" max="12309" width="8.7265625" style="424" hidden="1" customWidth="1"/>
    <col min="12310" max="12544" width="8.7265625" style="424" hidden="1"/>
    <col min="12545" max="12545" width="32.7265625" style="424" hidden="1" customWidth="1"/>
    <col min="12546" max="12547" width="12.1796875" style="424" hidden="1" customWidth="1"/>
    <col min="12548" max="12548" width="12.7265625" style="424" hidden="1" customWidth="1"/>
    <col min="12549" max="12554" width="12.1796875" style="424" hidden="1" customWidth="1"/>
    <col min="12555" max="12565" width="8.7265625" style="424" hidden="1" customWidth="1"/>
    <col min="12566" max="12800" width="8.7265625" style="424" hidden="1"/>
    <col min="12801" max="12801" width="32.7265625" style="424" hidden="1" customWidth="1"/>
    <col min="12802" max="12803" width="12.1796875" style="424" hidden="1" customWidth="1"/>
    <col min="12804" max="12804" width="12.7265625" style="424" hidden="1" customWidth="1"/>
    <col min="12805" max="12810" width="12.1796875" style="424" hidden="1" customWidth="1"/>
    <col min="12811" max="12821" width="8.7265625" style="424" hidden="1" customWidth="1"/>
    <col min="12822" max="13056" width="8.7265625" style="424" hidden="1"/>
    <col min="13057" max="13057" width="32.7265625" style="424" hidden="1" customWidth="1"/>
    <col min="13058" max="13059" width="12.1796875" style="424" hidden="1" customWidth="1"/>
    <col min="13060" max="13060" width="12.7265625" style="424" hidden="1" customWidth="1"/>
    <col min="13061" max="13066" width="12.1796875" style="424" hidden="1" customWidth="1"/>
    <col min="13067" max="13077" width="8.7265625" style="424" hidden="1" customWidth="1"/>
    <col min="13078" max="13312" width="8.7265625" style="424" hidden="1"/>
    <col min="13313" max="13313" width="32.7265625" style="424" hidden="1" customWidth="1"/>
    <col min="13314" max="13315" width="12.1796875" style="424" hidden="1" customWidth="1"/>
    <col min="13316" max="13316" width="12.7265625" style="424" hidden="1" customWidth="1"/>
    <col min="13317" max="13322" width="12.1796875" style="424" hidden="1" customWidth="1"/>
    <col min="13323" max="13333" width="8.7265625" style="424" hidden="1" customWidth="1"/>
    <col min="13334" max="13568" width="8.7265625" style="424" hidden="1"/>
    <col min="13569" max="13569" width="32.7265625" style="424" hidden="1" customWidth="1"/>
    <col min="13570" max="13571" width="12.1796875" style="424" hidden="1" customWidth="1"/>
    <col min="13572" max="13572" width="12.7265625" style="424" hidden="1" customWidth="1"/>
    <col min="13573" max="13578" width="12.1796875" style="424" hidden="1" customWidth="1"/>
    <col min="13579" max="13589" width="8.7265625" style="424" hidden="1" customWidth="1"/>
    <col min="13590" max="13824" width="8.7265625" style="424" hidden="1"/>
    <col min="13825" max="13825" width="32.7265625" style="424" hidden="1" customWidth="1"/>
    <col min="13826" max="13827" width="12.1796875" style="424" hidden="1" customWidth="1"/>
    <col min="13828" max="13828" width="12.7265625" style="424" hidden="1" customWidth="1"/>
    <col min="13829" max="13834" width="12.1796875" style="424" hidden="1" customWidth="1"/>
    <col min="13835" max="13845" width="8.7265625" style="424" hidden="1" customWidth="1"/>
    <col min="13846" max="14080" width="8.7265625" style="424" hidden="1"/>
    <col min="14081" max="14081" width="32.7265625" style="424" hidden="1" customWidth="1"/>
    <col min="14082" max="14083" width="12.1796875" style="424" hidden="1" customWidth="1"/>
    <col min="14084" max="14084" width="12.7265625" style="424" hidden="1" customWidth="1"/>
    <col min="14085" max="14090" width="12.1796875" style="424" hidden="1" customWidth="1"/>
    <col min="14091" max="14101" width="8.7265625" style="424" hidden="1" customWidth="1"/>
    <col min="14102" max="14336" width="8.7265625" style="424" hidden="1"/>
    <col min="14337" max="14337" width="32.7265625" style="424" hidden="1" customWidth="1"/>
    <col min="14338" max="14339" width="12.1796875" style="424" hidden="1" customWidth="1"/>
    <col min="14340" max="14340" width="12.7265625" style="424" hidden="1" customWidth="1"/>
    <col min="14341" max="14346" width="12.1796875" style="424" hidden="1" customWidth="1"/>
    <col min="14347" max="14357" width="8.7265625" style="424" hidden="1" customWidth="1"/>
    <col min="14358" max="14592" width="8.7265625" style="424" hidden="1"/>
    <col min="14593" max="14593" width="32.7265625" style="424" hidden="1" customWidth="1"/>
    <col min="14594" max="14595" width="12.1796875" style="424" hidden="1" customWidth="1"/>
    <col min="14596" max="14596" width="12.7265625" style="424" hidden="1" customWidth="1"/>
    <col min="14597" max="14602" width="12.1796875" style="424" hidden="1" customWidth="1"/>
    <col min="14603" max="14613" width="8.7265625" style="424" hidden="1" customWidth="1"/>
    <col min="14614" max="14848" width="8.7265625" style="424" hidden="1"/>
    <col min="14849" max="14849" width="32.7265625" style="424" hidden="1" customWidth="1"/>
    <col min="14850" max="14851" width="12.1796875" style="424" hidden="1" customWidth="1"/>
    <col min="14852" max="14852" width="12.7265625" style="424" hidden="1" customWidth="1"/>
    <col min="14853" max="14858" width="12.1796875" style="424" hidden="1" customWidth="1"/>
    <col min="14859" max="14869" width="8.7265625" style="424" hidden="1" customWidth="1"/>
    <col min="14870" max="15104" width="8.7265625" style="424" hidden="1"/>
    <col min="15105" max="15105" width="32.7265625" style="424" hidden="1" customWidth="1"/>
    <col min="15106" max="15107" width="12.1796875" style="424" hidden="1" customWidth="1"/>
    <col min="15108" max="15108" width="12.7265625" style="424" hidden="1" customWidth="1"/>
    <col min="15109" max="15114" width="12.1796875" style="424" hidden="1" customWidth="1"/>
    <col min="15115" max="15125" width="8.7265625" style="424" hidden="1" customWidth="1"/>
    <col min="15126" max="15360" width="8.7265625" style="424" hidden="1"/>
    <col min="15361" max="15361" width="32.7265625" style="424" hidden="1" customWidth="1"/>
    <col min="15362" max="15363" width="12.1796875" style="424" hidden="1" customWidth="1"/>
    <col min="15364" max="15364" width="12.7265625" style="424" hidden="1" customWidth="1"/>
    <col min="15365" max="15370" width="12.1796875" style="424" hidden="1" customWidth="1"/>
    <col min="15371" max="15381" width="8.7265625" style="424" hidden="1" customWidth="1"/>
    <col min="15382" max="15616" width="8.7265625" style="424" hidden="1"/>
    <col min="15617" max="15617" width="32.7265625" style="424" hidden="1" customWidth="1"/>
    <col min="15618" max="15619" width="12.1796875" style="424" hidden="1" customWidth="1"/>
    <col min="15620" max="15620" width="12.7265625" style="424" hidden="1" customWidth="1"/>
    <col min="15621" max="15626" width="12.1796875" style="424" hidden="1" customWidth="1"/>
    <col min="15627" max="15637" width="8.7265625" style="424" hidden="1" customWidth="1"/>
    <col min="15638" max="15872" width="8.7265625" style="424" hidden="1"/>
    <col min="15873" max="15873" width="32.7265625" style="424" hidden="1" customWidth="1"/>
    <col min="15874" max="15875" width="12.1796875" style="424" hidden="1" customWidth="1"/>
    <col min="15876" max="15876" width="12.7265625" style="424" hidden="1" customWidth="1"/>
    <col min="15877" max="15882" width="12.1796875" style="424" hidden="1" customWidth="1"/>
    <col min="15883" max="15893" width="8.7265625" style="424" hidden="1" customWidth="1"/>
    <col min="15894" max="16128" width="8.7265625" style="424" hidden="1"/>
    <col min="16129" max="16129" width="32.7265625" style="424" hidden="1" customWidth="1"/>
    <col min="16130" max="16131" width="12.1796875" style="424" hidden="1" customWidth="1"/>
    <col min="16132" max="16132" width="12.7265625" style="424" hidden="1" customWidth="1"/>
    <col min="16133" max="16138" width="12.1796875" style="424" hidden="1" customWidth="1"/>
    <col min="16139" max="16149" width="8.7265625" style="424" hidden="1" customWidth="1"/>
    <col min="16150" max="16384" width="8.7265625" style="424" hidden="1"/>
  </cols>
  <sheetData>
    <row r="1" spans="1:11" s="387" customFormat="1" ht="13">
      <c r="A1" s="1886" t="s">
        <v>1334</v>
      </c>
      <c r="B1" s="1887"/>
      <c r="C1" s="1887"/>
      <c r="D1" s="1887"/>
      <c r="E1" s="1887"/>
      <c r="F1" s="1887"/>
      <c r="G1" s="1887"/>
      <c r="H1" s="1887"/>
      <c r="I1" s="1887"/>
      <c r="J1" s="1888"/>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8500000</v>
      </c>
      <c r="C4" s="393">
        <f>B4</f>
        <v>8500000</v>
      </c>
      <c r="D4" s="393"/>
      <c r="E4" s="394"/>
      <c r="F4" s="394"/>
      <c r="G4" s="394"/>
      <c r="H4" s="394"/>
      <c r="I4" s="394"/>
      <c r="J4" s="394"/>
      <c r="K4" s="390"/>
    </row>
    <row r="5" spans="1:11" s="391" customFormat="1">
      <c r="A5" s="395" t="s">
        <v>28</v>
      </c>
      <c r="B5" s="392">
        <f>'Sources and Uses Budget'!C5</f>
        <v>100000</v>
      </c>
      <c r="C5" s="393">
        <f>B5</f>
        <v>100000</v>
      </c>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8600000</v>
      </c>
      <c r="C8" s="392">
        <f>SUM(C4:C7)</f>
        <v>8600000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500000</v>
      </c>
      <c r="C10" s="393">
        <f>B10</f>
        <v>500000</v>
      </c>
      <c r="D10" s="393"/>
      <c r="E10" s="392">
        <f>'Sources and Uses Budget'!S10</f>
        <v>500000</v>
      </c>
      <c r="F10" s="393">
        <f>E10</f>
        <v>500000</v>
      </c>
      <c r="G10" s="393"/>
      <c r="H10" s="392">
        <f>'Sources and Uses Budget'!T10</f>
        <v>0</v>
      </c>
      <c r="I10" s="393"/>
      <c r="J10" s="393"/>
      <c r="K10" s="390"/>
    </row>
    <row r="11" spans="1:11" s="391" customFormat="1">
      <c r="A11" s="396" t="s">
        <v>604</v>
      </c>
      <c r="B11" s="392">
        <f>'Sources and Uses Budget'!C11</f>
        <v>500000</v>
      </c>
      <c r="C11" s="392">
        <f>SUM(C9:C10)</f>
        <v>500000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9100000</v>
      </c>
      <c r="C12" s="392">
        <f>SUM(C8+C11)</f>
        <v>9100000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1000000</v>
      </c>
      <c r="C29" s="393">
        <v>1000000</v>
      </c>
      <c r="D29" s="393"/>
      <c r="E29" s="392">
        <f>'Sources and Uses Budget'!S29</f>
        <v>1000000</v>
      </c>
      <c r="F29" s="393">
        <f>E29</f>
        <v>1000000</v>
      </c>
      <c r="G29" s="393"/>
      <c r="H29" s="392">
        <f>'Sources and Uses Budget'!T29</f>
        <v>0</v>
      </c>
      <c r="I29" s="393"/>
      <c r="J29" s="393"/>
      <c r="K29" s="390"/>
    </row>
    <row r="30" spans="1:11" s="391" customFormat="1">
      <c r="A30" s="145" t="s">
        <v>607</v>
      </c>
      <c r="B30" s="392">
        <f>'Sources and Uses Budget'!C30</f>
        <v>30135763</v>
      </c>
      <c r="C30" s="393">
        <v>30135763</v>
      </c>
      <c r="D30" s="393"/>
      <c r="E30" s="392">
        <f>'Sources and Uses Budget'!S30</f>
        <v>30135763</v>
      </c>
      <c r="F30" s="393">
        <f t="shared" ref="F30:F33" si="0">E30</f>
        <v>30135763</v>
      </c>
      <c r="G30" s="393"/>
      <c r="H30" s="392">
        <f>'Sources and Uses Budget'!T30</f>
        <v>0</v>
      </c>
      <c r="I30" s="393"/>
      <c r="J30" s="393"/>
      <c r="K30" s="390"/>
    </row>
    <row r="31" spans="1:11" s="391" customFormat="1">
      <c r="A31" s="145" t="s">
        <v>608</v>
      </c>
      <c r="B31" s="392">
        <f>'Sources and Uses Budget'!C31</f>
        <v>1898146</v>
      </c>
      <c r="C31" s="393">
        <v>1898146</v>
      </c>
      <c r="D31" s="393"/>
      <c r="E31" s="392">
        <f>'Sources and Uses Budget'!S31</f>
        <v>1898146</v>
      </c>
      <c r="F31" s="393">
        <f t="shared" si="0"/>
        <v>1898146</v>
      </c>
      <c r="G31" s="393"/>
      <c r="H31" s="392">
        <f>'Sources and Uses Budget'!T31</f>
        <v>0</v>
      </c>
      <c r="I31" s="393"/>
      <c r="J31" s="393"/>
      <c r="K31" s="390"/>
    </row>
    <row r="32" spans="1:11" s="391" customFormat="1">
      <c r="A32" s="145" t="s">
        <v>137</v>
      </c>
      <c r="B32" s="392">
        <f>'Sources and Uses Budget'!C32</f>
        <v>1265430.5</v>
      </c>
      <c r="C32" s="393">
        <v>1265430.5</v>
      </c>
      <c r="D32" s="393"/>
      <c r="E32" s="392">
        <f>'Sources and Uses Budget'!S32</f>
        <v>1265430.5</v>
      </c>
      <c r="F32" s="393">
        <f t="shared" si="0"/>
        <v>1265430.5</v>
      </c>
      <c r="G32" s="393"/>
      <c r="H32" s="392">
        <f>'Sources and Uses Budget'!T32</f>
        <v>0</v>
      </c>
      <c r="I32" s="393"/>
      <c r="J32" s="393"/>
      <c r="K32" s="390"/>
    </row>
    <row r="33" spans="1:11" s="391" customFormat="1">
      <c r="A33" s="145" t="s">
        <v>138</v>
      </c>
      <c r="B33" s="392">
        <f>'Sources and Uses Budget'!C33</f>
        <v>1265430.5</v>
      </c>
      <c r="C33" s="393">
        <v>1265430.5</v>
      </c>
      <c r="D33" s="393"/>
      <c r="E33" s="392">
        <f>'Sources and Uses Budget'!S33</f>
        <v>1265430.5</v>
      </c>
      <c r="F33" s="393">
        <f t="shared" si="0"/>
        <v>1265430.5</v>
      </c>
      <c r="G33" s="393"/>
      <c r="H33" s="392">
        <f>'Sources and Uses Budget'!T33</f>
        <v>0</v>
      </c>
      <c r="I33" s="393"/>
      <c r="J33" s="393"/>
      <c r="K33" s="390"/>
    </row>
    <row r="34" spans="1:11" s="391" customFormat="1">
      <c r="A34" s="145" t="s">
        <v>139</v>
      </c>
      <c r="B34" s="392">
        <f>'Sources and Uses Budget'!C34</f>
        <v>0</v>
      </c>
      <c r="C34" s="393">
        <v>0</v>
      </c>
      <c r="D34" s="393"/>
      <c r="E34" s="392">
        <f>'Sources and Uses Budget'!S34</f>
        <v>0</v>
      </c>
      <c r="F34" s="393"/>
      <c r="G34" s="393"/>
      <c r="H34" s="392">
        <f>'Sources and Uses Budget'!T34</f>
        <v>0</v>
      </c>
      <c r="I34" s="393"/>
      <c r="J34" s="393"/>
      <c r="K34" s="390"/>
    </row>
    <row r="35" spans="1:11" s="391" customFormat="1">
      <c r="A35" s="145" t="s">
        <v>140</v>
      </c>
      <c r="B35" s="392">
        <f>'Sources and Uses Budget'!C35</f>
        <v>360648</v>
      </c>
      <c r="C35" s="393">
        <v>360648</v>
      </c>
      <c r="D35" s="393"/>
      <c r="E35" s="392">
        <f>'Sources and Uses Budget'!S35</f>
        <v>360648</v>
      </c>
      <c r="F35" s="393">
        <f>E35</f>
        <v>360648</v>
      </c>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ht="23">
      <c r="A37" s="395" t="str">
        <f>'Sources and Uses Budget'!$A37</f>
        <v>Other: (Off Site Improvements + Bond Premium)</v>
      </c>
      <c r="B37" s="392">
        <f>'Sources and Uses Budget'!C37</f>
        <v>0</v>
      </c>
      <c r="C37" s="393"/>
      <c r="D37" s="393"/>
      <c r="E37" s="392">
        <f>'Sources and Uses Budget'!S37</f>
        <v>0</v>
      </c>
      <c r="F37" s="393">
        <f>E37</f>
        <v>0</v>
      </c>
      <c r="G37" s="393"/>
      <c r="H37" s="392">
        <f>'Sources and Uses Budget'!T37</f>
        <v>0</v>
      </c>
      <c r="I37" s="393"/>
      <c r="J37" s="393"/>
      <c r="K37" s="390"/>
    </row>
    <row r="38" spans="1:11" s="391" customFormat="1">
      <c r="A38" s="396" t="s">
        <v>143</v>
      </c>
      <c r="B38" s="392">
        <f>'Sources and Uses Budget'!C38</f>
        <v>35925418</v>
      </c>
      <c r="C38" s="392">
        <f>SUM(C29:C37)</f>
        <v>35925418</v>
      </c>
      <c r="D38" s="392">
        <f>SUM(D29:D37)</f>
        <v>0</v>
      </c>
      <c r="E38" s="392">
        <f>'Sources and Uses Budget'!S38</f>
        <v>35925418</v>
      </c>
      <c r="F38" s="398">
        <f>SUM(F29:F37)</f>
        <v>35925418</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1100000</v>
      </c>
      <c r="C40" s="393">
        <f>B40</f>
        <v>1100000</v>
      </c>
      <c r="D40" s="393"/>
      <c r="E40" s="392">
        <f>'Sources and Uses Budget'!S40</f>
        <v>1100000</v>
      </c>
      <c r="F40" s="393">
        <f>E40</f>
        <v>1100000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1100000</v>
      </c>
      <c r="C42" s="392">
        <f>SUM(C39:C41)</f>
        <v>1100000</v>
      </c>
      <c r="D42" s="392">
        <f>SUM(D39:D41)</f>
        <v>0</v>
      </c>
      <c r="E42" s="392">
        <f>'Sources and Uses Budget'!S42</f>
        <v>1100000</v>
      </c>
      <c r="F42" s="398">
        <f>SUM(F40:F41)</f>
        <v>1100000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f>B43</f>
        <v>650000</v>
      </c>
      <c r="D43" s="393"/>
      <c r="E43" s="392">
        <f>'Sources and Uses Budget'!S43</f>
        <v>650000</v>
      </c>
      <c r="F43" s="393">
        <f>E43</f>
        <v>650000</v>
      </c>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3953908</v>
      </c>
      <c r="C45" s="393">
        <f>B45</f>
        <v>3953908</v>
      </c>
      <c r="D45" s="393"/>
      <c r="E45" s="392">
        <f>'Sources and Uses Budget'!S45</f>
        <v>2449539.6</v>
      </c>
      <c r="F45" s="393">
        <f>E45</f>
        <v>2449539.6</v>
      </c>
      <c r="G45" s="393"/>
      <c r="H45" s="392">
        <f>'Sources and Uses Budget'!T45</f>
        <v>0</v>
      </c>
      <c r="I45" s="393"/>
      <c r="J45" s="393"/>
      <c r="K45" s="390"/>
    </row>
    <row r="46" spans="1:11" s="391" customFormat="1">
      <c r="A46" s="395" t="s">
        <v>151</v>
      </c>
      <c r="B46" s="392">
        <f>'Sources and Uses Budget'!C46</f>
        <v>313322</v>
      </c>
      <c r="C46" s="393">
        <f>B46</f>
        <v>313322</v>
      </c>
      <c r="D46" s="393"/>
      <c r="E46" s="392">
        <f>'Sources and Uses Budget'!S46</f>
        <v>234991.6</v>
      </c>
      <c r="F46" s="393">
        <f t="shared" ref="F46:F47" si="1">E46</f>
        <v>234991.6</v>
      </c>
      <c r="G46" s="393"/>
      <c r="H46" s="392">
        <f>'Sources and Uses Budget'!T46</f>
        <v>0</v>
      </c>
      <c r="I46" s="393"/>
      <c r="J46" s="393"/>
      <c r="K46" s="390"/>
    </row>
    <row r="47" spans="1:11" s="391" customFormat="1" ht="12" customHeight="1">
      <c r="A47" s="395" t="s">
        <v>152</v>
      </c>
      <c r="B47" s="392">
        <f>'Sources and Uses Budget'!C47</f>
        <v>15000</v>
      </c>
      <c r="C47" s="393">
        <v>15000</v>
      </c>
      <c r="D47" s="393"/>
      <c r="E47" s="392">
        <f>'Sources and Uses Budget'!S47</f>
        <v>11250</v>
      </c>
      <c r="F47" s="393">
        <f t="shared" si="1"/>
        <v>11250</v>
      </c>
      <c r="G47" s="393"/>
      <c r="H47" s="392">
        <f>'Sources and Uses Budget'!T47</f>
        <v>0</v>
      </c>
      <c r="I47" s="393"/>
      <c r="J47" s="393"/>
      <c r="K47" s="390"/>
    </row>
    <row r="48" spans="1:11" s="391" customFormat="1">
      <c r="A48" s="395" t="s">
        <v>153</v>
      </c>
      <c r="B48" s="392">
        <f>'Sources and Uses Budget'!C48</f>
        <v>324583</v>
      </c>
      <c r="C48" s="393">
        <f>B48</f>
        <v>324583</v>
      </c>
      <c r="D48" s="393"/>
      <c r="E48" s="392">
        <f>'Sources and Uses Budget'!S48</f>
        <v>324583</v>
      </c>
      <c r="F48" s="393">
        <f>E48</f>
        <v>324583</v>
      </c>
      <c r="G48" s="393"/>
      <c r="H48" s="392">
        <f>'Sources and Uses Budget'!T48</f>
        <v>0</v>
      </c>
      <c r="I48" s="393"/>
      <c r="J48" s="393"/>
      <c r="K48" s="390"/>
    </row>
    <row r="49" spans="1:11" s="391" customFormat="1">
      <c r="A49" s="304" t="s">
        <v>57</v>
      </c>
      <c r="B49" s="392">
        <f>'Sources and Uses Budget'!C49</f>
        <v>78331</v>
      </c>
      <c r="C49" s="393">
        <f>B49</f>
        <v>78331</v>
      </c>
      <c r="D49" s="393"/>
      <c r="E49" s="392">
        <f>'Sources and Uses Budget'!S49</f>
        <v>78331</v>
      </c>
      <c r="F49" s="393">
        <f>E49</f>
        <v>78331</v>
      </c>
      <c r="G49" s="393"/>
      <c r="H49" s="392">
        <f>'Sources and Uses Budget'!T49</f>
        <v>0</v>
      </c>
      <c r="I49" s="393"/>
      <c r="J49" s="393"/>
      <c r="K49" s="390"/>
    </row>
    <row r="50" spans="1:11" s="391" customFormat="1">
      <c r="A50" s="395" t="s">
        <v>156</v>
      </c>
      <c r="B50" s="392">
        <f>'Sources and Uses Budget'!C50</f>
        <v>100000</v>
      </c>
      <c r="C50" s="393">
        <v>100000</v>
      </c>
      <c r="D50" s="393"/>
      <c r="E50" s="392">
        <f>'Sources and Uses Budget'!S50</f>
        <v>75000</v>
      </c>
      <c r="F50" s="393">
        <f t="shared" ref="F50:F53" si="2">E50</f>
        <v>75000</v>
      </c>
      <c r="G50" s="393"/>
      <c r="H50" s="392">
        <f>'Sources and Uses Budget'!T50</f>
        <v>0</v>
      </c>
      <c r="I50" s="393"/>
      <c r="J50" s="393"/>
      <c r="K50" s="390"/>
    </row>
    <row r="51" spans="1:11" s="391" customFormat="1">
      <c r="A51" s="395" t="s">
        <v>154</v>
      </c>
      <c r="B51" s="392">
        <f>'Sources and Uses Budget'!C51</f>
        <v>105000</v>
      </c>
      <c r="C51" s="393">
        <v>105000</v>
      </c>
      <c r="D51" s="393"/>
      <c r="E51" s="392">
        <f>'Sources and Uses Budget'!S51</f>
        <v>105000</v>
      </c>
      <c r="F51" s="393">
        <f t="shared" si="2"/>
        <v>105000</v>
      </c>
      <c r="G51" s="393"/>
      <c r="H51" s="392">
        <f>'Sources and Uses Budget'!T51</f>
        <v>0</v>
      </c>
      <c r="I51" s="393"/>
      <c r="J51" s="393"/>
      <c r="K51" s="390"/>
    </row>
    <row r="52" spans="1:11" s="391" customFormat="1">
      <c r="A52" s="395" t="s">
        <v>155</v>
      </c>
      <c r="B52" s="392">
        <f>'Sources and Uses Budget'!C52</f>
        <v>551000</v>
      </c>
      <c r="C52" s="393">
        <v>551000</v>
      </c>
      <c r="D52" s="393"/>
      <c r="E52" s="392">
        <f>'Sources and Uses Budget'!S52</f>
        <v>551000</v>
      </c>
      <c r="F52" s="393">
        <f t="shared" si="2"/>
        <v>551000</v>
      </c>
      <c r="G52" s="393"/>
      <c r="H52" s="392">
        <f>'Sources and Uses Budget'!T52</f>
        <v>0</v>
      </c>
      <c r="I52" s="393"/>
      <c r="J52" s="393"/>
      <c r="K52" s="390"/>
    </row>
    <row r="53" spans="1:11" s="391" customFormat="1">
      <c r="A53" s="395" t="str">
        <f>'Sources and Uses Budget'!$A53</f>
        <v>Other: (Employment Recording)</v>
      </c>
      <c r="B53" s="392">
        <f>'Sources and Uses Budget'!C53</f>
        <v>25000</v>
      </c>
      <c r="C53" s="393">
        <v>25000</v>
      </c>
      <c r="D53" s="393"/>
      <c r="E53" s="392">
        <f>'Sources and Uses Budget'!S53</f>
        <v>25000</v>
      </c>
      <c r="F53" s="393">
        <f t="shared" si="2"/>
        <v>25000</v>
      </c>
      <c r="G53" s="393"/>
      <c r="H53" s="392">
        <f>'Sources and Uses Budget'!T53</f>
        <v>0</v>
      </c>
      <c r="I53" s="393"/>
      <c r="J53" s="393"/>
      <c r="K53" s="390"/>
    </row>
    <row r="54" spans="1:11" s="400" customFormat="1">
      <c r="A54" s="396" t="s">
        <v>157</v>
      </c>
      <c r="B54" s="392">
        <f>'Sources and Uses Budget'!C54</f>
        <v>5466144</v>
      </c>
      <c r="C54" s="398">
        <f>SUM(C45:C53)</f>
        <v>5466144</v>
      </c>
      <c r="D54" s="398">
        <f>SUM(D45:D53)</f>
        <v>0</v>
      </c>
      <c r="E54" s="392">
        <f>'Sources and Uses Budget'!S54</f>
        <v>3854695.2</v>
      </c>
      <c r="F54" s="398">
        <f>SUM(F45:F53)</f>
        <v>3854695.2</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f>B58</f>
        <v>10000</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(Legal for Perm Loan)</v>
      </c>
      <c r="B61" s="392">
        <f>'Sources and Uses Budget'!C61</f>
        <v>15000</v>
      </c>
      <c r="C61" s="393">
        <f>B61</f>
        <v>15000</v>
      </c>
      <c r="D61" s="393"/>
      <c r="E61" s="394"/>
      <c r="F61" s="394"/>
      <c r="G61" s="394"/>
      <c r="H61" s="394"/>
      <c r="I61" s="394"/>
      <c r="J61" s="394"/>
      <c r="K61" s="390"/>
    </row>
    <row r="62" spans="1:11" s="391" customFormat="1" ht="13.9" customHeight="1">
      <c r="A62" s="396" t="s">
        <v>302</v>
      </c>
      <c r="B62" s="392">
        <f>'Sources and Uses Budget'!C62</f>
        <v>25000</v>
      </c>
      <c r="C62" s="392">
        <f>SUM(C56:C61)</f>
        <v>25000</v>
      </c>
      <c r="D62" s="392">
        <f>SUM(D56:D61)</f>
        <v>0</v>
      </c>
      <c r="E62" s="394"/>
      <c r="F62" s="394"/>
      <c r="G62" s="394"/>
      <c r="H62" s="394"/>
      <c r="I62" s="394"/>
      <c r="J62" s="394"/>
      <c r="K62" s="390"/>
    </row>
    <row r="63" spans="1:11" s="391" customFormat="1">
      <c r="A63" s="401" t="s">
        <v>303</v>
      </c>
      <c r="B63" s="392">
        <f>'Sources and Uses Budget'!C63</f>
        <v>52266562</v>
      </c>
      <c r="C63" s="392">
        <f>SUM(C8+C11+C13+C14+C15+C26+C27+C38+C42+C43+C54+C62)</f>
        <v>52266562</v>
      </c>
      <c r="D63" s="392">
        <f>SUM(D8+D11+D13+D14+D15+D26+D27+D38+D42+D43+D54+D62)</f>
        <v>0</v>
      </c>
      <c r="E63" s="392">
        <f>'Sources and Uses Budget'!S63</f>
        <v>42030113.200000003</v>
      </c>
      <c r="F63" s="392">
        <f>SUM(F10+F13+F14+F15+F26+F27+F38+F42+F43+F54)</f>
        <v>42030113.200000003</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175000</v>
      </c>
      <c r="C65" s="393">
        <f>B65</f>
        <v>175000</v>
      </c>
      <c r="D65" s="393"/>
      <c r="E65" s="392">
        <f>'Sources and Uses Budget'!S65</f>
        <v>175000</v>
      </c>
      <c r="F65" s="393">
        <f>E65</f>
        <v>175000</v>
      </c>
      <c r="G65" s="393"/>
      <c r="H65" s="392">
        <f>'Sources and Uses Budget'!T65</f>
        <v>0</v>
      </c>
      <c r="I65" s="393"/>
      <c r="J65" s="393"/>
      <c r="K65" s="390"/>
    </row>
    <row r="66" spans="1:11" s="391" customFormat="1" ht="23">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ht="23">
      <c r="A69" s="395" t="str">
        <f>'Sources and Uses Budget'!$A69</f>
        <v>Other: (Investor Legal+ Bond issuer Legal+ MGP LEGAL)</v>
      </c>
      <c r="B69" s="392">
        <f>'Sources and Uses Budget'!C69</f>
        <v>150000</v>
      </c>
      <c r="C69" s="393">
        <f>B69</f>
        <v>150000</v>
      </c>
      <c r="D69" s="393"/>
      <c r="E69" s="392">
        <f>'Sources and Uses Budget'!S69</f>
        <v>0</v>
      </c>
      <c r="F69" s="393"/>
      <c r="G69" s="393"/>
      <c r="H69" s="392">
        <f>'Sources and Uses Budget'!T69</f>
        <v>0</v>
      </c>
      <c r="I69" s="393"/>
      <c r="J69" s="393"/>
      <c r="K69" s="390"/>
    </row>
    <row r="70" spans="1:11" s="391" customFormat="1">
      <c r="A70" s="396" t="s">
        <v>609</v>
      </c>
      <c r="B70" s="392">
        <f>'Sources and Uses Budget'!C70</f>
        <v>325000</v>
      </c>
      <c r="C70" s="392">
        <f>SUM(C64:C69)</f>
        <v>325000</v>
      </c>
      <c r="D70" s="392">
        <f>SUM(D64:D69)</f>
        <v>0</v>
      </c>
      <c r="E70" s="392">
        <f>'Sources and Uses Budget'!S70</f>
        <v>175000</v>
      </c>
      <c r="F70" s="398">
        <f>SUM(F65:F69)</f>
        <v>175000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0</v>
      </c>
      <c r="C72" s="393">
        <f>B72</f>
        <v>0</v>
      </c>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473853.6</v>
      </c>
      <c r="C75" s="393">
        <v>473853.6</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473853.6</v>
      </c>
      <c r="C77" s="392">
        <f>SUM(C72:C76)</f>
        <v>473853.6</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1842500</v>
      </c>
      <c r="C79" s="393">
        <f>B79</f>
        <v>1842500</v>
      </c>
      <c r="D79" s="393"/>
      <c r="E79" s="392">
        <f>'Sources and Uses Budget'!S79</f>
        <v>1842500</v>
      </c>
      <c r="F79" s="393">
        <f>E79</f>
        <v>1842500</v>
      </c>
      <c r="G79" s="393"/>
      <c r="H79" s="392">
        <f>'Sources and Uses Budget'!T79</f>
        <v>0</v>
      </c>
      <c r="I79" s="393"/>
      <c r="J79" s="393"/>
      <c r="K79" s="390"/>
    </row>
    <row r="80" spans="1:11" s="391" customFormat="1">
      <c r="A80" s="395" t="s">
        <v>58</v>
      </c>
      <c r="B80" s="392">
        <f>'Sources and Uses Budget'!C80</f>
        <v>482360</v>
      </c>
      <c r="C80" s="393">
        <f>B80</f>
        <v>482360</v>
      </c>
      <c r="D80" s="393"/>
      <c r="E80" s="392">
        <f>'Sources and Uses Budget'!S80</f>
        <v>482360</v>
      </c>
      <c r="F80" s="393">
        <f>E80</f>
        <v>482360</v>
      </c>
      <c r="G80" s="393"/>
      <c r="H80" s="392">
        <f>'Sources and Uses Budget'!T80</f>
        <v>0</v>
      </c>
      <c r="I80" s="393"/>
      <c r="J80" s="393"/>
      <c r="K80" s="390"/>
    </row>
    <row r="81" spans="1:11" s="391" customFormat="1">
      <c r="A81" s="396" t="s">
        <v>1315</v>
      </c>
      <c r="B81" s="392">
        <f>'Sources and Uses Budget'!C81</f>
        <v>2324860</v>
      </c>
      <c r="C81" s="392">
        <f>SUM(C79:C80)</f>
        <v>2324860</v>
      </c>
      <c r="D81" s="392">
        <f>SUM(D79:D80)</f>
        <v>0</v>
      </c>
      <c r="E81" s="392">
        <f>'Sources and Uses Budget'!S81</f>
        <v>2324860</v>
      </c>
      <c r="F81" s="392">
        <f>SUM(F79:F80)</f>
        <v>2324860</v>
      </c>
      <c r="G81" s="392">
        <f>SUM(G79:G80)</f>
        <v>0</v>
      </c>
      <c r="H81" s="392">
        <f>'Sources and Uses Budget'!T81</f>
        <v>0</v>
      </c>
      <c r="I81" s="392">
        <f>SUM(I79:I80)</f>
        <v>0</v>
      </c>
      <c r="J81" s="392">
        <f>SUM(J79:J80)</f>
        <v>0</v>
      </c>
      <c r="K81" s="390"/>
    </row>
    <row r="82" spans="1:11" s="391" customFormat="1" ht="12">
      <c r="A82" s="388" t="s">
        <v>774</v>
      </c>
      <c r="B82" s="389"/>
      <c r="C82" s="389"/>
      <c r="D82" s="389"/>
      <c r="E82" s="389"/>
      <c r="F82" s="389"/>
      <c r="G82" s="389"/>
      <c r="H82" s="389"/>
      <c r="I82" s="389"/>
      <c r="J82" s="389"/>
      <c r="K82" s="390"/>
    </row>
    <row r="83" spans="1:11" s="391" customFormat="1" ht="13.9" customHeight="1">
      <c r="A83" s="145" t="s">
        <v>2409</v>
      </c>
      <c r="B83" s="392">
        <f>'Sources and Uses Budget'!C83</f>
        <v>98732.6</v>
      </c>
      <c r="C83" s="393">
        <f>B83</f>
        <v>98732.6</v>
      </c>
      <c r="D83" s="393"/>
      <c r="E83" s="394"/>
      <c r="F83" s="394"/>
      <c r="G83" s="394"/>
      <c r="H83" s="394"/>
      <c r="I83" s="394"/>
      <c r="J83" s="394"/>
      <c r="K83" s="390"/>
    </row>
    <row r="84" spans="1:11" s="391" customFormat="1">
      <c r="A84" s="145" t="s">
        <v>776</v>
      </c>
      <c r="B84" s="392">
        <f>'Sources and Uses Budget'!C84</f>
        <v>50000</v>
      </c>
      <c r="C84" s="393">
        <f t="shared" ref="C84:C86" si="3">B84</f>
        <v>50000</v>
      </c>
      <c r="D84" s="393"/>
      <c r="E84" s="392">
        <f>'Sources and Uses Budget'!S84</f>
        <v>50000</v>
      </c>
      <c r="F84" s="393">
        <f>E84</f>
        <v>50000</v>
      </c>
      <c r="G84" s="393"/>
      <c r="H84" s="392">
        <f>'Sources and Uses Budget'!T84</f>
        <v>0</v>
      </c>
      <c r="I84" s="393"/>
      <c r="J84" s="393"/>
      <c r="K84" s="390"/>
    </row>
    <row r="85" spans="1:11" s="391" customFormat="1">
      <c r="A85" s="145" t="s">
        <v>777</v>
      </c>
      <c r="B85" s="392">
        <f>'Sources and Uses Budget'!C85</f>
        <v>2225572.6</v>
      </c>
      <c r="C85" s="393">
        <f t="shared" si="3"/>
        <v>2225572.6</v>
      </c>
      <c r="D85" s="393"/>
      <c r="E85" s="392">
        <f>'Sources and Uses Budget'!S85</f>
        <v>2225572.6</v>
      </c>
      <c r="F85" s="393">
        <f>E85</f>
        <v>2225572.6</v>
      </c>
      <c r="G85" s="393"/>
      <c r="H85" s="392">
        <f>'Sources and Uses Budget'!T85</f>
        <v>0</v>
      </c>
      <c r="I85" s="393"/>
      <c r="J85" s="393"/>
      <c r="K85" s="390"/>
    </row>
    <row r="86" spans="1:11" s="391" customFormat="1">
      <c r="A86" s="145" t="s">
        <v>778</v>
      </c>
      <c r="B86" s="392">
        <f>'Sources and Uses Budget'!C86</f>
        <v>714426.6</v>
      </c>
      <c r="C86" s="393">
        <f t="shared" si="3"/>
        <v>714426.6</v>
      </c>
      <c r="D86" s="393"/>
      <c r="E86" s="392">
        <f>'Sources and Uses Budget'!S86</f>
        <v>714426.6</v>
      </c>
      <c r="F86" s="393">
        <f>E86</f>
        <v>714426.6</v>
      </c>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150000</v>
      </c>
      <c r="C88" s="393">
        <f>B88</f>
        <v>150000</v>
      </c>
      <c r="D88" s="393"/>
      <c r="E88" s="394"/>
      <c r="F88" s="394"/>
      <c r="G88" s="394"/>
      <c r="H88" s="394"/>
      <c r="I88" s="394"/>
      <c r="J88" s="394"/>
      <c r="K88" s="390"/>
    </row>
    <row r="89" spans="1:11" s="391" customFormat="1">
      <c r="A89" s="145" t="s">
        <v>781</v>
      </c>
      <c r="B89" s="392">
        <f>'Sources and Uses Budget'!C89</f>
        <v>150000</v>
      </c>
      <c r="C89" s="393">
        <f t="shared" ref="C89:C95" si="4">B89</f>
        <v>150000</v>
      </c>
      <c r="D89" s="393"/>
      <c r="E89" s="392">
        <f>'Sources and Uses Budget'!S89</f>
        <v>150000</v>
      </c>
      <c r="F89" s="393">
        <f>E89</f>
        <v>150000</v>
      </c>
      <c r="G89" s="393"/>
      <c r="H89" s="392">
        <f>'Sources and Uses Budget'!T89</f>
        <v>0</v>
      </c>
      <c r="I89" s="393"/>
      <c r="J89" s="393"/>
      <c r="K89" s="390"/>
    </row>
    <row r="90" spans="1:11" s="391" customFormat="1">
      <c r="A90" s="145" t="s">
        <v>782</v>
      </c>
      <c r="B90" s="392">
        <f>'Sources and Uses Budget'!C90</f>
        <v>15000</v>
      </c>
      <c r="C90" s="393">
        <f t="shared" si="4"/>
        <v>15000</v>
      </c>
      <c r="D90" s="393"/>
      <c r="E90" s="392">
        <f>'Sources and Uses Budget'!S90</f>
        <v>15000</v>
      </c>
      <c r="F90" s="393">
        <f t="shared" ref="F90:F95" si="5">E90</f>
        <v>15000</v>
      </c>
      <c r="G90" s="393"/>
      <c r="H90" s="392">
        <f>'Sources and Uses Budget'!T90</f>
        <v>0</v>
      </c>
      <c r="I90" s="393"/>
      <c r="J90" s="393"/>
      <c r="K90" s="390"/>
    </row>
    <row r="91" spans="1:11" s="391" customFormat="1">
      <c r="A91" s="155" t="s">
        <v>373</v>
      </c>
      <c r="B91" s="392">
        <f>'Sources and Uses Budget'!C91</f>
        <v>50000</v>
      </c>
      <c r="C91" s="393">
        <f t="shared" si="4"/>
        <v>50000</v>
      </c>
      <c r="D91" s="393"/>
      <c r="E91" s="392">
        <f>'Sources and Uses Budget'!S91</f>
        <v>50000</v>
      </c>
      <c r="F91" s="393">
        <f t="shared" si="5"/>
        <v>50000</v>
      </c>
      <c r="G91" s="393"/>
      <c r="H91" s="392">
        <f>'Sources and Uses Budget'!T91</f>
        <v>0</v>
      </c>
      <c r="I91" s="393"/>
      <c r="J91" s="393"/>
      <c r="K91" s="390"/>
    </row>
    <row r="92" spans="1:11" s="391" customFormat="1">
      <c r="A92" s="542" t="s">
        <v>1317</v>
      </c>
      <c r="B92" s="392">
        <f>'Sources and Uses Budget'!C92</f>
        <v>20000</v>
      </c>
      <c r="C92" s="393">
        <f t="shared" si="4"/>
        <v>20000</v>
      </c>
      <c r="D92" s="393"/>
      <c r="E92" s="392">
        <f>'Sources and Uses Budget'!S92</f>
        <v>20000</v>
      </c>
      <c r="F92" s="393">
        <f t="shared" si="5"/>
        <v>20000</v>
      </c>
      <c r="G92" s="393"/>
      <c r="H92" s="392">
        <f>'Sources and Uses Budget'!T92</f>
        <v>0</v>
      </c>
      <c r="I92" s="393"/>
      <c r="J92" s="393"/>
      <c r="K92" s="390"/>
    </row>
    <row r="93" spans="1:11" s="391" customFormat="1">
      <c r="A93" s="395" t="str">
        <f>'Sources and Uses Budget'!$A93</f>
        <v>Other: (CDLAC Fee)</v>
      </c>
      <c r="B93" s="392">
        <f>'Sources and Uses Budget'!C93</f>
        <v>11264.6</v>
      </c>
      <c r="C93" s="393">
        <f t="shared" si="4"/>
        <v>11264.6</v>
      </c>
      <c r="D93" s="393"/>
      <c r="E93" s="392">
        <f>'Sources and Uses Budget'!S93</f>
        <v>11264.6</v>
      </c>
      <c r="F93" s="393">
        <f t="shared" si="5"/>
        <v>11264.6</v>
      </c>
      <c r="G93" s="393"/>
      <c r="H93" s="392">
        <f>'Sources and Uses Budget'!T93</f>
        <v>0</v>
      </c>
      <c r="I93" s="393"/>
      <c r="J93" s="393"/>
      <c r="K93" s="390"/>
    </row>
    <row r="94" spans="1:11" s="391" customFormat="1">
      <c r="A94" s="395" t="str">
        <f>'Sources and Uses Budget'!$A94</f>
        <v>Other: (Miscellaenous Third Party Cost)</v>
      </c>
      <c r="B94" s="392">
        <f>'Sources and Uses Budget'!C94</f>
        <v>250000.4</v>
      </c>
      <c r="C94" s="393">
        <f t="shared" si="4"/>
        <v>250000.4</v>
      </c>
      <c r="D94" s="393"/>
      <c r="E94" s="392">
        <f>'Sources and Uses Budget'!S94</f>
        <v>250000.4</v>
      </c>
      <c r="F94" s="393">
        <f t="shared" si="5"/>
        <v>250000.4</v>
      </c>
      <c r="G94" s="393"/>
      <c r="H94" s="392">
        <f>'Sources and Uses Budget'!T94</f>
        <v>0</v>
      </c>
      <c r="I94" s="393"/>
      <c r="J94" s="393"/>
      <c r="K94" s="390"/>
    </row>
    <row r="95" spans="1:11" s="391" customFormat="1">
      <c r="A95" s="395" t="str">
        <f>'Sources and Uses Budget'!$A95</f>
        <v>Other: (Predevelopment loan Interest)</v>
      </c>
      <c r="B95" s="392">
        <f>'Sources and Uses Budget'!C95</f>
        <v>200000.4</v>
      </c>
      <c r="C95" s="393">
        <f t="shared" si="4"/>
        <v>200000.4</v>
      </c>
      <c r="D95" s="393"/>
      <c r="E95" s="392">
        <f>'Sources and Uses Budget'!S95</f>
        <v>200000.4</v>
      </c>
      <c r="F95" s="393">
        <f t="shared" si="5"/>
        <v>200000.4</v>
      </c>
      <c r="G95" s="393"/>
      <c r="H95" s="392">
        <f>'Sources and Uses Budget'!T95</f>
        <v>0</v>
      </c>
      <c r="I95" s="393"/>
      <c r="J95" s="393"/>
      <c r="K95" s="390"/>
    </row>
    <row r="96" spans="1:11" s="391" customFormat="1">
      <c r="A96" s="396" t="s">
        <v>783</v>
      </c>
      <c r="B96" s="392">
        <f>'Sources and Uses Budget'!C96</f>
        <v>3934997.2</v>
      </c>
      <c r="C96" s="392">
        <f>SUM(C83:C95)</f>
        <v>3934997.2</v>
      </c>
      <c r="D96" s="392">
        <f>SUM(D83:D95)</f>
        <v>0</v>
      </c>
      <c r="E96" s="392">
        <f>'Sources and Uses Budget'!S96</f>
        <v>3686264.6</v>
      </c>
      <c r="F96" s="398">
        <f>SUM(F84:F87,F89:F95)</f>
        <v>3686264.6</v>
      </c>
      <c r="G96" s="398">
        <f>SUM(G84:G87,G89:G95)</f>
        <v>0</v>
      </c>
      <c r="H96" s="392">
        <f>'Sources and Uses Budget'!T96</f>
        <v>0</v>
      </c>
      <c r="I96" s="392">
        <f>SUM(I84:I87,I89:I95)</f>
        <v>0</v>
      </c>
      <c r="J96" s="392">
        <f>SUM(J84:J87,J89:J95)</f>
        <v>0</v>
      </c>
      <c r="K96" s="390"/>
    </row>
    <row r="97" spans="1:11" s="391" customFormat="1">
      <c r="A97" s="396" t="s">
        <v>1053</v>
      </c>
      <c r="B97" s="392">
        <f>'Sources and Uses Budget'!C97</f>
        <v>59325272.800000004</v>
      </c>
      <c r="C97" s="392">
        <f>SUM(C63+C70+C77+C81+C96)</f>
        <v>59325272.800000004</v>
      </c>
      <c r="D97" s="392">
        <f>SUM(D63+D70+D77+D81+D96)</f>
        <v>0</v>
      </c>
      <c r="E97" s="392">
        <f>'Sources and Uses Budget'!S97</f>
        <v>48216237.800000004</v>
      </c>
      <c r="F97" s="398">
        <f>SUM(+F63+F70+F81+F96)</f>
        <v>48216237.800000004</v>
      </c>
      <c r="G97" s="398">
        <f>SUM(+G63+G70+G81+G96)</f>
        <v>0</v>
      </c>
      <c r="H97" s="392">
        <f>'Sources and Uses Budget'!T97</f>
        <v>0</v>
      </c>
      <c r="I97" s="398">
        <f>SUM(I63+I70+I81+I96)</f>
        <v>0</v>
      </c>
      <c r="J97" s="398">
        <f>SUM(J63+J70+J81+J96)</f>
        <v>0</v>
      </c>
      <c r="K97" s="390"/>
    </row>
    <row r="98" spans="1:11" s="391" customFormat="1" ht="12">
      <c r="A98" s="388" t="s">
        <v>785</v>
      </c>
      <c r="B98" s="389"/>
      <c r="C98" s="389"/>
      <c r="D98" s="389"/>
      <c r="E98" s="389"/>
      <c r="F98" s="389"/>
      <c r="G98" s="389"/>
      <c r="H98" s="389"/>
      <c r="I98" s="389"/>
      <c r="J98" s="389"/>
      <c r="K98" s="390"/>
    </row>
    <row r="99" spans="1:11" s="391" customFormat="1">
      <c r="A99" s="145" t="s">
        <v>786</v>
      </c>
      <c r="B99" s="392">
        <f>'Sources and Uses Budget'!C99</f>
        <v>7232434.5999999996</v>
      </c>
      <c r="C99" s="393">
        <f>B99</f>
        <v>7232434.5999999996</v>
      </c>
      <c r="D99" s="393"/>
      <c r="E99" s="392">
        <f>'Sources and Uses Budget'!S99</f>
        <v>7232434.5999999996</v>
      </c>
      <c r="F99" s="393">
        <f>E99</f>
        <v>7232434.5999999996</v>
      </c>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7232434.5999999996</v>
      </c>
      <c r="C104" s="392">
        <f>SUM(C99:C103)</f>
        <v>7232434.5999999996</v>
      </c>
      <c r="D104" s="392">
        <f>SUM(D99:D103)</f>
        <v>0</v>
      </c>
      <c r="E104" s="392">
        <f>'Sources and Uses Budget'!S104</f>
        <v>7232434.5999999996</v>
      </c>
      <c r="F104" s="398">
        <f>SUM(F99:F103)</f>
        <v>7232434.5999999996</v>
      </c>
      <c r="G104" s="398">
        <f>SUM(G99:G103)</f>
        <v>0</v>
      </c>
      <c r="H104" s="392">
        <f>'Sources and Uses Budget'!T104</f>
        <v>0</v>
      </c>
      <c r="I104" s="398">
        <f>SUM(I99:I103)</f>
        <v>0</v>
      </c>
      <c r="J104" s="398">
        <f>SUM(J99:J103)</f>
        <v>0</v>
      </c>
      <c r="K104" s="390"/>
    </row>
    <row r="105" spans="1:11" s="391" customFormat="1">
      <c r="A105" s="396" t="s">
        <v>1054</v>
      </c>
      <c r="B105" s="392">
        <f>'Sources and Uses Budget'!C105</f>
        <v>66557707.400000006</v>
      </c>
      <c r="C105" s="398">
        <f>SUM(C97+C104)</f>
        <v>66557707.400000006</v>
      </c>
      <c r="D105" s="398">
        <f>SUM(D97+D104)</f>
        <v>0</v>
      </c>
      <c r="E105" s="392">
        <f>'Sources and Uses Budget'!S105</f>
        <v>55448672.400000006</v>
      </c>
      <c r="F105" s="398">
        <f>F97+F104</f>
        <v>55448672.400000006</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55448672.400000006</v>
      </c>
      <c r="F107" s="398">
        <f>F105+F106</f>
        <v>55448672.400000006</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4"/>
      <c r="E124" s="1335"/>
      <c r="F124" s="1335"/>
      <c r="G124" s="1335"/>
      <c r="H124" s="1335"/>
      <c r="I124" s="1335"/>
      <c r="J124" s="407"/>
      <c r="K124" s="390"/>
    </row>
    <row r="125" spans="1:11" s="391" customFormat="1" ht="12.5">
      <c r="A125" s="416"/>
      <c r="B125" s="415"/>
      <c r="C125" s="416"/>
      <c r="D125" s="1335"/>
      <c r="E125" s="1335"/>
      <c r="F125" s="1335"/>
      <c r="G125" s="1335"/>
      <c r="H125" s="1335"/>
      <c r="I125" s="1335"/>
      <c r="J125" s="407"/>
      <c r="K125" s="390"/>
    </row>
    <row r="126" spans="1:11" s="391" customFormat="1" ht="12.5">
      <c r="A126" s="416"/>
      <c r="B126" s="415"/>
      <c r="C126" s="416"/>
      <c r="D126" s="1335"/>
      <c r="E126" s="1335"/>
      <c r="F126" s="1335"/>
      <c r="G126" s="1335"/>
      <c r="H126" s="1335"/>
      <c r="I126" s="1335"/>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5"/>
      <c r="B139" s="1335"/>
      <c r="C139" s="1335"/>
      <c r="D139" s="387"/>
      <c r="E139" s="416"/>
      <c r="F139" s="416"/>
      <c r="G139" s="416"/>
    </row>
    <row r="140" spans="1:11" ht="12" customHeight="1">
      <c r="A140" s="1295"/>
      <c r="B140" s="1295"/>
      <c r="C140" s="1295"/>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388" workbookViewId="0">
      <selection activeCell="F392" sqref="F392:AF395"/>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7265625" style="14" customWidth="1"/>
    <col min="7" max="14" width="2.453125" style="14" customWidth="1"/>
    <col min="15" max="15" width="2.7265625" style="14" customWidth="1"/>
    <col min="16" max="16" width="2.453125" style="14" customWidth="1"/>
    <col min="17" max="17" width="3.7265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7265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1921" t="s">
        <v>1409</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row>
    <row r="2" spans="1:42" s="570" customFormat="1" ht="12.75" customHeight="1" thickBo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5" t="s">
        <v>1414</v>
      </c>
      <c r="AF7" s="1905"/>
      <c r="AG7" s="1905"/>
      <c r="AH7" s="1905"/>
      <c r="AI7" s="1905"/>
      <c r="AJ7" s="1905"/>
      <c r="AK7" s="1905"/>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5" t="s">
        <v>599</v>
      </c>
      <c r="C13" s="1895"/>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3"/>
      <c r="AH13" s="1923"/>
      <c r="AI13" s="1923"/>
      <c r="AJ13" s="192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5" t="s">
        <v>599</v>
      </c>
      <c r="C16" s="1895"/>
      <c r="D16" s="581"/>
      <c r="E16" s="1906" t="s">
        <v>1416</v>
      </c>
      <c r="F16" s="1907"/>
      <c r="G16" s="1907"/>
      <c r="H16" s="1907"/>
      <c r="I16" s="1907"/>
      <c r="J16" s="1907"/>
      <c r="K16" s="1907"/>
      <c r="L16" s="1907"/>
      <c r="M16" s="1907"/>
      <c r="N16" s="1907"/>
      <c r="O16" s="1907"/>
      <c r="P16" s="1907"/>
      <c r="Q16" s="1907"/>
      <c r="R16" s="1907"/>
      <c r="S16" s="1907"/>
      <c r="T16" s="1907"/>
      <c r="U16" s="1907"/>
      <c r="V16" s="1907"/>
      <c r="W16" s="1907"/>
      <c r="X16" s="1907"/>
      <c r="Y16" s="1907"/>
      <c r="Z16" s="1907"/>
      <c r="AA16" s="1907"/>
      <c r="AB16" s="1907"/>
      <c r="AC16" s="1907"/>
      <c r="AD16" s="1907"/>
      <c r="AE16" s="1907"/>
      <c r="AF16" s="1907"/>
      <c r="AG16" s="1907"/>
      <c r="AH16" s="1907"/>
      <c r="AI16" s="1907"/>
      <c r="AJ16" s="1908"/>
      <c r="AK16" s="574"/>
      <c r="AL16" s="574"/>
      <c r="AM16" s="574"/>
      <c r="AN16" s="569"/>
      <c r="AO16" s="584">
        <f>IF($B25="yes",20,0)</f>
        <v>0</v>
      </c>
      <c r="AP16" s="14"/>
    </row>
    <row r="17" spans="1:42" s="570" customFormat="1" ht="12.75" customHeight="1">
      <c r="A17" s="574"/>
      <c r="B17" s="574"/>
      <c r="C17" s="574"/>
      <c r="D17" s="585"/>
      <c r="E17" s="1909"/>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1"/>
      <c r="AK17" s="574"/>
      <c r="AL17" s="574"/>
      <c r="AM17" s="574"/>
      <c r="AN17" s="569"/>
      <c r="AO17" s="570">
        <f>IF(SUM(AO13:AO16)&gt;20,20,(SUM(AO13:AO16)))</f>
        <v>0</v>
      </c>
      <c r="AP17" s="570" t="s">
        <v>1417</v>
      </c>
    </row>
    <row r="18" spans="1:42" s="570" customFormat="1" ht="12.75" customHeight="1">
      <c r="A18" s="574"/>
      <c r="B18" s="574"/>
      <c r="C18" s="574"/>
      <c r="D18" s="585"/>
      <c r="E18" s="1909"/>
      <c r="F18" s="1910"/>
      <c r="G18" s="1910"/>
      <c r="H18" s="1910"/>
      <c r="I18" s="1910"/>
      <c r="J18" s="1910"/>
      <c r="K18" s="1910"/>
      <c r="L18" s="1910"/>
      <c r="M18" s="1910"/>
      <c r="N18" s="1910"/>
      <c r="O18" s="1910"/>
      <c r="P18" s="1910"/>
      <c r="Q18" s="1910"/>
      <c r="R18" s="1910"/>
      <c r="S18" s="1910"/>
      <c r="T18" s="1910"/>
      <c r="U18" s="1910"/>
      <c r="V18" s="1910"/>
      <c r="W18" s="1910"/>
      <c r="X18" s="1910"/>
      <c r="Y18" s="1910"/>
      <c r="Z18" s="1910"/>
      <c r="AA18" s="1910"/>
      <c r="AB18" s="1910"/>
      <c r="AC18" s="1910"/>
      <c r="AD18" s="1910"/>
      <c r="AE18" s="1910"/>
      <c r="AF18" s="1910"/>
      <c r="AG18" s="1910"/>
      <c r="AH18" s="1910"/>
      <c r="AI18" s="1910"/>
      <c r="AJ18" s="1911"/>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4"/>
      <c r="F20" s="1935"/>
      <c r="G20" s="1935"/>
      <c r="H20" s="1935"/>
      <c r="I20" s="1935"/>
      <c r="J20" s="1935"/>
      <c r="K20" s="1935"/>
      <c r="L20" s="1935"/>
      <c r="M20" s="1935"/>
      <c r="N20" s="1935"/>
      <c r="O20" s="1935"/>
      <c r="P20" s="1935"/>
      <c r="Q20" s="1935"/>
      <c r="R20" s="1935"/>
      <c r="S20" s="1935"/>
      <c r="T20" s="1935"/>
      <c r="U20" s="1935"/>
      <c r="V20" s="1935"/>
      <c r="W20" s="1935"/>
      <c r="X20" s="1935"/>
      <c r="Y20" s="1935"/>
      <c r="Z20" s="1935"/>
      <c r="AA20" s="1935"/>
      <c r="AB20" s="1935"/>
      <c r="AC20" s="1935"/>
      <c r="AD20" s="1935"/>
      <c r="AE20" s="1935"/>
      <c r="AF20" s="1935"/>
      <c r="AG20" s="1935"/>
      <c r="AH20" s="1935"/>
      <c r="AI20" s="1935"/>
      <c r="AJ20" s="193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5" t="s">
        <v>599</v>
      </c>
      <c r="C22" s="1895"/>
      <c r="D22" s="581"/>
      <c r="E22" s="1928" t="s">
        <v>1419</v>
      </c>
      <c r="F22" s="1929"/>
      <c r="G22" s="1929"/>
      <c r="H22" s="1929"/>
      <c r="I22" s="1929"/>
      <c r="J22" s="1929"/>
      <c r="K22" s="1929"/>
      <c r="L22" s="1929"/>
      <c r="M22" s="1929"/>
      <c r="N22" s="1929"/>
      <c r="O22" s="1929"/>
      <c r="P22" s="1929"/>
      <c r="Q22" s="1929"/>
      <c r="R22" s="1929"/>
      <c r="S22" s="1929"/>
      <c r="T22" s="1929"/>
      <c r="U22" s="1929"/>
      <c r="V22" s="1929"/>
      <c r="W22" s="1929"/>
      <c r="X22" s="1929"/>
      <c r="Y22" s="1929"/>
      <c r="Z22" s="1929"/>
      <c r="AA22" s="1929"/>
      <c r="AB22" s="1929"/>
      <c r="AC22" s="1929"/>
      <c r="AD22" s="1929"/>
      <c r="AE22" s="1929"/>
      <c r="AF22" s="1929"/>
      <c r="AG22" s="1929"/>
      <c r="AH22" s="1929"/>
      <c r="AI22" s="1929"/>
      <c r="AJ22" s="1930"/>
      <c r="AK22" s="574"/>
      <c r="AL22" s="574"/>
      <c r="AM22" s="574"/>
      <c r="AN22" s="569"/>
      <c r="AO22" s="570">
        <f>IF(SUM(AO20:AO21)&gt;14,14,SUM(AO20:AO21))</f>
        <v>0</v>
      </c>
      <c r="AP22" s="570" t="s">
        <v>1417</v>
      </c>
    </row>
    <row r="23" spans="1:42" s="570" customFormat="1" ht="12.75" customHeight="1">
      <c r="A23" s="574"/>
      <c r="B23" s="574"/>
      <c r="C23" s="574"/>
      <c r="D23" s="584"/>
      <c r="E23" s="1931"/>
      <c r="F23" s="1932"/>
      <c r="G23" s="1932"/>
      <c r="H23" s="1932"/>
      <c r="I23" s="1932"/>
      <c r="J23" s="1932"/>
      <c r="K23" s="1932"/>
      <c r="L23" s="1932"/>
      <c r="M23" s="1932"/>
      <c r="N23" s="1932"/>
      <c r="O23" s="1932"/>
      <c r="P23" s="1932"/>
      <c r="Q23" s="1932"/>
      <c r="R23" s="1932"/>
      <c r="S23" s="1932"/>
      <c r="T23" s="1932"/>
      <c r="U23" s="1932"/>
      <c r="V23" s="1932"/>
      <c r="W23" s="1932"/>
      <c r="X23" s="1932"/>
      <c r="Y23" s="1932"/>
      <c r="Z23" s="1932"/>
      <c r="AA23" s="1932"/>
      <c r="AB23" s="1932"/>
      <c r="AC23" s="1932"/>
      <c r="AD23" s="1932"/>
      <c r="AE23" s="1932"/>
      <c r="AF23" s="1932"/>
      <c r="AG23" s="1932"/>
      <c r="AH23" s="1932"/>
      <c r="AI23" s="1932"/>
      <c r="AJ23" s="193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5" t="s">
        <v>599</v>
      </c>
      <c r="C25" s="1895"/>
      <c r="D25" s="581"/>
      <c r="E25" s="1896" t="s">
        <v>2346</v>
      </c>
      <c r="F25" s="1897"/>
      <c r="G25" s="1897"/>
      <c r="H25" s="1897"/>
      <c r="I25" s="1897"/>
      <c r="J25" s="1897"/>
      <c r="K25" s="1897"/>
      <c r="L25" s="1897"/>
      <c r="M25" s="1897"/>
      <c r="N25" s="1897"/>
      <c r="O25" s="1897"/>
      <c r="P25" s="1897"/>
      <c r="Q25" s="1897"/>
      <c r="R25" s="1897"/>
      <c r="S25" s="1897"/>
      <c r="T25" s="1897"/>
      <c r="U25" s="1897"/>
      <c r="V25" s="1897"/>
      <c r="W25" s="1897"/>
      <c r="X25" s="1897"/>
      <c r="Y25" s="1897"/>
      <c r="Z25" s="1897"/>
      <c r="AA25" s="1897"/>
      <c r="AB25" s="1897"/>
      <c r="AC25" s="1897"/>
      <c r="AD25" s="1897"/>
      <c r="AE25" s="1897"/>
      <c r="AF25" s="1897"/>
      <c r="AG25" s="1897"/>
      <c r="AH25" s="1897"/>
      <c r="AI25" s="1897"/>
      <c r="AJ25" s="1898"/>
      <c r="AK25" s="574"/>
      <c r="AL25" s="574"/>
      <c r="AM25" s="574"/>
      <c r="AN25" s="569"/>
      <c r="AO25" s="570">
        <f>IF(AO24&gt;6,6,AO24)</f>
        <v>0</v>
      </c>
      <c r="AP25" s="570" t="s">
        <v>1417</v>
      </c>
    </row>
    <row r="26" spans="1:42" s="570" customFormat="1" ht="12.75" customHeight="1">
      <c r="A26" s="574"/>
      <c r="B26" s="574"/>
      <c r="C26" s="574"/>
      <c r="D26" s="584"/>
      <c r="E26" s="1899"/>
      <c r="F26" s="1900"/>
      <c r="G26" s="1900"/>
      <c r="H26" s="1900"/>
      <c r="I26" s="1900"/>
      <c r="J26" s="1900"/>
      <c r="K26" s="1900"/>
      <c r="L26" s="1900"/>
      <c r="M26" s="1900"/>
      <c r="N26" s="1900"/>
      <c r="O26" s="1900"/>
      <c r="P26" s="1900"/>
      <c r="Q26" s="1900"/>
      <c r="R26" s="1900"/>
      <c r="S26" s="1900"/>
      <c r="T26" s="1900"/>
      <c r="U26" s="1900"/>
      <c r="V26" s="1900"/>
      <c r="W26" s="1900"/>
      <c r="X26" s="1900"/>
      <c r="Y26" s="1900"/>
      <c r="Z26" s="1900"/>
      <c r="AA26" s="1900"/>
      <c r="AB26" s="1900"/>
      <c r="AC26" s="1900"/>
      <c r="AD26" s="1900"/>
      <c r="AE26" s="1900"/>
      <c r="AF26" s="1900"/>
      <c r="AG26" s="1900"/>
      <c r="AH26" s="1900"/>
      <c r="AI26" s="1900"/>
      <c r="AJ26" s="190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95" t="s">
        <v>599</v>
      </c>
      <c r="C30" s="1895"/>
      <c r="D30" s="581"/>
      <c r="E30" s="1928" t="s">
        <v>2318</v>
      </c>
      <c r="F30" s="1929"/>
      <c r="G30" s="1929"/>
      <c r="H30" s="1929"/>
      <c r="I30" s="1929"/>
      <c r="J30" s="1929"/>
      <c r="K30" s="1929"/>
      <c r="L30" s="1929"/>
      <c r="M30" s="1929"/>
      <c r="N30" s="1929"/>
      <c r="O30" s="1929"/>
      <c r="P30" s="1929"/>
      <c r="Q30" s="1929"/>
      <c r="R30" s="1929"/>
      <c r="S30" s="1929"/>
      <c r="T30" s="1929"/>
      <c r="U30" s="1929"/>
      <c r="V30" s="1929"/>
      <c r="W30" s="1929"/>
      <c r="X30" s="1929"/>
      <c r="Y30" s="1929"/>
      <c r="Z30" s="1929"/>
      <c r="AA30" s="1929"/>
      <c r="AB30" s="1929"/>
      <c r="AC30" s="1929"/>
      <c r="AD30" s="1929"/>
      <c r="AE30" s="1929"/>
      <c r="AF30" s="1929"/>
      <c r="AG30" s="1929"/>
      <c r="AH30" s="1929"/>
      <c r="AI30" s="1929"/>
      <c r="AJ30" s="1930"/>
      <c r="AK30" s="574"/>
      <c r="AL30" s="574"/>
      <c r="AM30" s="574"/>
      <c r="AN30" s="569"/>
      <c r="AO30" s="584"/>
    </row>
    <row r="31" spans="1:42" s="570" customFormat="1" ht="12.75" customHeight="1">
      <c r="A31" s="574"/>
      <c r="B31" s="574"/>
      <c r="C31" s="574"/>
      <c r="E31" s="1931"/>
      <c r="F31" s="1932"/>
      <c r="G31" s="1932"/>
      <c r="H31" s="1932"/>
      <c r="I31" s="1932"/>
      <c r="J31" s="1932"/>
      <c r="K31" s="1932"/>
      <c r="L31" s="1932"/>
      <c r="M31" s="1932"/>
      <c r="N31" s="1932"/>
      <c r="O31" s="1932"/>
      <c r="P31" s="1932"/>
      <c r="Q31" s="1932"/>
      <c r="R31" s="1932"/>
      <c r="S31" s="1932"/>
      <c r="T31" s="1932"/>
      <c r="U31" s="1932"/>
      <c r="V31" s="1932"/>
      <c r="W31" s="1932"/>
      <c r="X31" s="1932"/>
      <c r="Y31" s="1932"/>
      <c r="Z31" s="1932"/>
      <c r="AA31" s="1932"/>
      <c r="AB31" s="1932"/>
      <c r="AC31" s="1932"/>
      <c r="AD31" s="1932"/>
      <c r="AE31" s="1932"/>
      <c r="AF31" s="1932"/>
      <c r="AG31" s="1932"/>
      <c r="AH31" s="1932"/>
      <c r="AI31" s="1932"/>
      <c r="AJ31" s="193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5" t="s">
        <v>599</v>
      </c>
      <c r="C33" s="1895"/>
      <c r="D33" s="581"/>
      <c r="E33" s="1896" t="s">
        <v>2319</v>
      </c>
      <c r="F33" s="1897"/>
      <c r="G33" s="1897"/>
      <c r="H33" s="1897"/>
      <c r="I33" s="1897"/>
      <c r="J33" s="1897"/>
      <c r="K33" s="1897"/>
      <c r="L33" s="1897"/>
      <c r="M33" s="1897"/>
      <c r="N33" s="1897"/>
      <c r="O33" s="1897"/>
      <c r="P33" s="1897"/>
      <c r="Q33" s="1897"/>
      <c r="R33" s="1897"/>
      <c r="S33" s="1897"/>
      <c r="T33" s="1897"/>
      <c r="U33" s="1897"/>
      <c r="V33" s="1897"/>
      <c r="W33" s="1897"/>
      <c r="X33" s="1897"/>
      <c r="Y33" s="1897"/>
      <c r="Z33" s="1897"/>
      <c r="AA33" s="1897"/>
      <c r="AB33" s="1897"/>
      <c r="AC33" s="1897"/>
      <c r="AD33" s="1897"/>
      <c r="AE33" s="1897"/>
      <c r="AF33" s="1897"/>
      <c r="AG33" s="1897"/>
      <c r="AH33" s="1897"/>
      <c r="AI33" s="1897"/>
      <c r="AJ33" s="1898"/>
      <c r="AK33" s="574"/>
      <c r="AL33" s="574"/>
      <c r="AM33" s="574"/>
      <c r="AN33" s="569"/>
    </row>
    <row r="34" spans="1:41" s="570" customFormat="1" ht="12.75" customHeight="1">
      <c r="A34" s="574"/>
      <c r="B34" s="574"/>
      <c r="C34" s="574"/>
      <c r="E34" s="1902"/>
      <c r="F34" s="1903"/>
      <c r="G34" s="1903"/>
      <c r="H34" s="1903"/>
      <c r="I34" s="1903"/>
      <c r="J34" s="1903"/>
      <c r="K34" s="1903"/>
      <c r="L34" s="1903"/>
      <c r="M34" s="1903"/>
      <c r="N34" s="1903"/>
      <c r="O34" s="1903"/>
      <c r="P34" s="1903"/>
      <c r="Q34" s="1903"/>
      <c r="R34" s="1903"/>
      <c r="S34" s="1903"/>
      <c r="T34" s="1903"/>
      <c r="U34" s="1903"/>
      <c r="V34" s="1903"/>
      <c r="W34" s="1903"/>
      <c r="X34" s="1903"/>
      <c r="Y34" s="1903"/>
      <c r="Z34" s="1903"/>
      <c r="AA34" s="1903"/>
      <c r="AB34" s="1903"/>
      <c r="AC34" s="1903"/>
      <c r="AD34" s="1903"/>
      <c r="AE34" s="1903"/>
      <c r="AF34" s="1903"/>
      <c r="AG34" s="1903"/>
      <c r="AH34" s="1903"/>
      <c r="AI34" s="1903"/>
      <c r="AJ34" s="1904"/>
      <c r="AK34" s="574"/>
      <c r="AL34" s="574"/>
      <c r="AM34" s="574"/>
      <c r="AN34" s="569"/>
    </row>
    <row r="35" spans="1:41" s="570" customFormat="1" ht="12.75" customHeight="1">
      <c r="A35" s="574"/>
      <c r="B35" s="574"/>
      <c r="C35" s="574"/>
      <c r="E35" s="1899"/>
      <c r="F35" s="1900"/>
      <c r="G35" s="1900"/>
      <c r="H35" s="1900"/>
      <c r="I35" s="1900"/>
      <c r="J35" s="1900"/>
      <c r="K35" s="1900"/>
      <c r="L35" s="1900"/>
      <c r="M35" s="1900"/>
      <c r="N35" s="1900"/>
      <c r="O35" s="1900"/>
      <c r="P35" s="1900"/>
      <c r="Q35" s="1900"/>
      <c r="R35" s="1900"/>
      <c r="S35" s="1900"/>
      <c r="T35" s="1900"/>
      <c r="U35" s="1900"/>
      <c r="V35" s="1900"/>
      <c r="W35" s="1900"/>
      <c r="X35" s="1900"/>
      <c r="Y35" s="1900"/>
      <c r="Z35" s="1900"/>
      <c r="AA35" s="1900"/>
      <c r="AB35" s="1900"/>
      <c r="AC35" s="1900"/>
      <c r="AD35" s="1900"/>
      <c r="AE35" s="1900"/>
      <c r="AF35" s="1900"/>
      <c r="AG35" s="1900"/>
      <c r="AH35" s="1900"/>
      <c r="AI35" s="1900"/>
      <c r="AJ35" s="190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5" t="s">
        <v>599</v>
      </c>
      <c r="C39" s="1895"/>
      <c r="D39" s="1186"/>
      <c r="E39" s="1896" t="s">
        <v>2320</v>
      </c>
      <c r="F39" s="1897"/>
      <c r="G39" s="1897"/>
      <c r="H39" s="1897"/>
      <c r="I39" s="1897"/>
      <c r="J39" s="1897"/>
      <c r="K39" s="1897"/>
      <c r="L39" s="1897"/>
      <c r="M39" s="1897"/>
      <c r="N39" s="1897"/>
      <c r="O39" s="1897"/>
      <c r="P39" s="1897"/>
      <c r="Q39" s="1897"/>
      <c r="R39" s="1897"/>
      <c r="S39" s="1897"/>
      <c r="T39" s="1897"/>
      <c r="U39" s="1897"/>
      <c r="V39" s="1897"/>
      <c r="W39" s="1897"/>
      <c r="X39" s="1897"/>
      <c r="Y39" s="1897"/>
      <c r="Z39" s="1897"/>
      <c r="AA39" s="1897"/>
      <c r="AB39" s="1897"/>
      <c r="AC39" s="1897"/>
      <c r="AD39" s="1897"/>
      <c r="AE39" s="1897"/>
      <c r="AF39" s="1897"/>
      <c r="AG39" s="1897"/>
      <c r="AH39" s="1897"/>
      <c r="AI39" s="1897"/>
      <c r="AJ39" s="1898"/>
      <c r="AK39" s="1186"/>
      <c r="AL39" s="574"/>
      <c r="AM39" s="574"/>
      <c r="AN39" s="569"/>
    </row>
    <row r="40" spans="1:41" s="570" customFormat="1" ht="12.75" customHeight="1">
      <c r="A40" s="574"/>
      <c r="B40" s="574"/>
      <c r="C40" s="574"/>
      <c r="E40" s="1902"/>
      <c r="F40" s="1903"/>
      <c r="G40" s="1903"/>
      <c r="H40" s="1903"/>
      <c r="I40" s="1903"/>
      <c r="J40" s="1903"/>
      <c r="K40" s="1903"/>
      <c r="L40" s="1903"/>
      <c r="M40" s="1903"/>
      <c r="N40" s="1903"/>
      <c r="O40" s="1903"/>
      <c r="P40" s="1903"/>
      <c r="Q40" s="1903"/>
      <c r="R40" s="1903"/>
      <c r="S40" s="1903"/>
      <c r="T40" s="1903"/>
      <c r="U40" s="1903"/>
      <c r="V40" s="1903"/>
      <c r="W40" s="1903"/>
      <c r="X40" s="1903"/>
      <c r="Y40" s="1903"/>
      <c r="Z40" s="1903"/>
      <c r="AA40" s="1903"/>
      <c r="AB40" s="1903"/>
      <c r="AC40" s="1903"/>
      <c r="AD40" s="1903"/>
      <c r="AE40" s="1903"/>
      <c r="AF40" s="1903"/>
      <c r="AG40" s="1903"/>
      <c r="AH40" s="1903"/>
      <c r="AI40" s="1903"/>
      <c r="AJ40" s="1904"/>
      <c r="AK40" s="574"/>
      <c r="AL40" s="574"/>
      <c r="AM40" s="574"/>
      <c r="AN40" s="569"/>
    </row>
    <row r="41" spans="1:41" s="570" customFormat="1" ht="12.75" customHeight="1">
      <c r="A41" s="574"/>
      <c r="D41" s="581"/>
      <c r="E41" s="1899"/>
      <c r="F41" s="1900"/>
      <c r="G41" s="1900"/>
      <c r="H41" s="1900"/>
      <c r="I41" s="1900"/>
      <c r="J41" s="1900"/>
      <c r="K41" s="1900"/>
      <c r="L41" s="1900"/>
      <c r="M41" s="1900"/>
      <c r="N41" s="1900"/>
      <c r="O41" s="1900"/>
      <c r="P41" s="1900"/>
      <c r="Q41" s="1900"/>
      <c r="R41" s="1900"/>
      <c r="S41" s="1900"/>
      <c r="T41" s="1900"/>
      <c r="U41" s="1900"/>
      <c r="V41" s="1900"/>
      <c r="W41" s="1900"/>
      <c r="X41" s="1900"/>
      <c r="Y41" s="1900"/>
      <c r="Z41" s="1900"/>
      <c r="AA41" s="1900"/>
      <c r="AB41" s="1900"/>
      <c r="AC41" s="1900"/>
      <c r="AD41" s="1900"/>
      <c r="AE41" s="1900"/>
      <c r="AF41" s="1900"/>
      <c r="AG41" s="1900"/>
      <c r="AH41" s="1900"/>
      <c r="AI41" s="1900"/>
      <c r="AJ41" s="190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5" t="s">
        <v>599</v>
      </c>
      <c r="C46" s="1895"/>
      <c r="D46" s="574"/>
      <c r="E46" s="1896" t="s">
        <v>2325</v>
      </c>
      <c r="F46" s="1897"/>
      <c r="G46" s="1897"/>
      <c r="H46" s="1897"/>
      <c r="I46" s="1897"/>
      <c r="J46" s="1897"/>
      <c r="K46" s="1897"/>
      <c r="L46" s="1897"/>
      <c r="M46" s="1897"/>
      <c r="N46" s="1897"/>
      <c r="O46" s="1897"/>
      <c r="P46" s="1897"/>
      <c r="Q46" s="1897"/>
      <c r="R46" s="1897"/>
      <c r="S46" s="1897"/>
      <c r="T46" s="1897"/>
      <c r="U46" s="1897"/>
      <c r="V46" s="1897"/>
      <c r="W46" s="1897"/>
      <c r="X46" s="1897"/>
      <c r="Y46" s="1897"/>
      <c r="Z46" s="1897"/>
      <c r="AA46" s="1897"/>
      <c r="AB46" s="1897"/>
      <c r="AC46" s="1897"/>
      <c r="AD46" s="1897"/>
      <c r="AE46" s="1897"/>
      <c r="AF46" s="1897"/>
      <c r="AG46" s="1897"/>
      <c r="AH46" s="1897"/>
      <c r="AI46" s="1897"/>
      <c r="AJ46" s="1898"/>
      <c r="AK46" s="574"/>
      <c r="AL46" s="574"/>
      <c r="AM46" s="574"/>
      <c r="AN46" s="569"/>
      <c r="AO46" s="593"/>
    </row>
    <row r="47" spans="1:41" s="570" customFormat="1" ht="12.75" customHeight="1">
      <c r="A47" s="574"/>
      <c r="D47" s="581"/>
      <c r="E47" s="1902"/>
      <c r="F47" s="1903"/>
      <c r="G47" s="1903"/>
      <c r="H47" s="1903"/>
      <c r="I47" s="1903"/>
      <c r="J47" s="1903"/>
      <c r="K47" s="1903"/>
      <c r="L47" s="1903"/>
      <c r="M47" s="1903"/>
      <c r="N47" s="1903"/>
      <c r="O47" s="1903"/>
      <c r="P47" s="1903"/>
      <c r="Q47" s="1903"/>
      <c r="R47" s="1903"/>
      <c r="S47" s="1903"/>
      <c r="T47" s="1903"/>
      <c r="U47" s="1903"/>
      <c r="V47" s="1903"/>
      <c r="W47" s="1903"/>
      <c r="X47" s="1903"/>
      <c r="Y47" s="1903"/>
      <c r="Z47" s="1903"/>
      <c r="AA47" s="1903"/>
      <c r="AB47" s="1903"/>
      <c r="AC47" s="1903"/>
      <c r="AD47" s="1903"/>
      <c r="AE47" s="1903"/>
      <c r="AF47" s="1903"/>
      <c r="AG47" s="1903"/>
      <c r="AH47" s="1903"/>
      <c r="AI47" s="1903"/>
      <c r="AJ47" s="1904"/>
      <c r="AK47" s="574"/>
      <c r="AL47" s="574"/>
      <c r="AM47" s="574"/>
      <c r="AN47" s="569"/>
      <c r="AO47" s="593"/>
    </row>
    <row r="48" spans="1:41" s="570" customFormat="1" ht="12.75" customHeight="1">
      <c r="A48" s="574"/>
      <c r="D48" s="574"/>
      <c r="E48" s="1899"/>
      <c r="F48" s="1900"/>
      <c r="G48" s="1900"/>
      <c r="H48" s="1900"/>
      <c r="I48" s="1900"/>
      <c r="J48" s="1900"/>
      <c r="K48" s="1900"/>
      <c r="L48" s="1900"/>
      <c r="M48" s="1900"/>
      <c r="N48" s="1900"/>
      <c r="O48" s="1900"/>
      <c r="P48" s="1900"/>
      <c r="Q48" s="1900"/>
      <c r="R48" s="1900"/>
      <c r="S48" s="1900"/>
      <c r="T48" s="1900"/>
      <c r="U48" s="1900"/>
      <c r="V48" s="1900"/>
      <c r="W48" s="1900"/>
      <c r="X48" s="1900"/>
      <c r="Y48" s="1900"/>
      <c r="Z48" s="1900"/>
      <c r="AA48" s="1900"/>
      <c r="AB48" s="1900"/>
      <c r="AC48" s="1900"/>
      <c r="AD48" s="1900"/>
      <c r="AE48" s="1900"/>
      <c r="AF48" s="1900"/>
      <c r="AG48" s="1900"/>
      <c r="AH48" s="1900"/>
      <c r="AI48" s="1900"/>
      <c r="AJ48" s="190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5" t="s">
        <v>599</v>
      </c>
      <c r="C50" s="1895"/>
      <c r="D50" s="574"/>
      <c r="E50" s="1916" t="s">
        <v>2326</v>
      </c>
      <c r="F50" s="1917"/>
      <c r="G50" s="1917"/>
      <c r="H50" s="1917"/>
      <c r="I50" s="1917"/>
      <c r="J50" s="1917"/>
      <c r="K50" s="1917"/>
      <c r="L50" s="1917"/>
      <c r="M50" s="1917"/>
      <c r="N50" s="1917"/>
      <c r="O50" s="1917"/>
      <c r="P50" s="1917"/>
      <c r="Q50" s="1917"/>
      <c r="R50" s="1917"/>
      <c r="S50" s="1917"/>
      <c r="T50" s="1917"/>
      <c r="U50" s="1917"/>
      <c r="V50" s="1917"/>
      <c r="W50" s="1917"/>
      <c r="X50" s="1917"/>
      <c r="Y50" s="1917"/>
      <c r="Z50" s="1917"/>
      <c r="AA50" s="1917"/>
      <c r="AB50" s="1917"/>
      <c r="AC50" s="1917"/>
      <c r="AD50" s="1917"/>
      <c r="AE50" s="1917"/>
      <c r="AF50" s="1917"/>
      <c r="AG50" s="1917"/>
      <c r="AH50" s="1917"/>
      <c r="AI50" s="1917"/>
      <c r="AJ50" s="191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5" t="s">
        <v>599</v>
      </c>
      <c r="C52" s="1895"/>
      <c r="D52" s="574"/>
      <c r="E52" s="1896" t="s">
        <v>2327</v>
      </c>
      <c r="F52" s="1897"/>
      <c r="G52" s="1897"/>
      <c r="H52" s="1897"/>
      <c r="I52" s="1897"/>
      <c r="J52" s="1897"/>
      <c r="K52" s="1897"/>
      <c r="L52" s="1897"/>
      <c r="M52" s="1897"/>
      <c r="N52" s="1897"/>
      <c r="O52" s="1897"/>
      <c r="P52" s="1897"/>
      <c r="Q52" s="1897"/>
      <c r="R52" s="1897"/>
      <c r="S52" s="1897"/>
      <c r="T52" s="1897"/>
      <c r="U52" s="1897"/>
      <c r="V52" s="1897"/>
      <c r="W52" s="1897"/>
      <c r="X52" s="1897"/>
      <c r="Y52" s="1897"/>
      <c r="Z52" s="1897"/>
      <c r="AA52" s="1897"/>
      <c r="AB52" s="1897"/>
      <c r="AC52" s="1897"/>
      <c r="AD52" s="1897"/>
      <c r="AE52" s="1897"/>
      <c r="AF52" s="1897"/>
      <c r="AG52" s="1897"/>
      <c r="AH52" s="1897"/>
      <c r="AI52" s="1897"/>
      <c r="AJ52" s="1898"/>
      <c r="AK52" s="574"/>
      <c r="AL52" s="574"/>
      <c r="AM52" s="574"/>
      <c r="AN52" s="569"/>
    </row>
    <row r="53" spans="1:50" s="570" customFormat="1" ht="12.75" customHeight="1">
      <c r="A53" s="574"/>
      <c r="B53" s="581"/>
      <c r="C53" s="581"/>
      <c r="D53" s="581"/>
      <c r="E53" s="1899"/>
      <c r="F53" s="1900"/>
      <c r="G53" s="1900"/>
      <c r="H53" s="1900"/>
      <c r="I53" s="1900"/>
      <c r="J53" s="1900"/>
      <c r="K53" s="1900"/>
      <c r="L53" s="1900"/>
      <c r="M53" s="1900"/>
      <c r="N53" s="1900"/>
      <c r="O53" s="1900"/>
      <c r="P53" s="1900"/>
      <c r="Q53" s="1900"/>
      <c r="R53" s="1900"/>
      <c r="S53" s="1900"/>
      <c r="T53" s="1900"/>
      <c r="U53" s="1900"/>
      <c r="V53" s="1900"/>
      <c r="W53" s="1900"/>
      <c r="X53" s="1900"/>
      <c r="Y53" s="1900"/>
      <c r="Z53" s="1900"/>
      <c r="AA53" s="1900"/>
      <c r="AB53" s="1900"/>
      <c r="AC53" s="1900"/>
      <c r="AD53" s="1900"/>
      <c r="AE53" s="1900"/>
      <c r="AF53" s="1900"/>
      <c r="AG53" s="1900"/>
      <c r="AH53" s="1900"/>
      <c r="AI53" s="1900"/>
      <c r="AJ53" s="190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5">
        <f>AO36</f>
        <v>0</v>
      </c>
      <c r="AL56" s="1926"/>
      <c r="AM56" s="192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5" t="s">
        <v>1423</v>
      </c>
      <c r="AF59" s="1905"/>
      <c r="AG59" s="1905"/>
      <c r="AH59" s="1905"/>
      <c r="AI59" s="1905"/>
      <c r="AJ59" s="1905"/>
      <c r="AK59" s="1905"/>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5" t="s">
        <v>599</v>
      </c>
      <c r="C62" s="1895"/>
      <c r="D62" s="581" t="s">
        <v>1424</v>
      </c>
      <c r="E62" s="1906" t="s">
        <v>2328</v>
      </c>
      <c r="F62" s="1907"/>
      <c r="G62" s="1907"/>
      <c r="H62" s="1907"/>
      <c r="I62" s="1907"/>
      <c r="J62" s="1907"/>
      <c r="K62" s="1907"/>
      <c r="L62" s="1907"/>
      <c r="M62" s="1907"/>
      <c r="N62" s="1907"/>
      <c r="O62" s="1907"/>
      <c r="P62" s="1907"/>
      <c r="Q62" s="1907"/>
      <c r="R62" s="1907"/>
      <c r="S62" s="1907"/>
      <c r="T62" s="1907"/>
      <c r="U62" s="1907"/>
      <c r="V62" s="1907"/>
      <c r="W62" s="1907"/>
      <c r="X62" s="1907"/>
      <c r="Y62" s="1907"/>
      <c r="Z62" s="1907"/>
      <c r="AA62" s="1907"/>
      <c r="AB62" s="1907"/>
      <c r="AC62" s="1907"/>
      <c r="AD62" s="1907"/>
      <c r="AE62" s="1907"/>
      <c r="AF62" s="1907"/>
      <c r="AG62" s="1907"/>
      <c r="AH62" s="1907"/>
      <c r="AI62" s="1907"/>
      <c r="AJ62" s="1908"/>
      <c r="AK62" s="577"/>
      <c r="AL62" s="574"/>
      <c r="AM62" s="574"/>
      <c r="AN62" s="569"/>
      <c r="AO62" s="584">
        <f>IF($B62="yes",10,0)</f>
        <v>0</v>
      </c>
    </row>
    <row r="63" spans="1:50" s="570" customFormat="1" ht="12.75" customHeight="1">
      <c r="A63" s="572"/>
      <c r="B63" s="574"/>
      <c r="C63" s="574"/>
      <c r="D63" s="585"/>
      <c r="E63" s="1909"/>
      <c r="F63" s="1910"/>
      <c r="G63" s="1910"/>
      <c r="H63" s="1910"/>
      <c r="I63" s="1910"/>
      <c r="J63" s="1910"/>
      <c r="K63" s="1910"/>
      <c r="L63" s="1910"/>
      <c r="M63" s="1910"/>
      <c r="N63" s="1910"/>
      <c r="O63" s="1910"/>
      <c r="P63" s="1910"/>
      <c r="Q63" s="1910"/>
      <c r="R63" s="1910"/>
      <c r="S63" s="1910"/>
      <c r="T63" s="1910"/>
      <c r="U63" s="1910"/>
      <c r="V63" s="1910"/>
      <c r="W63" s="1910"/>
      <c r="X63" s="1910"/>
      <c r="Y63" s="1910"/>
      <c r="Z63" s="1910"/>
      <c r="AA63" s="1910"/>
      <c r="AB63" s="1910"/>
      <c r="AC63" s="1910"/>
      <c r="AD63" s="1910"/>
      <c r="AE63" s="1910"/>
      <c r="AF63" s="1910"/>
      <c r="AG63" s="1910"/>
      <c r="AH63" s="1910"/>
      <c r="AI63" s="1910"/>
      <c r="AJ63" s="1911"/>
      <c r="AK63" s="577"/>
      <c r="AL63" s="574"/>
      <c r="AM63" s="574"/>
      <c r="AN63" s="569"/>
      <c r="AO63" s="584">
        <f>IF($B68="yes",10,0)</f>
        <v>10</v>
      </c>
    </row>
    <row r="64" spans="1:50" s="570" customFormat="1" ht="12.75" customHeight="1">
      <c r="A64" s="572"/>
      <c r="B64" s="574"/>
      <c r="C64" s="574"/>
      <c r="D64" s="585"/>
      <c r="E64" s="1909"/>
      <c r="F64" s="1910"/>
      <c r="G64" s="1910"/>
      <c r="H64" s="1910"/>
      <c r="I64" s="1910"/>
      <c r="J64" s="1910"/>
      <c r="K64" s="1910"/>
      <c r="L64" s="1910"/>
      <c r="M64" s="1910"/>
      <c r="N64" s="1910"/>
      <c r="O64" s="1910"/>
      <c r="P64" s="1910"/>
      <c r="Q64" s="1910"/>
      <c r="R64" s="1910"/>
      <c r="S64" s="1910"/>
      <c r="T64" s="1910"/>
      <c r="U64" s="1910"/>
      <c r="V64" s="1910"/>
      <c r="W64" s="1910"/>
      <c r="X64" s="1910"/>
      <c r="Y64" s="1910"/>
      <c r="Z64" s="1910"/>
      <c r="AA64" s="1910"/>
      <c r="AB64" s="1910"/>
      <c r="AC64" s="1910"/>
      <c r="AD64" s="1910"/>
      <c r="AE64" s="1910"/>
      <c r="AF64" s="1910"/>
      <c r="AG64" s="1910"/>
      <c r="AH64" s="1910"/>
      <c r="AI64" s="1910"/>
      <c r="AJ64" s="1911"/>
      <c r="AK64" s="577"/>
      <c r="AL64" s="574"/>
      <c r="AM64" s="574"/>
      <c r="AN64" s="569"/>
      <c r="AO64" s="584">
        <f>IF($B75="yes",10,0)</f>
        <v>0</v>
      </c>
    </row>
    <row r="65" spans="1:42" s="570" customFormat="1" ht="12.75" customHeight="1">
      <c r="A65" s="572"/>
      <c r="B65" s="574"/>
      <c r="C65" s="574"/>
      <c r="D65" s="585"/>
      <c r="E65" s="1909"/>
      <c r="F65" s="1910"/>
      <c r="G65" s="1910"/>
      <c r="H65" s="1910"/>
      <c r="I65" s="1910"/>
      <c r="J65" s="1910"/>
      <c r="K65" s="1910"/>
      <c r="L65" s="1910"/>
      <c r="M65" s="1910"/>
      <c r="N65" s="1910"/>
      <c r="O65" s="1910"/>
      <c r="P65" s="1910"/>
      <c r="Q65" s="1910"/>
      <c r="R65" s="1910"/>
      <c r="S65" s="1910"/>
      <c r="T65" s="1910"/>
      <c r="U65" s="1910"/>
      <c r="V65" s="1910"/>
      <c r="W65" s="1910"/>
      <c r="X65" s="1910"/>
      <c r="Y65" s="1910"/>
      <c r="Z65" s="1910"/>
      <c r="AA65" s="1910"/>
      <c r="AB65" s="1910"/>
      <c r="AC65" s="1910"/>
      <c r="AD65" s="1910"/>
      <c r="AE65" s="1910"/>
      <c r="AF65" s="1910"/>
      <c r="AG65" s="1910"/>
      <c r="AH65" s="1910"/>
      <c r="AI65" s="1910"/>
      <c r="AJ65" s="1911"/>
      <c r="AK65" s="577"/>
      <c r="AL65" s="574"/>
      <c r="AM65" s="574"/>
      <c r="AN65" s="569"/>
      <c r="AO65" s="570">
        <f>IF(SUM(AO62:AO64)&gt;10,10,(SUM(AO62:AO64)))</f>
        <v>10</v>
      </c>
      <c r="AP65" s="608" t="s">
        <v>1425</v>
      </c>
    </row>
    <row r="66" spans="1:42" s="570" customFormat="1" ht="12.75" customHeight="1">
      <c r="A66" s="572"/>
      <c r="B66" s="574"/>
      <c r="C66" s="574"/>
      <c r="D66" s="585"/>
      <c r="E66" s="1912"/>
      <c r="F66" s="1913"/>
      <c r="G66" s="1913"/>
      <c r="H66" s="1913"/>
      <c r="I66" s="1913"/>
      <c r="J66" s="1913"/>
      <c r="K66" s="1913"/>
      <c r="L66" s="1913"/>
      <c r="M66" s="1913"/>
      <c r="N66" s="1913"/>
      <c r="O66" s="1913"/>
      <c r="P66" s="1913"/>
      <c r="Q66" s="1913"/>
      <c r="R66" s="1913"/>
      <c r="S66" s="1913"/>
      <c r="T66" s="1913"/>
      <c r="U66" s="1913"/>
      <c r="V66" s="1913"/>
      <c r="W66" s="1913"/>
      <c r="X66" s="1913"/>
      <c r="Y66" s="1913"/>
      <c r="Z66" s="1913"/>
      <c r="AA66" s="1913"/>
      <c r="AB66" s="1913"/>
      <c r="AC66" s="1913"/>
      <c r="AD66" s="1913"/>
      <c r="AE66" s="1913"/>
      <c r="AF66" s="1913"/>
      <c r="AG66" s="1913"/>
      <c r="AH66" s="1913"/>
      <c r="AI66" s="1913"/>
      <c r="AJ66" s="191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5" t="s">
        <v>553</v>
      </c>
      <c r="C68" s="1895"/>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5" t="s">
        <v>553</v>
      </c>
      <c r="F69" s="1895"/>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3" t="s">
        <v>599</v>
      </c>
      <c r="F70" s="1894"/>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3" t="s">
        <v>599</v>
      </c>
      <c r="F71" s="1894"/>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5" t="s">
        <v>599</v>
      </c>
      <c r="F73" s="1895"/>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5" t="s">
        <v>599</v>
      </c>
      <c r="C75" s="1895"/>
      <c r="D75" s="581" t="s">
        <v>1429</v>
      </c>
      <c r="E75" s="1896" t="s">
        <v>1928</v>
      </c>
      <c r="F75" s="1897"/>
      <c r="G75" s="1897"/>
      <c r="H75" s="1897"/>
      <c r="I75" s="1897"/>
      <c r="J75" s="1897"/>
      <c r="K75" s="1897"/>
      <c r="L75" s="1897"/>
      <c r="M75" s="1897"/>
      <c r="N75" s="1897"/>
      <c r="O75" s="1897"/>
      <c r="P75" s="1897"/>
      <c r="Q75" s="1897"/>
      <c r="R75" s="1897"/>
      <c r="S75" s="1897"/>
      <c r="T75" s="1897"/>
      <c r="U75" s="1897"/>
      <c r="V75" s="1897"/>
      <c r="W75" s="1897"/>
      <c r="X75" s="1897"/>
      <c r="Y75" s="1897"/>
      <c r="Z75" s="1897"/>
      <c r="AA75" s="1897"/>
      <c r="AB75" s="1897"/>
      <c r="AC75" s="1897"/>
      <c r="AD75" s="1897"/>
      <c r="AE75" s="1897"/>
      <c r="AF75" s="1897"/>
      <c r="AG75" s="1897"/>
      <c r="AH75" s="1897"/>
      <c r="AI75" s="1897"/>
      <c r="AJ75" s="1898"/>
      <c r="AK75" s="577"/>
      <c r="AL75" s="574"/>
      <c r="AM75" s="574"/>
      <c r="AN75" s="569"/>
    </row>
    <row r="76" spans="1:42" s="570" customFormat="1" ht="12.75" customHeight="1">
      <c r="A76" s="572"/>
      <c r="B76" s="574"/>
      <c r="C76" s="574"/>
      <c r="D76" s="584"/>
      <c r="E76" s="1899"/>
      <c r="F76" s="1900"/>
      <c r="G76" s="1900"/>
      <c r="H76" s="1900"/>
      <c r="I76" s="1900"/>
      <c r="J76" s="1900"/>
      <c r="K76" s="1900"/>
      <c r="L76" s="1900"/>
      <c r="M76" s="1900"/>
      <c r="N76" s="1900"/>
      <c r="O76" s="1900"/>
      <c r="P76" s="1900"/>
      <c r="Q76" s="1900"/>
      <c r="R76" s="1900"/>
      <c r="S76" s="1900"/>
      <c r="T76" s="1900"/>
      <c r="U76" s="1900"/>
      <c r="V76" s="1900"/>
      <c r="W76" s="1900"/>
      <c r="X76" s="1900"/>
      <c r="Y76" s="1900"/>
      <c r="Z76" s="1900"/>
      <c r="AA76" s="1900"/>
      <c r="AB76" s="1900"/>
      <c r="AC76" s="1900"/>
      <c r="AD76" s="1900"/>
      <c r="AE76" s="1900"/>
      <c r="AF76" s="1900"/>
      <c r="AG76" s="1900"/>
      <c r="AH76" s="1900"/>
      <c r="AI76" s="1900"/>
      <c r="AJ76" s="190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5">
        <f>IF(AK56&gt;0,0,AO65)</f>
        <v>10</v>
      </c>
      <c r="AL78" s="1926"/>
      <c r="AM78" s="192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5" t="s">
        <v>1414</v>
      </c>
      <c r="AF81" s="1905"/>
      <c r="AG81" s="1905"/>
      <c r="AH81" s="1905"/>
      <c r="AI81" s="1905"/>
      <c r="AJ81" s="1905"/>
      <c r="AK81" s="1905"/>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5" t="s">
        <v>599</v>
      </c>
      <c r="C84" s="1895"/>
      <c r="D84" s="581" t="s">
        <v>1424</v>
      </c>
      <c r="E84" s="1906" t="s">
        <v>1434</v>
      </c>
      <c r="F84" s="1907"/>
      <c r="G84" s="1907"/>
      <c r="H84" s="1907"/>
      <c r="I84" s="1907"/>
      <c r="J84" s="1907"/>
      <c r="K84" s="1907"/>
      <c r="L84" s="1907"/>
      <c r="M84" s="1907"/>
      <c r="N84" s="1907"/>
      <c r="O84" s="1907"/>
      <c r="P84" s="1907"/>
      <c r="Q84" s="1907"/>
      <c r="R84" s="1907"/>
      <c r="S84" s="1907"/>
      <c r="T84" s="1907"/>
      <c r="U84" s="1907"/>
      <c r="V84" s="1907"/>
      <c r="W84" s="1907"/>
      <c r="X84" s="1907"/>
      <c r="Y84" s="1907"/>
      <c r="Z84" s="1907"/>
      <c r="AA84" s="1907"/>
      <c r="AB84" s="1907"/>
      <c r="AC84" s="1907"/>
      <c r="AD84" s="1907"/>
      <c r="AE84" s="1907"/>
      <c r="AF84" s="1907"/>
      <c r="AG84" s="1907"/>
      <c r="AH84" s="1907"/>
      <c r="AI84" s="1907"/>
      <c r="AJ84" s="1908"/>
      <c r="AK84" s="577"/>
      <c r="AL84" s="574"/>
      <c r="AM84" s="574"/>
      <c r="AN84" s="569"/>
    </row>
    <row r="85" spans="1:43" s="570" customFormat="1" ht="12.75" customHeight="1">
      <c r="A85" s="572"/>
      <c r="B85" s="573"/>
      <c r="C85" s="573"/>
      <c r="D85" s="573"/>
      <c r="E85" s="1909"/>
      <c r="F85" s="1910"/>
      <c r="G85" s="1910"/>
      <c r="H85" s="1910"/>
      <c r="I85" s="1910"/>
      <c r="J85" s="1910"/>
      <c r="K85" s="1910"/>
      <c r="L85" s="1910"/>
      <c r="M85" s="1910"/>
      <c r="N85" s="1910"/>
      <c r="O85" s="1910"/>
      <c r="P85" s="1910"/>
      <c r="Q85" s="1910"/>
      <c r="R85" s="1910"/>
      <c r="S85" s="1910"/>
      <c r="T85" s="1910"/>
      <c r="U85" s="1910"/>
      <c r="V85" s="1910"/>
      <c r="W85" s="1910"/>
      <c r="X85" s="1910"/>
      <c r="Y85" s="1910"/>
      <c r="Z85" s="1910"/>
      <c r="AA85" s="1910"/>
      <c r="AB85" s="1910"/>
      <c r="AC85" s="1910"/>
      <c r="AD85" s="1910"/>
      <c r="AE85" s="1910"/>
      <c r="AF85" s="1910"/>
      <c r="AG85" s="1910"/>
      <c r="AH85" s="1910"/>
      <c r="AI85" s="1910"/>
      <c r="AJ85" s="191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9">
        <f>Application!AC753</f>
        <v>0.5742268041237113</v>
      </c>
      <c r="F87" s="1890"/>
      <c r="G87" s="1890"/>
      <c r="H87" s="1890"/>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1">
        <f>0.6-ROUNDUP(E87,2)</f>
        <v>2.0000000000000018E-2</v>
      </c>
      <c r="F88" s="1892"/>
      <c r="G88" s="1892"/>
      <c r="H88" s="1892"/>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9">
        <f>IF(E88*200&gt;20,20,E88*200)</f>
        <v>4.0000000000000036</v>
      </c>
      <c r="F89" s="1920"/>
      <c r="G89" s="1920"/>
      <c r="H89" s="1920"/>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5" t="s">
        <v>553</v>
      </c>
      <c r="C92" s="1895"/>
      <c r="D92" s="581" t="s">
        <v>1426</v>
      </c>
      <c r="E92" s="1906" t="s">
        <v>1913</v>
      </c>
      <c r="F92" s="1907"/>
      <c r="G92" s="1907"/>
      <c r="H92" s="1907"/>
      <c r="I92" s="1907"/>
      <c r="J92" s="1907"/>
      <c r="K92" s="1907"/>
      <c r="L92" s="1907"/>
      <c r="M92" s="1907"/>
      <c r="N92" s="1907"/>
      <c r="O92" s="1907"/>
      <c r="P92" s="1907"/>
      <c r="Q92" s="1907"/>
      <c r="R92" s="1907"/>
      <c r="S92" s="1907"/>
      <c r="T92" s="1907"/>
      <c r="U92" s="1907"/>
      <c r="V92" s="1907"/>
      <c r="W92" s="1907"/>
      <c r="X92" s="1907"/>
      <c r="Y92" s="1907"/>
      <c r="Z92" s="1907"/>
      <c r="AA92" s="1907"/>
      <c r="AB92" s="1907"/>
      <c r="AC92" s="1907"/>
      <c r="AD92" s="1907"/>
      <c r="AE92" s="1907"/>
      <c r="AF92" s="1907"/>
      <c r="AG92" s="1907"/>
      <c r="AH92" s="1907"/>
      <c r="AI92" s="1907"/>
      <c r="AJ92" s="1908"/>
      <c r="AK92" s="577"/>
      <c r="AL92" s="574"/>
      <c r="AM92" s="574"/>
      <c r="AN92" s="569"/>
    </row>
    <row r="93" spans="1:43" s="570" customFormat="1" ht="12.75" customHeight="1">
      <c r="A93" s="572"/>
      <c r="B93" s="573"/>
      <c r="C93" s="573"/>
      <c r="D93" s="573"/>
      <c r="E93" s="1909"/>
      <c r="F93" s="1910"/>
      <c r="G93" s="1910"/>
      <c r="H93" s="1910"/>
      <c r="I93" s="1910"/>
      <c r="J93" s="1910"/>
      <c r="K93" s="1910"/>
      <c r="L93" s="1910"/>
      <c r="M93" s="1910"/>
      <c r="N93" s="1910"/>
      <c r="O93" s="1910"/>
      <c r="P93" s="1910"/>
      <c r="Q93" s="1910"/>
      <c r="R93" s="1910"/>
      <c r="S93" s="1910"/>
      <c r="T93" s="1910"/>
      <c r="U93" s="1910"/>
      <c r="V93" s="1910"/>
      <c r="W93" s="1910"/>
      <c r="X93" s="1910"/>
      <c r="Y93" s="1910"/>
      <c r="Z93" s="1910"/>
      <c r="AA93" s="1910"/>
      <c r="AB93" s="1910"/>
      <c r="AC93" s="1910"/>
      <c r="AD93" s="1910"/>
      <c r="AE93" s="1910"/>
      <c r="AF93" s="1910"/>
      <c r="AG93" s="1910"/>
      <c r="AH93" s="1910"/>
      <c r="AI93" s="1910"/>
      <c r="AJ93" s="1911"/>
      <c r="AK93" s="577"/>
      <c r="AL93" s="574"/>
      <c r="AM93" s="574"/>
      <c r="AN93" s="569"/>
    </row>
    <row r="94" spans="1:43" s="570" customFormat="1" ht="12.75" customHeight="1">
      <c r="A94" s="572"/>
      <c r="B94" s="573"/>
      <c r="C94" s="573"/>
      <c r="D94" s="573"/>
      <c r="E94" s="1909"/>
      <c r="F94" s="1910"/>
      <c r="G94" s="1910"/>
      <c r="H94" s="1910"/>
      <c r="I94" s="1910"/>
      <c r="J94" s="1910"/>
      <c r="K94" s="1910"/>
      <c r="L94" s="1910"/>
      <c r="M94" s="1910"/>
      <c r="N94" s="1910"/>
      <c r="O94" s="1910"/>
      <c r="P94" s="1910"/>
      <c r="Q94" s="1910"/>
      <c r="R94" s="1910"/>
      <c r="S94" s="1910"/>
      <c r="T94" s="1910"/>
      <c r="U94" s="1910"/>
      <c r="V94" s="1910"/>
      <c r="W94" s="1910"/>
      <c r="X94" s="1910"/>
      <c r="Y94" s="1910"/>
      <c r="Z94" s="1910"/>
      <c r="AA94" s="1910"/>
      <c r="AB94" s="1910"/>
      <c r="AC94" s="1910"/>
      <c r="AD94" s="1910"/>
      <c r="AE94" s="1910"/>
      <c r="AF94" s="1910"/>
      <c r="AG94" s="1910"/>
      <c r="AH94" s="1910"/>
      <c r="AI94" s="1910"/>
      <c r="AJ94" s="1911"/>
      <c r="AK94" s="577"/>
      <c r="AL94" s="574"/>
      <c r="AM94" s="574"/>
      <c r="AN94" s="569"/>
    </row>
    <row r="95" spans="1:43" s="570" customFormat="1" ht="12.75" customHeight="1">
      <c r="A95" s="572"/>
      <c r="B95" s="573"/>
      <c r="C95" s="573"/>
      <c r="D95" s="573"/>
      <c r="E95" s="1909"/>
      <c r="F95" s="1910"/>
      <c r="G95" s="1910"/>
      <c r="H95" s="1910"/>
      <c r="I95" s="1910"/>
      <c r="J95" s="1910"/>
      <c r="K95" s="1910"/>
      <c r="L95" s="1910"/>
      <c r="M95" s="1910"/>
      <c r="N95" s="1910"/>
      <c r="O95" s="1910"/>
      <c r="P95" s="1910"/>
      <c r="Q95" s="1910"/>
      <c r="R95" s="1910"/>
      <c r="S95" s="1910"/>
      <c r="T95" s="1910"/>
      <c r="U95" s="1910"/>
      <c r="V95" s="1910"/>
      <c r="W95" s="1910"/>
      <c r="X95" s="1910"/>
      <c r="Y95" s="1910"/>
      <c r="Z95" s="1910"/>
      <c r="AA95" s="1910"/>
      <c r="AB95" s="1910"/>
      <c r="AC95" s="1910"/>
      <c r="AD95" s="1910"/>
      <c r="AE95" s="1910"/>
      <c r="AF95" s="1910"/>
      <c r="AG95" s="1910"/>
      <c r="AH95" s="1910"/>
      <c r="AI95" s="1910"/>
      <c r="AJ95" s="191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9">
        <f>Application!AC753</f>
        <v>0.5742268041237113</v>
      </c>
      <c r="F97" s="1890"/>
      <c r="G97" s="1890"/>
      <c r="H97" s="1890"/>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9">
        <f ca="1">SUMIF(Application!AC718:AG752,0.2,Application!G718:J752)/Application!G753+SUMIF(Application!AC718:AG752,0.25,Application!G718:J752)/Application!G753+SUMIF(Application!AC718:AG752,0.3,Application!G718:J752)/Application!G753</f>
        <v>0.15463917525773196</v>
      </c>
      <c r="F98" s="1890"/>
      <c r="G98" s="1890"/>
      <c r="H98" s="1890"/>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9">
        <f ca="1">SUMIF(Application!AC718:AG752,0.35,Application!G718:J752)/Application!G753+SUMIF(Application!AC718:AG752,0.4,Application!G718:J752)/Application!G753+SUMIF(Application!AC718:AG752,0.45,Application!G718:J752)/Application!G753+SUMIF(Application!AC718:AG752,0.5,Application!G718:J752)/Application!G753</f>
        <v>0.1134020618556701</v>
      </c>
      <c r="F99" s="1890"/>
      <c r="G99" s="1890"/>
      <c r="H99" s="1890"/>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4">
        <f ca="1">IF(AND(E97&lt;=0.6,OR(AND(E98&gt;=0.1,E99&gt;=0.1),AND(E98&gt;0.1,(E98+E99)&gt;=0.2))),20,0)</f>
        <v>20</v>
      </c>
      <c r="F100" s="1945"/>
      <c r="G100" s="1945"/>
      <c r="H100" s="1945"/>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5">
        <f ca="1">MAX(AP89,AP100)</f>
        <v>20</v>
      </c>
      <c r="AL103" s="1926"/>
      <c r="AM103" s="192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5" t="s">
        <v>1423</v>
      </c>
      <c r="AF106" s="1905"/>
      <c r="AG106" s="1905"/>
      <c r="AH106" s="1905"/>
      <c r="AI106" s="1905"/>
      <c r="AJ106" s="1905"/>
      <c r="AK106" s="1905"/>
      <c r="AL106" s="574"/>
      <c r="AM106" s="574"/>
      <c r="AN106" s="569"/>
      <c r="AO106" s="570" t="str">
        <f>Application!B718</f>
        <v>1 Bedroom</v>
      </c>
      <c r="AQ106" s="570">
        <f>Application!O718</f>
        <v>768</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1620</v>
      </c>
    </row>
    <row r="109" spans="1:49" s="570" customFormat="1" ht="12.75" customHeight="1">
      <c r="A109" s="574"/>
      <c r="B109" s="1895" t="s">
        <v>553</v>
      </c>
      <c r="C109" s="1895"/>
      <c r="D109" s="581" t="s">
        <v>1424</v>
      </c>
      <c r="E109" s="1906" t="s">
        <v>2047</v>
      </c>
      <c r="F109" s="1907"/>
      <c r="G109" s="1907"/>
      <c r="H109" s="1907"/>
      <c r="I109" s="1907"/>
      <c r="J109" s="1907"/>
      <c r="K109" s="1907"/>
      <c r="L109" s="1907"/>
      <c r="M109" s="1907"/>
      <c r="N109" s="1907"/>
      <c r="O109" s="1907"/>
      <c r="P109" s="1907"/>
      <c r="Q109" s="1907"/>
      <c r="R109" s="1907"/>
      <c r="S109" s="1907"/>
      <c r="T109" s="1907"/>
      <c r="U109" s="1907"/>
      <c r="V109" s="1907"/>
      <c r="W109" s="1907"/>
      <c r="X109" s="1907"/>
      <c r="Y109" s="1907"/>
      <c r="Z109" s="1907"/>
      <c r="AA109" s="1907"/>
      <c r="AB109" s="1907"/>
      <c r="AC109" s="1907"/>
      <c r="AD109" s="1907"/>
      <c r="AE109" s="1907"/>
      <c r="AF109" s="1907"/>
      <c r="AG109" s="1907"/>
      <c r="AH109" s="1907"/>
      <c r="AI109" s="1907"/>
      <c r="AJ109" s="1908"/>
      <c r="AK109" s="574"/>
      <c r="AL109" s="574"/>
      <c r="AM109" s="574"/>
      <c r="AN109" s="569"/>
      <c r="AO109" s="570" t="str">
        <f>Application!B721</f>
        <v>1 Bedroom</v>
      </c>
      <c r="AQ109" s="570">
        <f>Application!O721</f>
        <v>1904</v>
      </c>
      <c r="AU109" s="570" t="s">
        <v>2029</v>
      </c>
      <c r="AV109" s="629" t="s">
        <v>2030</v>
      </c>
      <c r="AW109" s="570" t="s">
        <v>2031</v>
      </c>
    </row>
    <row r="110" spans="1:49" s="570" customFormat="1" ht="12.75" customHeight="1">
      <c r="A110" s="574"/>
      <c r="B110" s="573"/>
      <c r="C110" s="573"/>
      <c r="D110" s="573"/>
      <c r="E110" s="1909"/>
      <c r="F110" s="1910"/>
      <c r="G110" s="1910"/>
      <c r="H110" s="1910"/>
      <c r="I110" s="1910"/>
      <c r="J110" s="1910"/>
      <c r="K110" s="1910"/>
      <c r="L110" s="1910"/>
      <c r="M110" s="1910"/>
      <c r="N110" s="1910"/>
      <c r="O110" s="1910"/>
      <c r="P110" s="1910"/>
      <c r="Q110" s="1910"/>
      <c r="R110" s="1910"/>
      <c r="S110" s="1910"/>
      <c r="T110" s="1910"/>
      <c r="U110" s="1910"/>
      <c r="V110" s="1910"/>
      <c r="W110" s="1910"/>
      <c r="X110" s="1910"/>
      <c r="Y110" s="1910"/>
      <c r="Z110" s="1910"/>
      <c r="AA110" s="1910"/>
      <c r="AB110" s="1910"/>
      <c r="AC110" s="1910"/>
      <c r="AD110" s="1910"/>
      <c r="AE110" s="1910"/>
      <c r="AF110" s="1910"/>
      <c r="AG110" s="1910"/>
      <c r="AH110" s="1910"/>
      <c r="AI110" s="1910"/>
      <c r="AJ110" s="1911"/>
      <c r="AK110" s="574"/>
      <c r="AL110" s="574"/>
      <c r="AM110" s="574"/>
      <c r="AN110" s="569"/>
      <c r="AO110" s="570" t="str">
        <f>Application!B722</f>
        <v>2 Bedrooms</v>
      </c>
      <c r="AQ110" s="570">
        <f>Application!O722</f>
        <v>912</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9"/>
      <c r="F111" s="1910"/>
      <c r="G111" s="1910"/>
      <c r="H111" s="1910"/>
      <c r="I111" s="1910"/>
      <c r="J111" s="1910"/>
      <c r="K111" s="1910"/>
      <c r="L111" s="1910"/>
      <c r="M111" s="1910"/>
      <c r="N111" s="1910"/>
      <c r="O111" s="1910"/>
      <c r="P111" s="1910"/>
      <c r="Q111" s="1910"/>
      <c r="R111" s="1910"/>
      <c r="S111" s="1910"/>
      <c r="T111" s="1910"/>
      <c r="U111" s="1910"/>
      <c r="V111" s="1910"/>
      <c r="W111" s="1910"/>
      <c r="X111" s="1910"/>
      <c r="Y111" s="1910"/>
      <c r="Z111" s="1910"/>
      <c r="AA111" s="1910"/>
      <c r="AB111" s="1910"/>
      <c r="AC111" s="1910"/>
      <c r="AD111" s="1910"/>
      <c r="AE111" s="1910"/>
      <c r="AF111" s="1910"/>
      <c r="AG111" s="1910"/>
      <c r="AH111" s="1910"/>
      <c r="AI111" s="1910"/>
      <c r="AJ111" s="1911"/>
      <c r="AK111" s="574"/>
      <c r="AL111" s="574"/>
      <c r="AM111" s="574"/>
      <c r="AN111" s="569"/>
      <c r="AO111" s="570" t="str">
        <f>Application!B723</f>
        <v>2 Bedrooms</v>
      </c>
      <c r="AQ111" s="570">
        <f>Application!O723</f>
        <v>1594</v>
      </c>
      <c r="AU111" s="890" t="str">
        <f>J118</f>
        <v>1-bedroom</v>
      </c>
      <c r="AV111" s="570">
        <f t="array" ref="AV111">SUM(IF(Application!B718:F752="1 Bedroom",Application!G718:J752))</f>
        <v>35</v>
      </c>
      <c r="AW111" s="1046">
        <f>AV111/AV116</f>
        <v>0.36082474226804123</v>
      </c>
    </row>
    <row r="112" spans="1:49" s="570" customFormat="1" ht="12.75" customHeight="1">
      <c r="A112" s="574"/>
      <c r="B112" s="573"/>
      <c r="C112" s="573"/>
      <c r="D112" s="573"/>
      <c r="E112" s="1909"/>
      <c r="F112" s="1910"/>
      <c r="G112" s="1910"/>
      <c r="H112" s="1910"/>
      <c r="I112" s="1910"/>
      <c r="J112" s="1910"/>
      <c r="K112" s="1910"/>
      <c r="L112" s="1910"/>
      <c r="M112" s="1910"/>
      <c r="N112" s="1910"/>
      <c r="O112" s="1910"/>
      <c r="P112" s="1910"/>
      <c r="Q112" s="1910"/>
      <c r="R112" s="1910"/>
      <c r="S112" s="1910"/>
      <c r="T112" s="1910"/>
      <c r="U112" s="1910"/>
      <c r="V112" s="1910"/>
      <c r="W112" s="1910"/>
      <c r="X112" s="1910"/>
      <c r="Y112" s="1910"/>
      <c r="Z112" s="1910"/>
      <c r="AA112" s="1910"/>
      <c r="AB112" s="1910"/>
      <c r="AC112" s="1910"/>
      <c r="AD112" s="1910"/>
      <c r="AE112" s="1910"/>
      <c r="AF112" s="1910"/>
      <c r="AG112" s="1910"/>
      <c r="AH112" s="1910"/>
      <c r="AI112" s="1910"/>
      <c r="AJ112" s="1911"/>
      <c r="AK112" s="574"/>
      <c r="AL112" s="574"/>
      <c r="AM112" s="574"/>
      <c r="AN112" s="569"/>
      <c r="AO112" s="570" t="str">
        <f>Application!B724</f>
        <v>2 Bedrooms</v>
      </c>
      <c r="AQ112" s="570">
        <f>Application!O724</f>
        <v>1935</v>
      </c>
      <c r="AU112" s="890" t="str">
        <f>O118</f>
        <v>2-bedroom</v>
      </c>
      <c r="AV112" s="570">
        <f t="array" ref="AV112">SUM(IF(Application!B718:F752="2 Bedrooms",Application!G718:J752))</f>
        <v>28</v>
      </c>
      <c r="AW112" s="1046">
        <f>AV112/AV116</f>
        <v>0.28865979381443296</v>
      </c>
    </row>
    <row r="113" spans="1:52" s="570" customFormat="1" ht="12.75" customHeight="1">
      <c r="A113" s="574"/>
      <c r="B113" s="573"/>
      <c r="C113" s="573"/>
      <c r="D113" s="573"/>
      <c r="E113" s="1909"/>
      <c r="F113" s="1910"/>
      <c r="G113" s="1910"/>
      <c r="H113" s="1910"/>
      <c r="I113" s="1910"/>
      <c r="J113" s="1910"/>
      <c r="K113" s="1910"/>
      <c r="L113" s="1910"/>
      <c r="M113" s="1910"/>
      <c r="N113" s="1910"/>
      <c r="O113" s="1910"/>
      <c r="P113" s="1910"/>
      <c r="Q113" s="1910"/>
      <c r="R113" s="1910"/>
      <c r="S113" s="1910"/>
      <c r="T113" s="1910"/>
      <c r="U113" s="1910"/>
      <c r="V113" s="1910"/>
      <c r="W113" s="1910"/>
      <c r="X113" s="1910"/>
      <c r="Y113" s="1910"/>
      <c r="Z113" s="1910"/>
      <c r="AA113" s="1910"/>
      <c r="AB113" s="1910"/>
      <c r="AC113" s="1910"/>
      <c r="AD113" s="1910"/>
      <c r="AE113" s="1910"/>
      <c r="AF113" s="1910"/>
      <c r="AG113" s="1910"/>
      <c r="AH113" s="1910"/>
      <c r="AI113" s="1910"/>
      <c r="AJ113" s="1911"/>
      <c r="AK113" s="574"/>
      <c r="AL113" s="574"/>
      <c r="AM113" s="574"/>
      <c r="AN113" s="569"/>
      <c r="AO113" s="570" t="str">
        <f>Application!B725</f>
        <v>2 Bedrooms</v>
      </c>
      <c r="AQ113" s="570">
        <f>Application!O725</f>
        <v>2276</v>
      </c>
      <c r="AU113" s="890" t="str">
        <f>T118</f>
        <v>3-bedroom</v>
      </c>
      <c r="AV113" s="570">
        <f t="array" ref="AV113">SUM(IF(Application!B718:F752="3 Bedrooms",Application!G718:J752))</f>
        <v>34</v>
      </c>
      <c r="AW113" s="1046">
        <f>AV113/AV116</f>
        <v>0.35051546391752575</v>
      </c>
    </row>
    <row r="114" spans="1:52" s="570" customFormat="1" ht="12.75" customHeight="1">
      <c r="A114" s="574"/>
      <c r="B114" s="573"/>
      <c r="C114" s="573"/>
      <c r="D114" s="573"/>
      <c r="E114" s="1909"/>
      <c r="F114" s="1910"/>
      <c r="G114" s="1910"/>
      <c r="H114" s="1910"/>
      <c r="I114" s="1910"/>
      <c r="J114" s="1910"/>
      <c r="K114" s="1910"/>
      <c r="L114" s="1910"/>
      <c r="M114" s="1910"/>
      <c r="N114" s="1910"/>
      <c r="O114" s="1910"/>
      <c r="P114" s="1910"/>
      <c r="Q114" s="1910"/>
      <c r="R114" s="1910"/>
      <c r="S114" s="1910"/>
      <c r="T114" s="1910"/>
      <c r="U114" s="1910"/>
      <c r="V114" s="1910"/>
      <c r="W114" s="1910"/>
      <c r="X114" s="1910"/>
      <c r="Y114" s="1910"/>
      <c r="Z114" s="1910"/>
      <c r="AA114" s="1910"/>
      <c r="AB114" s="1910"/>
      <c r="AC114" s="1910"/>
      <c r="AD114" s="1910"/>
      <c r="AE114" s="1910"/>
      <c r="AF114" s="1910"/>
      <c r="AG114" s="1910"/>
      <c r="AH114" s="1910"/>
      <c r="AI114" s="1910"/>
      <c r="AJ114" s="1911"/>
      <c r="AK114" s="574"/>
      <c r="AL114" s="574"/>
      <c r="AM114" s="574"/>
      <c r="AN114" s="569"/>
      <c r="AO114" s="570" t="str">
        <f>Application!B726</f>
        <v>3 Bedrooms</v>
      </c>
      <c r="AQ114" s="570">
        <f>Application!O726</f>
        <v>1037</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9"/>
      <c r="F115" s="1910"/>
      <c r="G115" s="1910"/>
      <c r="H115" s="1910"/>
      <c r="I115" s="1910"/>
      <c r="J115" s="1910"/>
      <c r="K115" s="1910"/>
      <c r="L115" s="1910"/>
      <c r="M115" s="1910"/>
      <c r="N115" s="1910"/>
      <c r="O115" s="1910"/>
      <c r="P115" s="1910"/>
      <c r="Q115" s="1910"/>
      <c r="R115" s="1910"/>
      <c r="S115" s="1910"/>
      <c r="T115" s="1910"/>
      <c r="U115" s="1910"/>
      <c r="V115" s="1910"/>
      <c r="W115" s="1910"/>
      <c r="X115" s="1910"/>
      <c r="Y115" s="1910"/>
      <c r="Z115" s="1910"/>
      <c r="AA115" s="1910"/>
      <c r="AB115" s="1910"/>
      <c r="AC115" s="1910"/>
      <c r="AD115" s="1910"/>
      <c r="AE115" s="1910"/>
      <c r="AF115" s="1910"/>
      <c r="AG115" s="1910"/>
      <c r="AH115" s="1910"/>
      <c r="AI115" s="1910"/>
      <c r="AJ115" s="1911"/>
      <c r="AK115" s="574"/>
      <c r="AL115" s="574"/>
      <c r="AM115" s="574"/>
      <c r="AN115" s="569"/>
      <c r="AO115" s="570" t="str">
        <f>Application!B727</f>
        <v>3 Bedrooms</v>
      </c>
      <c r="AQ115" s="570">
        <f>Application!O727</f>
        <v>1825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9"/>
      <c r="F116" s="1910"/>
      <c r="G116" s="1910"/>
      <c r="H116" s="1910"/>
      <c r="I116" s="1910"/>
      <c r="J116" s="1910"/>
      <c r="K116" s="1910"/>
      <c r="L116" s="1910"/>
      <c r="M116" s="1910"/>
      <c r="N116" s="1910"/>
      <c r="O116" s="1910"/>
      <c r="P116" s="1910"/>
      <c r="Q116" s="1910"/>
      <c r="R116" s="1910"/>
      <c r="S116" s="1910"/>
      <c r="T116" s="1910"/>
      <c r="U116" s="1910"/>
      <c r="V116" s="1910"/>
      <c r="W116" s="1910"/>
      <c r="X116" s="1910"/>
      <c r="Y116" s="1910"/>
      <c r="Z116" s="1910"/>
      <c r="AA116" s="1910"/>
      <c r="AB116" s="1910"/>
      <c r="AC116" s="1910"/>
      <c r="AD116" s="1910"/>
      <c r="AE116" s="1910"/>
      <c r="AF116" s="1910"/>
      <c r="AG116" s="1910"/>
      <c r="AH116" s="1910"/>
      <c r="AI116" s="1910"/>
      <c r="AJ116" s="1911"/>
      <c r="AK116" s="574"/>
      <c r="AL116" s="574"/>
      <c r="AM116" s="574"/>
      <c r="AN116" s="569"/>
      <c r="AO116" s="570" t="str">
        <f>Application!B728</f>
        <v>3 Bedrooms</v>
      </c>
      <c r="AQ116" s="570">
        <f>Application!O728</f>
        <v>2219</v>
      </c>
      <c r="AV116" s="570">
        <f>SUM(AV110:AV115)</f>
        <v>97</v>
      </c>
      <c r="AW116" s="1046">
        <f>SUM(AW110:AW115)</f>
        <v>0.99999999999999989</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2613</v>
      </c>
    </row>
    <row r="118" spans="1:52" s="570" customFormat="1" ht="12.75" customHeight="1">
      <c r="A118" s="574"/>
      <c r="B118" s="573"/>
      <c r="C118" s="574"/>
      <c r="D118" s="574"/>
      <c r="E118" s="1889" t="s">
        <v>1698</v>
      </c>
      <c r="F118" s="1890"/>
      <c r="G118" s="1890"/>
      <c r="H118" s="1890"/>
      <c r="I118" s="611"/>
      <c r="J118" s="1890" t="s">
        <v>1742</v>
      </c>
      <c r="K118" s="1890"/>
      <c r="L118" s="1890"/>
      <c r="M118" s="1890"/>
      <c r="N118" s="611"/>
      <c r="O118" s="1890" t="s">
        <v>1743</v>
      </c>
      <c r="P118" s="1890"/>
      <c r="Q118" s="1890"/>
      <c r="R118" s="1890"/>
      <c r="S118" s="611"/>
      <c r="T118" s="1890" t="s">
        <v>1443</v>
      </c>
      <c r="U118" s="1890"/>
      <c r="V118" s="1890"/>
      <c r="W118" s="1890"/>
      <c r="X118" s="611"/>
      <c r="Y118" s="1890" t="s">
        <v>1744</v>
      </c>
      <c r="Z118" s="1890"/>
      <c r="AA118" s="1890"/>
      <c r="AB118" s="1890"/>
      <c r="AC118" s="611"/>
      <c r="AD118" s="1890" t="s">
        <v>1745</v>
      </c>
      <c r="AE118" s="1890"/>
      <c r="AF118" s="1890"/>
      <c r="AG118" s="189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6"/>
      <c r="F121" s="1947"/>
      <c r="G121" s="1947"/>
      <c r="H121" s="1947"/>
      <c r="I121" s="898"/>
      <c r="J121" s="1947">
        <v>2673</v>
      </c>
      <c r="K121" s="1947"/>
      <c r="L121" s="1947"/>
      <c r="M121" s="1947"/>
      <c r="N121" s="898"/>
      <c r="O121" s="1947">
        <v>3461</v>
      </c>
      <c r="P121" s="1947"/>
      <c r="Q121" s="1947"/>
      <c r="R121" s="1947"/>
      <c r="S121" s="898"/>
      <c r="T121" s="1947">
        <v>3765</v>
      </c>
      <c r="U121" s="1947"/>
      <c r="V121" s="1947"/>
      <c r="W121" s="1947"/>
      <c r="X121" s="898"/>
      <c r="Y121" s="1947"/>
      <c r="Z121" s="1947"/>
      <c r="AA121" s="1947"/>
      <c r="AB121" s="1947"/>
      <c r="AC121" s="898"/>
      <c r="AD121" s="1947"/>
      <c r="AE121" s="1947"/>
      <c r="AF121" s="1947"/>
      <c r="AG121" s="194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9">
        <f>Application!DX670</f>
        <v>0</v>
      </c>
      <c r="F124" s="1940"/>
      <c r="G124" s="1940"/>
      <c r="H124" s="1940"/>
      <c r="I124" s="898"/>
      <c r="J124" s="1940">
        <f>Application!EC670</f>
        <v>1449.6</v>
      </c>
      <c r="K124" s="1940"/>
      <c r="L124" s="1940"/>
      <c r="M124" s="1940"/>
      <c r="N124" s="898"/>
      <c r="O124" s="1940">
        <f>Application!EH670</f>
        <v>1886.2857142857142</v>
      </c>
      <c r="P124" s="1940"/>
      <c r="Q124" s="1940"/>
      <c r="R124" s="1940"/>
      <c r="S124" s="902"/>
      <c r="T124" s="1940">
        <f>Application!EM670</f>
        <v>2219</v>
      </c>
      <c r="U124" s="1940"/>
      <c r="V124" s="1940"/>
      <c r="W124" s="1940"/>
      <c r="X124" s="902"/>
      <c r="Y124" s="1940">
        <f>Application!ER670</f>
        <v>0</v>
      </c>
      <c r="Z124" s="1940"/>
      <c r="AA124" s="1940"/>
      <c r="AB124" s="1940"/>
      <c r="AC124" s="902"/>
      <c r="AD124" s="1940">
        <f>Application!EW670</f>
        <v>0</v>
      </c>
      <c r="AE124" s="1940"/>
      <c r="AF124" s="1940"/>
      <c r="AG124" s="194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7" t="e">
        <f>(E121-E124)/E121</f>
        <v>#DIV/0!</v>
      </c>
      <c r="F127" s="1892"/>
      <c r="G127" s="1892"/>
      <c r="H127" s="2138"/>
      <c r="I127" s="611"/>
      <c r="J127" s="2137">
        <f>(J121-J124)/J121</f>
        <v>0.4576879910213244</v>
      </c>
      <c r="K127" s="1892"/>
      <c r="L127" s="1892"/>
      <c r="M127" s="2138"/>
      <c r="N127" s="611"/>
      <c r="O127" s="2137">
        <f>(O121-O124)/O121</f>
        <v>0.45498823626532381</v>
      </c>
      <c r="P127" s="1892"/>
      <c r="Q127" s="1892"/>
      <c r="R127" s="2138"/>
      <c r="S127" s="611"/>
      <c r="T127" s="2137">
        <f>(T121-T124)/T121</f>
        <v>0.4106241699867198</v>
      </c>
      <c r="U127" s="1892"/>
      <c r="V127" s="1892"/>
      <c r="W127" s="2138"/>
      <c r="X127" s="611"/>
      <c r="Y127" s="2137" t="e">
        <f>(Y121-Y124)/Y121</f>
        <v>#DIV/0!</v>
      </c>
      <c r="Z127" s="1892"/>
      <c r="AA127" s="1892"/>
      <c r="AB127" s="2138"/>
      <c r="AC127" s="611"/>
      <c r="AD127" s="2137" t="e">
        <f>(AD121-AD124)/AD121</f>
        <v>#DIV/0!</v>
      </c>
      <c r="AE127" s="1892"/>
      <c r="AF127" s="1892"/>
      <c r="AG127" s="213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1" t="e">
        <f>IF(((E127-0.1)*AW110)&gt;0,((E127-0.1)*AW110),0)</f>
        <v>#DIV/0!</v>
      </c>
      <c r="F130" s="1942"/>
      <c r="G130" s="1942"/>
      <c r="H130" s="1943"/>
      <c r="I130" s="611"/>
      <c r="J130" s="1941">
        <f>IF(((J127-0.1)*AW111)&gt;0,((J127-0.1)*AW111),0)</f>
        <v>0.12906267717264283</v>
      </c>
      <c r="K130" s="1942"/>
      <c r="L130" s="1942"/>
      <c r="M130" s="1943"/>
      <c r="N130" s="611"/>
      <c r="O130" s="1941">
        <f>IF(((O127-0.1)*AW112)&gt;0,((O127-0.1)*AW112),0)</f>
        <v>0.10247083108689758</v>
      </c>
      <c r="P130" s="1942"/>
      <c r="Q130" s="1942"/>
      <c r="R130" s="1943"/>
      <c r="S130" s="611"/>
      <c r="T130" s="1941">
        <f>IF(((T127-0.1)*AW113)&gt;0,((T127-0.1)*AW113),0)</f>
        <v>0.10887857504689148</v>
      </c>
      <c r="U130" s="1942"/>
      <c r="V130" s="1942"/>
      <c r="W130" s="1943"/>
      <c r="X130" s="611"/>
      <c r="Y130" s="1941" t="e">
        <f>IF(((Y127-0.1)*AW114)&gt;0,((Y127-0.1)*AW114),0)</f>
        <v>#DIV/0!</v>
      </c>
      <c r="Z130" s="1942"/>
      <c r="AA130" s="1942"/>
      <c r="AB130" s="1943"/>
      <c r="AC130" s="611"/>
      <c r="AD130" s="1941" t="e">
        <f>IF(((AD127-0.1)*AW115)&gt;0,((AD127-0.1)*AW115),0)</f>
        <v>#DIV/0!</v>
      </c>
      <c r="AE130" s="1942"/>
      <c r="AF130" s="1942"/>
      <c r="AG130" s="194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7">
        <f>ROUNDDOWN(SUMIF(E130:AG130,"&gt;0"),2)</f>
        <v>0.34</v>
      </c>
      <c r="F132" s="1892"/>
      <c r="G132" s="1892"/>
      <c r="H132" s="2138"/>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5">
        <f>IF((E132*100)&gt;10,10,E132*100)</f>
        <v>10</v>
      </c>
      <c r="F133" s="1926"/>
      <c r="G133" s="1926"/>
      <c r="H133" s="1927"/>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5">
        <f>E133</f>
        <v>10</v>
      </c>
      <c r="AL137" s="1926"/>
      <c r="AM137" s="192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5" t="s">
        <v>1423</v>
      </c>
      <c r="AF140" s="1905"/>
      <c r="AG140" s="1905"/>
      <c r="AH140" s="1905"/>
      <c r="AI140" s="1905"/>
      <c r="AJ140" s="1905"/>
      <c r="AK140" s="1905"/>
      <c r="AL140" s="625"/>
      <c r="AN140" s="626"/>
      <c r="AO140" s="570"/>
    </row>
    <row r="141" spans="1:52" s="573" customFormat="1" ht="13.1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7" t="s">
        <v>1447</v>
      </c>
      <c r="AG142" s="1937"/>
      <c r="AH142" s="1937"/>
      <c r="AI142" s="1937"/>
      <c r="AJ142" s="1937"/>
      <c r="AK142" s="1937"/>
      <c r="AL142" s="1937"/>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8" t="s">
        <v>2784</v>
      </c>
      <c r="C144" s="1938"/>
      <c r="D144" s="1938"/>
      <c r="E144" s="1938"/>
      <c r="F144" s="1938"/>
      <c r="G144" s="1938"/>
      <c r="H144" s="1938"/>
      <c r="I144" s="1938"/>
      <c r="J144" s="1938"/>
      <c r="K144" s="1938"/>
      <c r="L144" s="1938"/>
      <c r="M144" s="1938"/>
      <c r="N144" s="1938"/>
      <c r="O144" s="1938"/>
      <c r="P144" s="1938"/>
      <c r="Q144" s="1938"/>
      <c r="R144" s="1938"/>
      <c r="S144" s="1938"/>
      <c r="T144" s="1938"/>
      <c r="U144" s="1938"/>
      <c r="V144" s="1938"/>
      <c r="W144" s="1938"/>
      <c r="X144" s="1938"/>
      <c r="Y144" s="1938"/>
      <c r="Z144" s="1938"/>
      <c r="AA144" s="1938"/>
      <c r="AB144" s="1938"/>
      <c r="AC144" s="193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63" t="s">
        <v>2329</v>
      </c>
      <c r="C147" s="1963"/>
      <c r="D147" s="1963"/>
      <c r="E147" s="1963"/>
      <c r="F147" s="1963"/>
      <c r="G147" s="1963"/>
      <c r="H147" s="1963"/>
      <c r="I147" s="1963"/>
      <c r="J147" s="1963"/>
      <c r="K147" s="1963"/>
      <c r="L147" s="1963"/>
      <c r="M147" s="1963"/>
      <c r="N147" s="1963"/>
      <c r="O147" s="1963"/>
      <c r="P147" s="1963"/>
      <c r="Q147" s="1963"/>
      <c r="R147" s="1963"/>
      <c r="S147" s="1963"/>
      <c r="T147" s="1963"/>
      <c r="U147" s="1963"/>
      <c r="V147" s="1963"/>
      <c r="W147" s="1963"/>
      <c r="X147" s="1963"/>
      <c r="Y147" s="1963"/>
      <c r="Z147" s="1963"/>
      <c r="AA147" s="1963"/>
      <c r="AB147" s="1963"/>
      <c r="AC147" s="1963"/>
      <c r="AD147" s="1963"/>
      <c r="AE147" s="1963"/>
      <c r="AF147" s="1963"/>
      <c r="AG147" s="1963"/>
      <c r="AH147" s="1963"/>
      <c r="AI147" s="1963"/>
      <c r="AM147" s="573"/>
      <c r="AN147" s="569"/>
      <c r="AO147" s="510" t="s">
        <v>1450</v>
      </c>
      <c r="AP147" s="523">
        <v>7</v>
      </c>
    </row>
    <row r="148" spans="1:42" s="570" customFormat="1" ht="13.1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64" t="s">
        <v>599</v>
      </c>
      <c r="AC149" s="196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63" t="s">
        <v>1452</v>
      </c>
      <c r="C152" s="1963"/>
      <c r="D152" s="1963"/>
      <c r="E152" s="1963"/>
      <c r="F152" s="1963"/>
      <c r="G152" s="1963"/>
      <c r="H152" s="1963"/>
      <c r="I152" s="1963"/>
      <c r="J152" s="1963"/>
      <c r="K152" s="1963"/>
      <c r="L152" s="1963"/>
      <c r="M152" s="1963"/>
      <c r="N152" s="1963"/>
      <c r="O152" s="1963"/>
      <c r="P152" s="1963"/>
      <c r="Q152" s="1963"/>
      <c r="R152" s="1963"/>
      <c r="S152" s="1963"/>
      <c r="T152" s="1963"/>
      <c r="U152" s="1963"/>
      <c r="V152" s="1963"/>
      <c r="W152" s="1963"/>
      <c r="X152" s="1963"/>
      <c r="Y152" s="1963"/>
      <c r="Z152" s="1963"/>
      <c r="AA152" s="1963"/>
      <c r="AB152" s="1963"/>
      <c r="AC152" s="1963"/>
      <c r="AD152" s="1963"/>
      <c r="AE152" s="1963"/>
      <c r="AF152" s="1963"/>
      <c r="AG152" s="1963"/>
      <c r="AH152" s="1963"/>
      <c r="AI152" s="1963"/>
      <c r="AJ152" s="1963"/>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7">
        <f>IF($AB$149="N/A",VLOOKUP($B$147,$AO$145:$AP$148,2,FALSE),VLOOKUP($B$152,$AO$150:$AP$152,2,FALSE))</f>
        <v>7</v>
      </c>
      <c r="AK155" s="196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7" t="s">
        <v>1461</v>
      </c>
      <c r="AG157" s="1937"/>
      <c r="AH157" s="1937"/>
      <c r="AI157" s="1937"/>
      <c r="AJ157" s="1937"/>
      <c r="AK157" s="1937"/>
      <c r="AL157" s="1937"/>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3" t="s">
        <v>1459</v>
      </c>
      <c r="D159" s="1963"/>
      <c r="E159" s="1963"/>
      <c r="F159" s="1963"/>
      <c r="G159" s="1963"/>
      <c r="H159" s="1963"/>
      <c r="I159" s="1963"/>
      <c r="J159" s="1963"/>
      <c r="K159" s="1963"/>
      <c r="L159" s="1963"/>
      <c r="M159" s="1963"/>
      <c r="N159" s="1963"/>
      <c r="O159" s="1963"/>
      <c r="P159" s="1963"/>
      <c r="Q159" s="1963"/>
      <c r="R159" s="1963"/>
      <c r="S159" s="1963"/>
      <c r="T159" s="1963"/>
      <c r="U159" s="1963"/>
      <c r="V159" s="1963"/>
      <c r="W159" s="1963"/>
      <c r="X159" s="1963"/>
      <c r="Y159" s="1963"/>
      <c r="Z159" s="1963"/>
      <c r="AA159" s="1963"/>
      <c r="AB159" s="1963"/>
      <c r="AC159" s="1963"/>
      <c r="AD159" s="1963"/>
      <c r="AE159" s="1963"/>
      <c r="AF159" s="1963"/>
      <c r="AG159" s="1963"/>
      <c r="AH159" s="1963"/>
      <c r="AI159" s="1963"/>
      <c r="AJ159" s="570"/>
      <c r="AK159" s="570"/>
      <c r="AL159" s="570"/>
      <c r="AM159" s="637"/>
      <c r="AN159" s="631"/>
      <c r="AO159" s="510" t="s">
        <v>308</v>
      </c>
      <c r="AP159" s="510"/>
    </row>
    <row r="160" spans="1:42" s="584" customFormat="1" ht="13.1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4" t="s">
        <v>599</v>
      </c>
      <c r="AG161" s="1964"/>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63" t="s">
        <v>1452</v>
      </c>
      <c r="D163" s="1963"/>
      <c r="E163" s="1963"/>
      <c r="F163" s="1963"/>
      <c r="G163" s="1963"/>
      <c r="H163" s="1963"/>
      <c r="I163" s="1963"/>
      <c r="J163" s="1963"/>
      <c r="K163" s="1963"/>
      <c r="L163" s="1963"/>
      <c r="M163" s="1963"/>
      <c r="N163" s="1963"/>
      <c r="O163" s="1963"/>
      <c r="P163" s="1963"/>
      <c r="Q163" s="1963"/>
      <c r="R163" s="1963"/>
      <c r="S163" s="1963"/>
      <c r="T163" s="1963"/>
      <c r="U163" s="1963"/>
      <c r="V163" s="1963"/>
      <c r="W163" s="1963"/>
      <c r="X163" s="1963"/>
      <c r="Y163" s="1963"/>
      <c r="Z163" s="1963"/>
      <c r="AA163" s="1963"/>
      <c r="AB163" s="1963"/>
      <c r="AC163" s="1963"/>
      <c r="AD163" s="1963"/>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5" t="str">
        <f>Application!AA335</f>
        <v>Hyder &amp; Company</v>
      </c>
      <c r="D167" s="1965"/>
      <c r="E167" s="1965"/>
      <c r="F167" s="1965"/>
      <c r="G167" s="1965"/>
      <c r="H167" s="1965"/>
      <c r="I167" s="1965"/>
      <c r="J167" s="1965"/>
      <c r="K167" s="1965"/>
      <c r="L167" s="1965"/>
      <c r="M167" s="1965"/>
      <c r="N167" s="1965"/>
      <c r="O167" s="1965"/>
      <c r="P167" s="1965"/>
      <c r="Q167" s="1965"/>
      <c r="R167" s="1965"/>
      <c r="S167" s="1965"/>
      <c r="T167" s="1965"/>
      <c r="U167" s="1965"/>
      <c r="V167" s="1965"/>
      <c r="W167" s="1965"/>
      <c r="X167" s="1965"/>
      <c r="Y167" s="1965"/>
      <c r="Z167" s="1965"/>
      <c r="AA167" s="1965"/>
      <c r="AB167" s="1965"/>
      <c r="AC167" s="1965"/>
      <c r="AD167" s="1965"/>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6">
        <f>IF($AF$161="N/A",VLOOKUP($C$159,$AO$159:$AP$162,2,FALSE),VLOOKUP($C$163,$AO$166:$AP$168,2,FALSE))</f>
        <v>3</v>
      </c>
      <c r="AK169" s="196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5">
        <f>$AJ$155+$AJ$169</f>
        <v>10</v>
      </c>
      <c r="AL172" s="1926"/>
      <c r="AM172" s="192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5" t="s">
        <v>1423</v>
      </c>
      <c r="AF175" s="1905"/>
      <c r="AG175" s="1905"/>
      <c r="AH175" s="1905"/>
      <c r="AI175" s="1905"/>
      <c r="AJ175" s="1905"/>
      <c r="AK175" s="1905"/>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61" t="s">
        <v>1065</v>
      </c>
      <c r="C177" s="1961"/>
      <c r="D177" s="1961"/>
      <c r="E177" s="1961"/>
      <c r="F177" s="1961"/>
      <c r="G177" s="1961"/>
      <c r="H177" s="1961"/>
      <c r="I177" s="1961"/>
      <c r="J177" s="1961"/>
      <c r="K177" s="1961"/>
      <c r="L177" s="1961"/>
      <c r="M177" s="1961"/>
      <c r="N177" s="1961"/>
      <c r="O177" s="1961"/>
      <c r="P177" s="1961"/>
      <c r="Q177" s="1961"/>
      <c r="R177" s="1961"/>
      <c r="S177" s="1961"/>
      <c r="T177" s="1961"/>
      <c r="U177" s="1961"/>
      <c r="V177" s="1961"/>
      <c r="W177" s="1961"/>
      <c r="X177" s="1961"/>
      <c r="Y177" s="1961"/>
      <c r="Z177" s="1961"/>
      <c r="AA177" s="1961"/>
      <c r="AB177" s="1961"/>
      <c r="AC177" s="1961"/>
      <c r="AD177" s="570"/>
      <c r="AE177" s="570"/>
      <c r="AF177" s="1937" t="s">
        <v>1472</v>
      </c>
      <c r="AG177" s="1937"/>
      <c r="AH177" s="1937"/>
      <c r="AI177" s="1937"/>
      <c r="AJ177" s="1937"/>
      <c r="AK177" s="1937"/>
      <c r="AL177" s="1937"/>
      <c r="AN177" s="631"/>
      <c r="AP177" s="584" t="s">
        <v>1067</v>
      </c>
      <c r="AQ177" s="584">
        <v>10</v>
      </c>
    </row>
    <row r="178" spans="1:45" s="584" customFormat="1" ht="12.75" customHeight="1">
      <c r="A178" s="570"/>
      <c r="B178" s="1962" t="s">
        <v>1914</v>
      </c>
      <c r="C178" s="1962"/>
      <c r="D178" s="1962"/>
      <c r="E178" s="1962"/>
      <c r="F178" s="1962"/>
      <c r="G178" s="1962"/>
      <c r="H178" s="1962"/>
      <c r="I178" s="1962"/>
      <c r="J178" s="1962"/>
      <c r="K178" s="1962"/>
      <c r="L178" s="1962"/>
      <c r="M178" s="1962"/>
      <c r="N178" s="1962"/>
      <c r="O178" s="1962"/>
      <c r="P178" s="1962"/>
      <c r="Q178" s="1962"/>
      <c r="R178" s="1962"/>
      <c r="S178" s="1962"/>
      <c r="T178" s="1938" t="s">
        <v>599</v>
      </c>
      <c r="U178" s="1938"/>
      <c r="V178" s="1938"/>
      <c r="W178" s="1938"/>
      <c r="X178" s="1938"/>
      <c r="Y178" s="1938"/>
      <c r="Z178" s="1938"/>
      <c r="AA178" s="1938"/>
      <c r="AB178" s="1938"/>
      <c r="AC178" s="1938"/>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71">
        <f>IF(AK78&gt;0,VLOOKUP($B$177,AP174:AQ180,2,FALSE),0)</f>
        <v>10</v>
      </c>
      <c r="AL180" s="1972"/>
      <c r="AM180" s="1973"/>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5" t="s">
        <v>1481</v>
      </c>
      <c r="AF183" s="1905"/>
      <c r="AG183" s="1905"/>
      <c r="AH183" s="1905"/>
      <c r="AI183" s="1905"/>
      <c r="AJ183" s="1905"/>
      <c r="AK183" s="1905"/>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9" t="s">
        <v>2646</v>
      </c>
      <c r="C188" s="1949"/>
      <c r="D188" s="1949"/>
      <c r="E188" s="1949"/>
      <c r="F188" s="1949"/>
      <c r="G188" s="1949"/>
      <c r="H188" s="1949"/>
      <c r="I188" s="1949"/>
      <c r="J188" s="1949"/>
      <c r="K188" s="1949"/>
      <c r="L188" s="1949"/>
      <c r="M188" s="1949"/>
      <c r="N188" s="1949"/>
      <c r="O188" s="1949"/>
      <c r="P188" s="1949"/>
      <c r="Q188" s="1949"/>
      <c r="R188" s="1949"/>
      <c r="S188" s="1949"/>
      <c r="T188" s="1949"/>
      <c r="U188" s="1949"/>
      <c r="V188" s="1949"/>
      <c r="W188" s="1949"/>
      <c r="X188" s="1949"/>
      <c r="Y188" s="1949"/>
      <c r="Z188" s="1949"/>
      <c r="AA188" s="1949"/>
      <c r="AB188" s="1949"/>
      <c r="AC188" s="880"/>
      <c r="AD188" s="1950">
        <v>5000000</v>
      </c>
      <c r="AE188" s="1950"/>
      <c r="AF188" s="1950"/>
      <c r="AG188" s="1950"/>
      <c r="AH188" s="1950"/>
      <c r="AI188" s="1950"/>
      <c r="AJ188" s="1950"/>
      <c r="AK188" s="644"/>
    </row>
    <row r="189" spans="1:45">
      <c r="A189" s="639"/>
      <c r="B189" s="1949" t="s">
        <v>2759</v>
      </c>
      <c r="C189" s="1949"/>
      <c r="D189" s="1949"/>
      <c r="E189" s="1949"/>
      <c r="F189" s="1949"/>
      <c r="G189" s="1949"/>
      <c r="H189" s="1949"/>
      <c r="I189" s="1949"/>
      <c r="J189" s="1949"/>
      <c r="K189" s="1949"/>
      <c r="L189" s="1949"/>
      <c r="M189" s="1949"/>
      <c r="N189" s="1949"/>
      <c r="O189" s="1949"/>
      <c r="P189" s="1949"/>
      <c r="Q189" s="1949"/>
      <c r="R189" s="1949"/>
      <c r="S189" s="1949"/>
      <c r="T189" s="1949"/>
      <c r="U189" s="1949"/>
      <c r="V189" s="1949"/>
      <c r="W189" s="1949"/>
      <c r="X189" s="1949"/>
      <c r="Y189" s="1949"/>
      <c r="Z189" s="1949"/>
      <c r="AA189" s="1949"/>
      <c r="AB189" s="1949"/>
      <c r="AC189" s="880"/>
      <c r="AD189" s="1950">
        <v>3175000</v>
      </c>
      <c r="AE189" s="1950"/>
      <c r="AF189" s="1950"/>
      <c r="AG189" s="1950"/>
      <c r="AH189" s="1950"/>
      <c r="AI189" s="1950"/>
      <c r="AJ189" s="1950"/>
      <c r="AK189" s="644"/>
    </row>
    <row r="190" spans="1:45">
      <c r="A190" s="639"/>
      <c r="B190" s="1949"/>
      <c r="C190" s="1949"/>
      <c r="D190" s="1949"/>
      <c r="E190" s="1949"/>
      <c r="F190" s="1949"/>
      <c r="G190" s="1949"/>
      <c r="H190" s="1949"/>
      <c r="I190" s="1949"/>
      <c r="J190" s="1949"/>
      <c r="K190" s="1949"/>
      <c r="L190" s="1949"/>
      <c r="M190" s="1949"/>
      <c r="N190" s="1949"/>
      <c r="O190" s="1949"/>
      <c r="P190" s="1949"/>
      <c r="Q190" s="1949"/>
      <c r="R190" s="1949"/>
      <c r="S190" s="1949"/>
      <c r="T190" s="1949"/>
      <c r="U190" s="1949"/>
      <c r="V190" s="1949"/>
      <c r="W190" s="1949"/>
      <c r="X190" s="1949"/>
      <c r="Y190" s="1949"/>
      <c r="Z190" s="1949"/>
      <c r="AA190" s="1949"/>
      <c r="AB190" s="1949"/>
      <c r="AC190" s="880"/>
      <c r="AD190" s="1950"/>
      <c r="AE190" s="1950"/>
      <c r="AF190" s="1950"/>
      <c r="AG190" s="1950"/>
      <c r="AH190" s="1950"/>
      <c r="AI190" s="1950"/>
      <c r="AJ190" s="1950"/>
      <c r="AK190" s="644"/>
    </row>
    <row r="191" spans="1:45">
      <c r="A191" s="639"/>
      <c r="B191" s="1949"/>
      <c r="C191" s="1949"/>
      <c r="D191" s="1949"/>
      <c r="E191" s="1949"/>
      <c r="F191" s="1949"/>
      <c r="G191" s="1949"/>
      <c r="H191" s="1949"/>
      <c r="I191" s="1949"/>
      <c r="J191" s="1949"/>
      <c r="K191" s="1949"/>
      <c r="L191" s="1949"/>
      <c r="M191" s="1949"/>
      <c r="N191" s="1949"/>
      <c r="O191" s="1949"/>
      <c r="P191" s="1949"/>
      <c r="Q191" s="1949"/>
      <c r="R191" s="1949"/>
      <c r="S191" s="1949"/>
      <c r="T191" s="1949"/>
      <c r="U191" s="1949"/>
      <c r="V191" s="1949"/>
      <c r="W191" s="1949"/>
      <c r="X191" s="1949"/>
      <c r="Y191" s="1949"/>
      <c r="Z191" s="1949"/>
      <c r="AA191" s="1949"/>
      <c r="AB191" s="1949"/>
      <c r="AC191" s="880"/>
      <c r="AD191" s="1950"/>
      <c r="AE191" s="1950"/>
      <c r="AF191" s="1950"/>
      <c r="AG191" s="1950"/>
      <c r="AH191" s="1950"/>
      <c r="AI191" s="1950"/>
      <c r="AJ191" s="1950"/>
      <c r="AK191" s="644"/>
    </row>
    <row r="192" spans="1:45">
      <c r="A192" s="639"/>
      <c r="B192" s="1949"/>
      <c r="C192" s="1949"/>
      <c r="D192" s="1949"/>
      <c r="E192" s="1949"/>
      <c r="F192" s="1949"/>
      <c r="G192" s="1949"/>
      <c r="H192" s="1949"/>
      <c r="I192" s="1949"/>
      <c r="J192" s="1949"/>
      <c r="K192" s="1949"/>
      <c r="L192" s="1949"/>
      <c r="M192" s="1949"/>
      <c r="N192" s="1949"/>
      <c r="O192" s="1949"/>
      <c r="P192" s="1949"/>
      <c r="Q192" s="1949"/>
      <c r="R192" s="1949"/>
      <c r="S192" s="1949"/>
      <c r="T192" s="1949"/>
      <c r="U192" s="1949"/>
      <c r="V192" s="1949"/>
      <c r="W192" s="1949"/>
      <c r="X192" s="1949"/>
      <c r="Y192" s="1949"/>
      <c r="Z192" s="1949"/>
      <c r="AA192" s="1949"/>
      <c r="AB192" s="1949"/>
      <c r="AC192" s="880"/>
      <c r="AD192" s="1950"/>
      <c r="AE192" s="1950"/>
      <c r="AF192" s="1950"/>
      <c r="AG192" s="1950"/>
      <c r="AH192" s="1950"/>
      <c r="AI192" s="1950"/>
      <c r="AJ192" s="1950"/>
      <c r="AK192" s="644"/>
    </row>
    <row r="193" spans="1:37">
      <c r="A193" s="639"/>
      <c r="B193" s="1949"/>
      <c r="C193" s="1949"/>
      <c r="D193" s="1949"/>
      <c r="E193" s="1949"/>
      <c r="F193" s="1949"/>
      <c r="G193" s="1949"/>
      <c r="H193" s="1949"/>
      <c r="I193" s="1949"/>
      <c r="J193" s="1949"/>
      <c r="K193" s="1949"/>
      <c r="L193" s="1949"/>
      <c r="M193" s="1949"/>
      <c r="N193" s="1949"/>
      <c r="O193" s="1949"/>
      <c r="P193" s="1949"/>
      <c r="Q193" s="1949"/>
      <c r="R193" s="1949"/>
      <c r="S193" s="1949"/>
      <c r="T193" s="1949"/>
      <c r="U193" s="1949"/>
      <c r="V193" s="1949"/>
      <c r="W193" s="1949"/>
      <c r="X193" s="1949"/>
      <c r="Y193" s="1949"/>
      <c r="Z193" s="1949"/>
      <c r="AA193" s="1949"/>
      <c r="AB193" s="1949"/>
      <c r="AC193" s="880"/>
      <c r="AD193" s="1950"/>
      <c r="AE193" s="1950"/>
      <c r="AF193" s="1950"/>
      <c r="AG193" s="1950"/>
      <c r="AH193" s="1950"/>
      <c r="AI193" s="1950"/>
      <c r="AJ193" s="1950"/>
      <c r="AK193" s="644"/>
    </row>
    <row r="194" spans="1:37">
      <c r="A194" s="639"/>
      <c r="B194" s="1949"/>
      <c r="C194" s="1949"/>
      <c r="D194" s="1949"/>
      <c r="E194" s="1949"/>
      <c r="F194" s="1949"/>
      <c r="G194" s="1949"/>
      <c r="H194" s="1949"/>
      <c r="I194" s="1949"/>
      <c r="J194" s="1949"/>
      <c r="K194" s="1949"/>
      <c r="L194" s="1949"/>
      <c r="M194" s="1949"/>
      <c r="N194" s="1949"/>
      <c r="O194" s="1949"/>
      <c r="P194" s="1949"/>
      <c r="Q194" s="1949"/>
      <c r="R194" s="1949"/>
      <c r="S194" s="1949"/>
      <c r="T194" s="1949"/>
      <c r="U194" s="1949"/>
      <c r="V194" s="1949"/>
      <c r="W194" s="1949"/>
      <c r="X194" s="1949"/>
      <c r="Y194" s="1949"/>
      <c r="Z194" s="1949"/>
      <c r="AA194" s="1949"/>
      <c r="AB194" s="1949"/>
      <c r="AC194" s="880"/>
      <c r="AD194" s="1950"/>
      <c r="AE194" s="1950"/>
      <c r="AF194" s="1950"/>
      <c r="AG194" s="1950"/>
      <c r="AH194" s="1950"/>
      <c r="AI194" s="1950"/>
      <c r="AJ194" s="1950"/>
      <c r="AK194" s="644"/>
    </row>
    <row r="195" spans="1:37">
      <c r="A195" s="639"/>
      <c r="B195" s="1949"/>
      <c r="C195" s="1949"/>
      <c r="D195" s="1949"/>
      <c r="E195" s="1949"/>
      <c r="F195" s="1949"/>
      <c r="G195" s="1949"/>
      <c r="H195" s="1949"/>
      <c r="I195" s="1949"/>
      <c r="J195" s="1949"/>
      <c r="K195" s="1949"/>
      <c r="L195" s="1949"/>
      <c r="M195" s="1949"/>
      <c r="N195" s="1949"/>
      <c r="O195" s="1949"/>
      <c r="P195" s="1949"/>
      <c r="Q195" s="1949"/>
      <c r="R195" s="1949"/>
      <c r="S195" s="1949"/>
      <c r="T195" s="1949"/>
      <c r="U195" s="1949"/>
      <c r="V195" s="1949"/>
      <c r="W195" s="1949"/>
      <c r="X195" s="1949"/>
      <c r="Y195" s="1949"/>
      <c r="Z195" s="1949"/>
      <c r="AA195" s="1949"/>
      <c r="AB195" s="1949"/>
      <c r="AC195" s="880"/>
      <c r="AD195" s="1950"/>
      <c r="AE195" s="1950"/>
      <c r="AF195" s="1950"/>
      <c r="AG195" s="1950"/>
      <c r="AH195" s="1950"/>
      <c r="AI195" s="1950"/>
      <c r="AJ195" s="1950"/>
      <c r="AK195" s="644"/>
    </row>
    <row r="196" spans="1:37">
      <c r="A196" s="639"/>
      <c r="B196" s="1949"/>
      <c r="C196" s="1949"/>
      <c r="D196" s="1949"/>
      <c r="E196" s="1949"/>
      <c r="F196" s="1949"/>
      <c r="G196" s="1949"/>
      <c r="H196" s="1949"/>
      <c r="I196" s="1949"/>
      <c r="J196" s="1949"/>
      <c r="K196" s="1949"/>
      <c r="L196" s="1949"/>
      <c r="M196" s="1949"/>
      <c r="N196" s="1949"/>
      <c r="O196" s="1949"/>
      <c r="P196" s="1949"/>
      <c r="Q196" s="1949"/>
      <c r="R196" s="1949"/>
      <c r="S196" s="1949"/>
      <c r="T196" s="1949"/>
      <c r="U196" s="1949"/>
      <c r="V196" s="1949"/>
      <c r="W196" s="1949"/>
      <c r="X196" s="1949"/>
      <c r="Y196" s="1949"/>
      <c r="Z196" s="1949"/>
      <c r="AA196" s="1949"/>
      <c r="AB196" s="1949"/>
      <c r="AC196" s="880"/>
      <c r="AD196" s="1950"/>
      <c r="AE196" s="1950"/>
      <c r="AF196" s="1950"/>
      <c r="AG196" s="1950"/>
      <c r="AH196" s="1950"/>
      <c r="AI196" s="1950"/>
      <c r="AJ196" s="1950"/>
      <c r="AK196" s="644"/>
    </row>
    <row r="197" spans="1:37">
      <c r="A197" s="639"/>
      <c r="B197" s="1949"/>
      <c r="C197" s="1949"/>
      <c r="D197" s="1949"/>
      <c r="E197" s="1949"/>
      <c r="F197" s="1949"/>
      <c r="G197" s="1949"/>
      <c r="H197" s="1949"/>
      <c r="I197" s="1949"/>
      <c r="J197" s="1949"/>
      <c r="K197" s="1949"/>
      <c r="L197" s="1949"/>
      <c r="M197" s="1949"/>
      <c r="N197" s="1949"/>
      <c r="O197" s="1949"/>
      <c r="P197" s="1949"/>
      <c r="Q197" s="1949"/>
      <c r="R197" s="1949"/>
      <c r="S197" s="1949"/>
      <c r="T197" s="1949"/>
      <c r="U197" s="1949"/>
      <c r="V197" s="1949"/>
      <c r="W197" s="1949"/>
      <c r="X197" s="1949"/>
      <c r="Y197" s="1949"/>
      <c r="Z197" s="1949"/>
      <c r="AA197" s="1949"/>
      <c r="AB197" s="1949"/>
      <c r="AC197" s="880"/>
      <c r="AD197" s="1950"/>
      <c r="AE197" s="1950"/>
      <c r="AF197" s="1950"/>
      <c r="AG197" s="1950"/>
      <c r="AH197" s="1950"/>
      <c r="AI197" s="1950"/>
      <c r="AJ197" s="1950"/>
      <c r="AK197" s="644"/>
    </row>
    <row r="198" spans="1:37">
      <c r="A198" s="639"/>
      <c r="B198" s="2114" t="s">
        <v>1737</v>
      </c>
      <c r="C198" s="2114"/>
      <c r="D198" s="2114"/>
      <c r="E198" s="2114"/>
      <c r="F198" s="2114"/>
      <c r="G198" s="2114"/>
      <c r="H198" s="2114"/>
      <c r="I198" s="2114"/>
      <c r="J198" s="2114"/>
      <c r="K198" s="2114"/>
      <c r="L198" s="2114"/>
      <c r="M198" s="2114"/>
      <c r="N198" s="2114"/>
      <c r="O198" s="2114"/>
      <c r="P198" s="2114"/>
      <c r="Q198" s="2114"/>
      <c r="R198" s="2114"/>
      <c r="S198" s="2114"/>
      <c r="T198" s="2114"/>
      <c r="U198" s="2114"/>
      <c r="V198" s="2114"/>
      <c r="W198" s="2114"/>
      <c r="X198" s="2114"/>
      <c r="Y198" s="2114"/>
      <c r="Z198" s="2114"/>
      <c r="AA198" s="2114"/>
      <c r="AB198" s="2114"/>
      <c r="AC198" s="570"/>
      <c r="AD198" s="1978">
        <f>AB249</f>
        <v>0</v>
      </c>
      <c r="AE198" s="1978"/>
      <c r="AF198" s="1978"/>
      <c r="AG198" s="1978"/>
      <c r="AH198" s="1978"/>
      <c r="AI198" s="1978"/>
      <c r="AJ198" s="1978"/>
      <c r="AK198" s="644"/>
    </row>
    <row r="199" spans="1:37">
      <c r="A199" s="639"/>
      <c r="B199" s="2112" t="s">
        <v>1700</v>
      </c>
      <c r="C199" s="2112"/>
      <c r="D199" s="2112"/>
      <c r="E199" s="2112"/>
      <c r="F199" s="2112"/>
      <c r="G199" s="2112"/>
      <c r="H199" s="2112"/>
      <c r="I199" s="2112"/>
      <c r="J199" s="2112"/>
      <c r="K199" s="2112"/>
      <c r="L199" s="2112"/>
      <c r="M199" s="2112"/>
      <c r="N199" s="2112"/>
      <c r="O199" s="2112"/>
      <c r="P199" s="2112"/>
      <c r="Q199" s="2112"/>
      <c r="R199" s="2112"/>
      <c r="S199" s="2112"/>
      <c r="T199" s="2112"/>
      <c r="U199" s="2112"/>
      <c r="V199" s="2112"/>
      <c r="W199" s="2112"/>
      <c r="X199" s="2112"/>
      <c r="Y199" s="2112"/>
      <c r="Z199" s="2112"/>
      <c r="AA199" s="2112"/>
      <c r="AB199" s="2112"/>
      <c r="AC199" s="880"/>
      <c r="AD199" s="1979">
        <f>'Sources and Uses Budget'!B15</f>
        <v>0</v>
      </c>
      <c r="AE199" s="1979"/>
      <c r="AF199" s="1979"/>
      <c r="AG199" s="1979"/>
      <c r="AH199" s="1979"/>
      <c r="AI199" s="1979"/>
      <c r="AJ199" s="1979"/>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3">
        <f>SUM(AD188:AJ198)-AD199</f>
        <v>8175000</v>
      </c>
      <c r="AE200" s="1983"/>
      <c r="AF200" s="1983"/>
      <c r="AG200" s="1983"/>
      <c r="AH200" s="1983"/>
      <c r="AI200" s="1983"/>
      <c r="AJ200" s="198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3" t="s">
        <v>1717</v>
      </c>
      <c r="J211" s="1953"/>
      <c r="K211" s="1953"/>
      <c r="L211" s="570"/>
      <c r="M211" s="570"/>
      <c r="N211" s="570"/>
      <c r="O211" s="570"/>
      <c r="P211" s="570"/>
      <c r="Q211" s="570"/>
      <c r="R211" s="570"/>
      <c r="S211" s="570"/>
      <c r="T211" s="2140" t="s">
        <v>1711</v>
      </c>
      <c r="U211" s="2140"/>
      <c r="V211" s="2140"/>
      <c r="W211" s="2140"/>
      <c r="X211" s="2140"/>
      <c r="Y211" s="2140"/>
      <c r="Z211" s="883"/>
      <c r="AA211" s="523"/>
      <c r="AB211" s="1948" t="s">
        <v>1712</v>
      </c>
      <c r="AC211" s="1948"/>
      <c r="AD211" s="1948"/>
      <c r="AE211" s="1948"/>
      <c r="AF211" s="1948"/>
      <c r="AG211" s="1948"/>
      <c r="AH211" s="861"/>
      <c r="AI211" s="861"/>
      <c r="AJ211" s="861"/>
      <c r="AK211" s="644"/>
    </row>
    <row r="212" spans="1:37">
      <c r="A212" s="639"/>
      <c r="B212" s="1951" t="s">
        <v>1697</v>
      </c>
      <c r="C212" s="1951"/>
      <c r="D212" s="1951"/>
      <c r="E212" s="1951"/>
      <c r="F212" s="1951"/>
      <c r="G212" s="1951"/>
      <c r="I212" s="1952" t="s">
        <v>1718</v>
      </c>
      <c r="J212" s="1952"/>
      <c r="K212" s="1952"/>
      <c r="L212" s="1043"/>
      <c r="N212" s="1958" t="s">
        <v>1713</v>
      </c>
      <c r="O212" s="1958"/>
      <c r="P212" s="1958"/>
      <c r="Q212" s="1958"/>
      <c r="R212" s="1958"/>
      <c r="T212" s="1958" t="s">
        <v>1714</v>
      </c>
      <c r="U212" s="1958"/>
      <c r="V212" s="1958"/>
      <c r="W212" s="1958"/>
      <c r="X212" s="1958"/>
      <c r="Y212" s="1958"/>
      <c r="Z212" s="884"/>
      <c r="AA212" s="523"/>
      <c r="AB212" s="2115" t="s">
        <v>1715</v>
      </c>
      <c r="AC212" s="2115"/>
      <c r="AD212" s="2115"/>
      <c r="AE212" s="2115"/>
      <c r="AF212" s="2115"/>
      <c r="AG212" s="2115"/>
      <c r="AH212" s="861"/>
      <c r="AI212" s="861"/>
      <c r="AJ212" s="861"/>
      <c r="AK212" s="644"/>
    </row>
    <row r="213" spans="1:37">
      <c r="A213" s="639"/>
      <c r="B213" s="1955" t="s">
        <v>1290</v>
      </c>
      <c r="C213" s="1955"/>
      <c r="D213" s="1955"/>
      <c r="E213" s="1955"/>
      <c r="F213" s="1955"/>
      <c r="G213" s="1955"/>
      <c r="H213" s="886"/>
      <c r="I213" s="1954"/>
      <c r="J213" s="1954"/>
      <c r="K213" s="1954"/>
      <c r="L213" s="1043"/>
      <c r="N213" s="1959"/>
      <c r="O213" s="1959"/>
      <c r="P213" s="1959"/>
      <c r="Q213" s="1959"/>
      <c r="R213" s="1959"/>
      <c r="T213" s="2113"/>
      <c r="U213" s="2113"/>
      <c r="V213" s="2113"/>
      <c r="W213" s="2113"/>
      <c r="X213" s="2113"/>
      <c r="Y213" s="2113"/>
      <c r="Z213" s="885"/>
      <c r="AA213" s="885"/>
      <c r="AB213" s="1956">
        <f t="shared" ref="AB213:AB222" si="0">MAX(($T213-$N213)*$I213*12,0)</f>
        <v>0</v>
      </c>
      <c r="AC213" s="1956"/>
      <c r="AD213" s="1956"/>
      <c r="AE213" s="1956"/>
      <c r="AF213" s="1956"/>
      <c r="AG213" s="1956"/>
      <c r="AH213" s="861"/>
      <c r="AI213" s="861"/>
      <c r="AJ213" s="861"/>
      <c r="AK213" s="644"/>
    </row>
    <row r="214" spans="1:37">
      <c r="A214" s="639"/>
      <c r="B214" s="1955" t="s">
        <v>1290</v>
      </c>
      <c r="C214" s="1955"/>
      <c r="D214" s="1955"/>
      <c r="E214" s="1955"/>
      <c r="F214" s="1955"/>
      <c r="G214" s="1955"/>
      <c r="I214" s="1954"/>
      <c r="J214" s="1954"/>
      <c r="K214" s="1954"/>
      <c r="L214" s="1043"/>
      <c r="N214" s="1959"/>
      <c r="O214" s="1959"/>
      <c r="P214" s="1959"/>
      <c r="Q214" s="1959"/>
      <c r="R214" s="1959"/>
      <c r="T214" s="2113"/>
      <c r="U214" s="2113"/>
      <c r="V214" s="2113"/>
      <c r="W214" s="2113"/>
      <c r="X214" s="2113"/>
      <c r="Y214" s="2113"/>
      <c r="Z214" s="885"/>
      <c r="AA214" s="885"/>
      <c r="AB214" s="1956">
        <f t="shared" si="0"/>
        <v>0</v>
      </c>
      <c r="AC214" s="1956"/>
      <c r="AD214" s="1956"/>
      <c r="AE214" s="1956"/>
      <c r="AF214" s="1956"/>
      <c r="AG214" s="1956"/>
      <c r="AH214" s="861"/>
      <c r="AI214" s="861"/>
      <c r="AJ214" s="861"/>
      <c r="AK214" s="644"/>
    </row>
    <row r="215" spans="1:37">
      <c r="A215" s="639"/>
      <c r="B215" s="1955" t="s">
        <v>1290</v>
      </c>
      <c r="C215" s="1955"/>
      <c r="D215" s="1955"/>
      <c r="E215" s="1955"/>
      <c r="F215" s="1955"/>
      <c r="G215" s="1955"/>
      <c r="I215" s="1954"/>
      <c r="J215" s="1954"/>
      <c r="K215" s="1954"/>
      <c r="L215" s="1043"/>
      <c r="N215" s="1959"/>
      <c r="O215" s="1959"/>
      <c r="P215" s="1959"/>
      <c r="Q215" s="1959"/>
      <c r="R215" s="1959"/>
      <c r="T215" s="2113"/>
      <c r="U215" s="2113"/>
      <c r="V215" s="2113"/>
      <c r="W215" s="2113"/>
      <c r="X215" s="2113"/>
      <c r="Y215" s="2113"/>
      <c r="Z215" s="885"/>
      <c r="AA215" s="885"/>
      <c r="AB215" s="1956">
        <f t="shared" si="0"/>
        <v>0</v>
      </c>
      <c r="AC215" s="1956"/>
      <c r="AD215" s="1956"/>
      <c r="AE215" s="1956"/>
      <c r="AF215" s="1956"/>
      <c r="AG215" s="1956"/>
      <c r="AH215" s="861"/>
      <c r="AI215" s="861"/>
      <c r="AJ215" s="861"/>
      <c r="AK215" s="644"/>
    </row>
    <row r="216" spans="1:37">
      <c r="A216" s="639"/>
      <c r="B216" s="1955" t="s">
        <v>1290</v>
      </c>
      <c r="C216" s="1955"/>
      <c r="D216" s="1955"/>
      <c r="E216" s="1955"/>
      <c r="F216" s="1955"/>
      <c r="G216" s="1955"/>
      <c r="I216" s="1954"/>
      <c r="J216" s="1954"/>
      <c r="K216" s="1954"/>
      <c r="L216" s="1043"/>
      <c r="N216" s="1959"/>
      <c r="O216" s="1959"/>
      <c r="P216" s="1959"/>
      <c r="Q216" s="1959"/>
      <c r="R216" s="1959"/>
      <c r="T216" s="2113"/>
      <c r="U216" s="2113"/>
      <c r="V216" s="2113"/>
      <c r="W216" s="2113"/>
      <c r="X216" s="2113"/>
      <c r="Y216" s="2113"/>
      <c r="Z216" s="885"/>
      <c r="AA216" s="885"/>
      <c r="AB216" s="1956">
        <f t="shared" si="0"/>
        <v>0</v>
      </c>
      <c r="AC216" s="1956"/>
      <c r="AD216" s="1956"/>
      <c r="AE216" s="1956"/>
      <c r="AF216" s="1956"/>
      <c r="AG216" s="1956"/>
      <c r="AH216" s="861"/>
      <c r="AI216" s="861"/>
      <c r="AJ216" s="861"/>
      <c r="AK216" s="644"/>
    </row>
    <row r="217" spans="1:37">
      <c r="A217" s="639"/>
      <c r="B217" s="1955" t="s">
        <v>1290</v>
      </c>
      <c r="C217" s="1955"/>
      <c r="D217" s="1955"/>
      <c r="E217" s="1955"/>
      <c r="F217" s="1955"/>
      <c r="G217" s="1955"/>
      <c r="I217" s="1954"/>
      <c r="J217" s="1954"/>
      <c r="K217" s="1954"/>
      <c r="L217" s="1050"/>
      <c r="N217" s="1959"/>
      <c r="O217" s="1959"/>
      <c r="P217" s="1959"/>
      <c r="Q217" s="1959"/>
      <c r="R217" s="1959"/>
      <c r="T217" s="2113"/>
      <c r="U217" s="2113"/>
      <c r="V217" s="2113"/>
      <c r="W217" s="2113"/>
      <c r="X217" s="2113"/>
      <c r="Y217" s="2113"/>
      <c r="Z217" s="885"/>
      <c r="AA217" s="885"/>
      <c r="AB217" s="1956">
        <f t="shared" si="0"/>
        <v>0</v>
      </c>
      <c r="AC217" s="1956"/>
      <c r="AD217" s="1956"/>
      <c r="AE217" s="1956"/>
      <c r="AF217" s="1956"/>
      <c r="AG217" s="1956"/>
      <c r="AH217" s="861"/>
      <c r="AI217" s="861"/>
      <c r="AJ217" s="861"/>
      <c r="AK217" s="644"/>
    </row>
    <row r="218" spans="1:37">
      <c r="A218" s="639"/>
      <c r="B218" s="1955" t="s">
        <v>1290</v>
      </c>
      <c r="C218" s="1955"/>
      <c r="D218" s="1955"/>
      <c r="E218" s="1955"/>
      <c r="F218" s="1955"/>
      <c r="G218" s="1955"/>
      <c r="I218" s="1954"/>
      <c r="J218" s="1954"/>
      <c r="K218" s="1954"/>
      <c r="L218" s="1050"/>
      <c r="N218" s="1959"/>
      <c r="O218" s="1959"/>
      <c r="P218" s="1959"/>
      <c r="Q218" s="1959"/>
      <c r="R218" s="1959"/>
      <c r="T218" s="2113"/>
      <c r="U218" s="2113"/>
      <c r="V218" s="2113"/>
      <c r="W218" s="2113"/>
      <c r="X218" s="2113"/>
      <c r="Y218" s="2113"/>
      <c r="Z218" s="885"/>
      <c r="AA218" s="885"/>
      <c r="AB218" s="1956">
        <f t="shared" si="0"/>
        <v>0</v>
      </c>
      <c r="AC218" s="1956"/>
      <c r="AD218" s="1956"/>
      <c r="AE218" s="1956"/>
      <c r="AF218" s="1956"/>
      <c r="AG218" s="1956"/>
      <c r="AH218" s="861"/>
      <c r="AI218" s="861"/>
      <c r="AJ218" s="861"/>
      <c r="AK218" s="644"/>
    </row>
    <row r="219" spans="1:37">
      <c r="A219" s="639"/>
      <c r="B219" s="1955" t="s">
        <v>1290</v>
      </c>
      <c r="C219" s="1955"/>
      <c r="D219" s="1955"/>
      <c r="E219" s="1955"/>
      <c r="F219" s="1955"/>
      <c r="G219" s="1955"/>
      <c r="I219" s="1954"/>
      <c r="J219" s="1954"/>
      <c r="K219" s="1954"/>
      <c r="L219" s="1050"/>
      <c r="N219" s="1959"/>
      <c r="O219" s="1959"/>
      <c r="P219" s="1959"/>
      <c r="Q219" s="1959"/>
      <c r="R219" s="1959"/>
      <c r="T219" s="2113"/>
      <c r="U219" s="2113"/>
      <c r="V219" s="2113"/>
      <c r="W219" s="2113"/>
      <c r="X219" s="2113"/>
      <c r="Y219" s="2113"/>
      <c r="Z219" s="885"/>
      <c r="AA219" s="885"/>
      <c r="AB219" s="1956">
        <f t="shared" si="0"/>
        <v>0</v>
      </c>
      <c r="AC219" s="1956"/>
      <c r="AD219" s="1956"/>
      <c r="AE219" s="1956"/>
      <c r="AF219" s="1956"/>
      <c r="AG219" s="1956"/>
      <c r="AH219" s="861"/>
      <c r="AI219" s="861"/>
      <c r="AJ219" s="861"/>
      <c r="AK219" s="644"/>
    </row>
    <row r="220" spans="1:37">
      <c r="A220" s="639"/>
      <c r="B220" s="1955" t="s">
        <v>1290</v>
      </c>
      <c r="C220" s="1955"/>
      <c r="D220" s="1955"/>
      <c r="E220" s="1955"/>
      <c r="F220" s="1955"/>
      <c r="G220" s="1955"/>
      <c r="I220" s="1954"/>
      <c r="J220" s="1954"/>
      <c r="K220" s="1954"/>
      <c r="L220" s="1050"/>
      <c r="N220" s="1959"/>
      <c r="O220" s="1959"/>
      <c r="P220" s="1959"/>
      <c r="Q220" s="1959"/>
      <c r="R220" s="1959"/>
      <c r="T220" s="2113"/>
      <c r="U220" s="2113"/>
      <c r="V220" s="2113"/>
      <c r="W220" s="2113"/>
      <c r="X220" s="2113"/>
      <c r="Y220" s="2113"/>
      <c r="Z220" s="885"/>
      <c r="AA220" s="885"/>
      <c r="AB220" s="1956">
        <f t="shared" si="0"/>
        <v>0</v>
      </c>
      <c r="AC220" s="1956"/>
      <c r="AD220" s="1956"/>
      <c r="AE220" s="1956"/>
      <c r="AF220" s="1956"/>
      <c r="AG220" s="1956"/>
      <c r="AH220" s="861"/>
      <c r="AI220" s="861"/>
      <c r="AJ220" s="861"/>
      <c r="AK220" s="644"/>
    </row>
    <row r="221" spans="1:37">
      <c r="A221" s="639"/>
      <c r="B221" s="1955" t="s">
        <v>1290</v>
      </c>
      <c r="C221" s="1955"/>
      <c r="D221" s="1955"/>
      <c r="E221" s="1955"/>
      <c r="F221" s="1955"/>
      <c r="G221" s="1955"/>
      <c r="I221" s="1954"/>
      <c r="J221" s="1954"/>
      <c r="K221" s="1954"/>
      <c r="L221" s="1050"/>
      <c r="N221" s="1959"/>
      <c r="O221" s="1959"/>
      <c r="P221" s="1959"/>
      <c r="Q221" s="1959"/>
      <c r="R221" s="1959"/>
      <c r="T221" s="2113"/>
      <c r="U221" s="2113"/>
      <c r="V221" s="2113"/>
      <c r="W221" s="2113"/>
      <c r="X221" s="2113"/>
      <c r="Y221" s="2113"/>
      <c r="Z221" s="885"/>
      <c r="AA221" s="885"/>
      <c r="AB221" s="1956">
        <f t="shared" si="0"/>
        <v>0</v>
      </c>
      <c r="AC221" s="1956"/>
      <c r="AD221" s="1956"/>
      <c r="AE221" s="1956"/>
      <c r="AF221" s="1956"/>
      <c r="AG221" s="1956"/>
      <c r="AH221" s="861"/>
      <c r="AI221" s="861"/>
      <c r="AJ221" s="861"/>
      <c r="AK221" s="644"/>
    </row>
    <row r="222" spans="1:37">
      <c r="A222" s="639"/>
      <c r="B222" s="1955" t="s">
        <v>1290</v>
      </c>
      <c r="C222" s="1955"/>
      <c r="D222" s="1955"/>
      <c r="E222" s="1955"/>
      <c r="F222" s="1955"/>
      <c r="G222" s="1955"/>
      <c r="I222" s="1957"/>
      <c r="J222" s="1957"/>
      <c r="K222" s="1957"/>
      <c r="L222" s="1050"/>
      <c r="N222" s="1959"/>
      <c r="O222" s="1959"/>
      <c r="P222" s="1959"/>
      <c r="Q222" s="1959"/>
      <c r="R222" s="1959"/>
      <c r="T222" s="2113"/>
      <c r="U222" s="2113"/>
      <c r="V222" s="2113"/>
      <c r="W222" s="2113"/>
      <c r="X222" s="2113"/>
      <c r="Y222" s="2113"/>
      <c r="Z222" s="885"/>
      <c r="AA222" s="885"/>
      <c r="AB222" s="2111">
        <f t="shared" si="0"/>
        <v>0</v>
      </c>
      <c r="AC222" s="2111"/>
      <c r="AD222" s="2111"/>
      <c r="AE222" s="2111"/>
      <c r="AF222" s="2111"/>
      <c r="AG222" s="211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6">
        <f>SUM(AB213:AB222)</f>
        <v>0</v>
      </c>
      <c r="AC223" s="1956"/>
      <c r="AD223" s="1956"/>
      <c r="AE223" s="1956"/>
      <c r="AF223" s="1956"/>
      <c r="AG223" s="195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6"/>
      <c r="AC229" s="2116"/>
      <c r="AD229" s="2116"/>
      <c r="AE229" s="2116"/>
      <c r="AF229" s="2116"/>
      <c r="AG229" s="2116"/>
      <c r="AH229" s="644"/>
      <c r="AI229" s="644"/>
      <c r="AJ229" s="644"/>
      <c r="AK229" s="644"/>
    </row>
    <row r="230" spans="1:37" ht="13">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6"/>
      <c r="AC232" s="2116"/>
      <c r="AD232" s="2116"/>
      <c r="AE232" s="2116"/>
      <c r="AF232" s="2116"/>
      <c r="AG232" s="2116"/>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9"/>
      <c r="AC233" s="2139"/>
      <c r="AD233" s="2139"/>
      <c r="AE233" s="2139"/>
      <c r="AF233" s="2139"/>
      <c r="AG233" s="2139"/>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2">
        <f>IFERROR(AB232/AB233,0)</f>
        <v>0</v>
      </c>
      <c r="AC234" s="2122"/>
      <c r="AD234" s="2122"/>
      <c r="AE234" s="2122"/>
      <c r="AF234" s="2122"/>
      <c r="AG234" s="212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1">
        <f>MAX(AB229,AB234)</f>
        <v>0</v>
      </c>
      <c r="AC236" s="2111"/>
      <c r="AD236" s="2111"/>
      <c r="AE236" s="2111"/>
      <c r="AF236" s="2111"/>
      <c r="AG236" s="211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6">
        <f>AB223+AB236</f>
        <v>0</v>
      </c>
      <c r="AC239" s="1956"/>
      <c r="AD239" s="1956"/>
      <c r="AE239" s="1956"/>
      <c r="AF239" s="1956"/>
      <c r="AG239" s="1956"/>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7">
        <v>0.05</v>
      </c>
      <c r="AC240" s="1987"/>
      <c r="AD240" s="1987"/>
      <c r="AE240" s="1987"/>
      <c r="AF240" s="1987"/>
      <c r="AG240" s="1987"/>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8">
        <f>AB239-(AB239*AB240)</f>
        <v>0</v>
      </c>
      <c r="AC241" s="1988"/>
      <c r="AD241" s="1988"/>
      <c r="AE241" s="1988"/>
      <c r="AF241" s="1988"/>
      <c r="AG241" s="1988"/>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6">
        <f>AB241/AB247</f>
        <v>0</v>
      </c>
      <c r="AC243" s="1956"/>
      <c r="AD243" s="1956"/>
      <c r="AE243" s="1956"/>
      <c r="AF243" s="1956"/>
      <c r="AG243" s="195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8">
        <v>15</v>
      </c>
      <c r="AC245" s="1948"/>
      <c r="AD245" s="1948"/>
      <c r="AE245" s="1948"/>
      <c r="AF245" s="1948"/>
      <c r="AG245" s="1948"/>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9">
        <v>0.04</v>
      </c>
      <c r="AC246" s="1989"/>
      <c r="AD246" s="1989"/>
      <c r="AE246" s="1989"/>
      <c r="AF246" s="1989"/>
      <c r="AG246" s="1989"/>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0">
        <v>1.1499999999999999</v>
      </c>
      <c r="AC247" s="1960"/>
      <c r="AD247" s="1960"/>
      <c r="AE247" s="1960"/>
      <c r="AF247" s="1960"/>
      <c r="AG247" s="196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0">
        <f>PV(AB246/12,AB245*12,-AB243/12, ,0)</f>
        <v>0</v>
      </c>
      <c r="AC249" s="1981"/>
      <c r="AD249" s="1981"/>
      <c r="AE249" s="1981"/>
      <c r="AF249" s="1981"/>
      <c r="AG249" s="1982"/>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4">
        <f>IFERROR(('Sources and Uses Budget'!D105/'Sources and Uses Budget'!B105),0)</f>
        <v>0</v>
      </c>
      <c r="AC255" s="1985"/>
      <c r="AD255" s="1985"/>
      <c r="AE255" s="1985"/>
      <c r="AF255" s="1985"/>
      <c r="AG255" s="198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4">
        <f>AD200*(1-AB255)</f>
        <v>8175000</v>
      </c>
      <c r="AH257" s="1974"/>
      <c r="AI257" s="1974"/>
      <c r="AJ257" s="1974"/>
      <c r="AK257" s="1974"/>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4">
        <f>'Sources and Uses Budget'!C105</f>
        <v>66557707.400000006</v>
      </c>
      <c r="AH258" s="1974"/>
      <c r="AI258" s="1974"/>
      <c r="AJ258" s="1974"/>
      <c r="AK258" s="197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5">
        <f>ROUNDDOWN(IF(AND(C281="Yes",AK78=10),((AG257*2)/AG258),AG257/AG258),2)</f>
        <v>0.24</v>
      </c>
      <c r="AH259" s="1975"/>
      <c r="AI259" s="1975"/>
      <c r="AJ259" s="1975"/>
      <c r="AK259" s="1975"/>
    </row>
    <row r="260" spans="1:52" ht="13">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6">
        <f>IFERROR(IF(AG259=0,0,IF((AG259*100)&gt;8,8,(AG259*100))),0)</f>
        <v>8</v>
      </c>
      <c r="AL262" s="1976"/>
      <c r="AM262" s="1977"/>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9" customHeight="1">
      <c r="A267" s="584"/>
      <c r="B267" s="630"/>
      <c r="C267" s="1968" t="s">
        <v>553</v>
      </c>
      <c r="D267" s="1968"/>
      <c r="E267" s="581"/>
      <c r="F267" s="2125" t="s">
        <v>2337</v>
      </c>
      <c r="G267" s="2126"/>
      <c r="H267" s="2126"/>
      <c r="I267" s="2126"/>
      <c r="J267" s="2126"/>
      <c r="K267" s="2126"/>
      <c r="L267" s="2126"/>
      <c r="M267" s="2126"/>
      <c r="N267" s="2126"/>
      <c r="O267" s="2126"/>
      <c r="P267" s="2126"/>
      <c r="Q267" s="2126"/>
      <c r="R267" s="2126"/>
      <c r="S267" s="2126"/>
      <c r="T267" s="2126"/>
      <c r="U267" s="2126"/>
      <c r="V267" s="2126"/>
      <c r="W267" s="2126"/>
      <c r="X267" s="2126"/>
      <c r="Y267" s="2126"/>
      <c r="Z267" s="2126"/>
      <c r="AA267" s="2126"/>
      <c r="AB267" s="2126"/>
      <c r="AC267" s="2126"/>
      <c r="AD267" s="2127"/>
      <c r="AE267" s="584"/>
      <c r="AF267" s="669"/>
      <c r="AG267" s="1969" t="s">
        <v>1472</v>
      </c>
      <c r="AH267" s="1969"/>
      <c r="AI267" s="1969"/>
      <c r="AJ267" s="1969"/>
      <c r="AK267" s="584"/>
      <c r="AL267" s="584"/>
      <c r="AM267" s="584"/>
      <c r="AO267" s="584"/>
    </row>
    <row r="268" spans="1:52" ht="13.9" customHeight="1">
      <c r="A268" s="584"/>
      <c r="B268" s="630"/>
      <c r="C268" s="670"/>
      <c r="D268" s="584"/>
      <c r="E268" s="581"/>
      <c r="F268" s="2128"/>
      <c r="G268" s="2129"/>
      <c r="H268" s="2129"/>
      <c r="I268" s="2129"/>
      <c r="J268" s="2129"/>
      <c r="K268" s="2129"/>
      <c r="L268" s="2129"/>
      <c r="M268" s="2129"/>
      <c r="N268" s="2129"/>
      <c r="O268" s="2129"/>
      <c r="P268" s="2129"/>
      <c r="Q268" s="2129"/>
      <c r="R268" s="2129"/>
      <c r="S268" s="2129"/>
      <c r="T268" s="2129"/>
      <c r="U268" s="2129"/>
      <c r="V268" s="2129"/>
      <c r="W268" s="2129"/>
      <c r="X268" s="2129"/>
      <c r="Y268" s="2129"/>
      <c r="Z268" s="2129"/>
      <c r="AA268" s="2129"/>
      <c r="AB268" s="2129"/>
      <c r="AC268" s="2129"/>
      <c r="AD268" s="2130"/>
      <c r="AE268" s="584"/>
      <c r="AF268" s="669"/>
      <c r="AG268" s="669"/>
      <c r="AH268" s="669"/>
      <c r="AI268" s="669"/>
      <c r="AJ268" s="584"/>
      <c r="AK268" s="584"/>
      <c r="AL268" s="584"/>
      <c r="AM268" s="584"/>
      <c r="AO268" s="584"/>
    </row>
    <row r="269" spans="1:52">
      <c r="A269" s="584"/>
      <c r="B269" s="630"/>
      <c r="C269" s="670"/>
      <c r="D269" s="584"/>
      <c r="E269" s="581"/>
      <c r="F269" s="2128"/>
      <c r="G269" s="2129"/>
      <c r="H269" s="2129"/>
      <c r="I269" s="2129"/>
      <c r="J269" s="2129"/>
      <c r="K269" s="2129"/>
      <c r="L269" s="2129"/>
      <c r="M269" s="2129"/>
      <c r="N269" s="2129"/>
      <c r="O269" s="2129"/>
      <c r="P269" s="2129"/>
      <c r="Q269" s="2129"/>
      <c r="R269" s="2129"/>
      <c r="S269" s="2129"/>
      <c r="T269" s="2129"/>
      <c r="U269" s="2129"/>
      <c r="V269" s="2129"/>
      <c r="W269" s="2129"/>
      <c r="X269" s="2129"/>
      <c r="Y269" s="2129"/>
      <c r="Z269" s="2129"/>
      <c r="AA269" s="2129"/>
      <c r="AB269" s="2129"/>
      <c r="AC269" s="2129"/>
      <c r="AD269" s="2130"/>
      <c r="AE269" s="584"/>
      <c r="AF269" s="669"/>
      <c r="AG269" s="669"/>
      <c r="AH269" s="669"/>
      <c r="AI269" s="669"/>
      <c r="AJ269" s="584"/>
      <c r="AK269" s="584"/>
      <c r="AL269" s="584"/>
      <c r="AM269" s="584"/>
      <c r="AO269" s="584"/>
      <c r="AP269" s="671"/>
    </row>
    <row r="270" spans="1:52">
      <c r="A270" s="584"/>
      <c r="B270" s="630"/>
      <c r="C270" s="670"/>
      <c r="D270" s="584"/>
      <c r="E270" s="581"/>
      <c r="F270" s="2128"/>
      <c r="G270" s="2129"/>
      <c r="H270" s="2129"/>
      <c r="I270" s="2129"/>
      <c r="J270" s="2129"/>
      <c r="K270" s="2129"/>
      <c r="L270" s="2129"/>
      <c r="M270" s="2129"/>
      <c r="N270" s="2129"/>
      <c r="O270" s="2129"/>
      <c r="P270" s="2129"/>
      <c r="Q270" s="2129"/>
      <c r="R270" s="2129"/>
      <c r="S270" s="2129"/>
      <c r="T270" s="2129"/>
      <c r="U270" s="2129"/>
      <c r="V270" s="2129"/>
      <c r="W270" s="2129"/>
      <c r="X270" s="2129"/>
      <c r="Y270" s="2129"/>
      <c r="Z270" s="2129"/>
      <c r="AA270" s="2129"/>
      <c r="AB270" s="2129"/>
      <c r="AC270" s="2129"/>
      <c r="AD270" s="2130"/>
      <c r="AE270" s="584"/>
      <c r="AF270" s="669"/>
      <c r="AG270" s="669"/>
      <c r="AH270" s="669"/>
      <c r="AI270" s="669"/>
      <c r="AJ270" s="584"/>
      <c r="AK270" s="584"/>
      <c r="AL270" s="584"/>
      <c r="AM270" s="584"/>
      <c r="AO270" s="584"/>
      <c r="AP270" s="671"/>
    </row>
    <row r="271" spans="1:52" ht="13.9" customHeight="1">
      <c r="A271" s="584"/>
      <c r="B271" s="630"/>
      <c r="C271" s="1970"/>
      <c r="D271" s="1970"/>
      <c r="E271" s="581"/>
      <c r="F271" s="2131"/>
      <c r="G271" s="2132"/>
      <c r="H271" s="2132"/>
      <c r="I271" s="2132"/>
      <c r="J271" s="2132"/>
      <c r="K271" s="2132"/>
      <c r="L271" s="2132"/>
      <c r="M271" s="2132"/>
      <c r="N271" s="2132"/>
      <c r="O271" s="2132"/>
      <c r="P271" s="2132"/>
      <c r="Q271" s="2132"/>
      <c r="R271" s="2132"/>
      <c r="S271" s="2132"/>
      <c r="T271" s="2132"/>
      <c r="U271" s="2132"/>
      <c r="V271" s="2132"/>
      <c r="W271" s="2132"/>
      <c r="X271" s="2132"/>
      <c r="Y271" s="2132"/>
      <c r="Z271" s="2132"/>
      <c r="AA271" s="2132"/>
      <c r="AB271" s="2132"/>
      <c r="AC271" s="2132"/>
      <c r="AD271" s="2133"/>
      <c r="AE271" s="584"/>
      <c r="AF271" s="669"/>
      <c r="AG271" s="1969"/>
      <c r="AH271" s="1969"/>
      <c r="AI271" s="1969"/>
      <c r="AJ271" s="1969"/>
      <c r="AK271" s="584"/>
      <c r="AL271" s="584"/>
      <c r="AM271" s="584"/>
    </row>
    <row r="272" spans="1:52" ht="13.9"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6">
        <f>IF($C$267="yes",10,0)</f>
        <v>10</v>
      </c>
      <c r="AL274" s="1976"/>
      <c r="AM274" s="1977"/>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1489</v>
      </c>
      <c r="B277" s="572" t="s">
        <v>2043</v>
      </c>
      <c r="AH277" s="625" t="s">
        <v>1423</v>
      </c>
    </row>
    <row r="278" spans="1:49" ht="15" customHeight="1">
      <c r="B278" s="573"/>
    </row>
    <row r="279" spans="1:49" ht="15" customHeight="1">
      <c r="B279" s="573" t="s">
        <v>1916</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3" t="s">
        <v>1491</v>
      </c>
      <c r="B281" s="1643"/>
      <c r="C281" s="1964" t="s">
        <v>553</v>
      </c>
      <c r="D281" s="1968"/>
      <c r="E281" s="581"/>
      <c r="F281" s="1996" t="s">
        <v>1492</v>
      </c>
      <c r="G281" s="1997"/>
      <c r="H281" s="1997"/>
      <c r="I281" s="1997"/>
      <c r="J281" s="1997"/>
      <c r="K281" s="1997"/>
      <c r="L281" s="1997"/>
      <c r="M281" s="1997"/>
      <c r="N281" s="1997"/>
      <c r="O281" s="1997"/>
      <c r="P281" s="1997"/>
      <c r="Q281" s="1997"/>
      <c r="R281" s="1997"/>
      <c r="S281" s="1997"/>
      <c r="T281" s="1997"/>
      <c r="U281" s="1997"/>
      <c r="V281" s="1997"/>
      <c r="W281" s="1997"/>
      <c r="X281" s="1997"/>
      <c r="Y281" s="1997"/>
      <c r="Z281" s="1997"/>
      <c r="AA281" s="1997"/>
      <c r="AB281" s="1997"/>
      <c r="AC281" s="1997"/>
      <c r="AD281" s="1998"/>
      <c r="AE281" s="676"/>
      <c r="AF281" s="584"/>
      <c r="AG281" s="1999" t="s">
        <v>2330</v>
      </c>
      <c r="AH281" s="1999"/>
      <c r="AI281" s="1999"/>
      <c r="AJ281" s="1999"/>
      <c r="AK281" s="1999"/>
      <c r="AL281" s="584"/>
      <c r="AM281" s="584"/>
      <c r="AN281" s="73"/>
      <c r="AO281" s="14"/>
      <c r="AP281" s="30"/>
      <c r="AS281" s="604"/>
      <c r="AT281" s="604"/>
      <c r="AU281" s="604"/>
      <c r="AV281" s="32"/>
      <c r="AW281" s="32"/>
    </row>
    <row r="282" spans="1:49" ht="13">
      <c r="A282" s="674"/>
      <c r="B282" s="630"/>
      <c r="F282" s="1990"/>
      <c r="G282" s="1991"/>
      <c r="H282" s="1991"/>
      <c r="I282" s="1991"/>
      <c r="J282" s="1991"/>
      <c r="K282" s="1991"/>
      <c r="L282" s="1991"/>
      <c r="M282" s="1991"/>
      <c r="N282" s="1991"/>
      <c r="O282" s="1991"/>
      <c r="P282" s="1991"/>
      <c r="Q282" s="1991"/>
      <c r="R282" s="1991"/>
      <c r="S282" s="1991"/>
      <c r="T282" s="1991"/>
      <c r="U282" s="1991"/>
      <c r="V282" s="1991"/>
      <c r="W282" s="1991"/>
      <c r="X282" s="1991"/>
      <c r="Y282" s="1991"/>
      <c r="Z282" s="1991"/>
      <c r="AA282" s="1991"/>
      <c r="AB282" s="1991"/>
      <c r="AC282" s="1991"/>
      <c r="AD282" s="1992"/>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90"/>
      <c r="G283" s="1991"/>
      <c r="H283" s="1991"/>
      <c r="I283" s="1991"/>
      <c r="J283" s="1991"/>
      <c r="K283" s="1991"/>
      <c r="L283" s="1991"/>
      <c r="M283" s="1991"/>
      <c r="N283" s="1991"/>
      <c r="O283" s="1991"/>
      <c r="P283" s="1991"/>
      <c r="Q283" s="1991"/>
      <c r="R283" s="1991"/>
      <c r="S283" s="1991"/>
      <c r="T283" s="1991"/>
      <c r="U283" s="1991"/>
      <c r="V283" s="1991"/>
      <c r="W283" s="1991"/>
      <c r="X283" s="1991"/>
      <c r="Y283" s="1991"/>
      <c r="Z283" s="1991"/>
      <c r="AA283" s="1991"/>
      <c r="AB283" s="1991"/>
      <c r="AC283" s="1991"/>
      <c r="AD283" s="199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90" t="s">
        <v>2338</v>
      </c>
      <c r="G284" s="1991"/>
      <c r="H284" s="1991"/>
      <c r="I284" s="1991"/>
      <c r="J284" s="1991"/>
      <c r="K284" s="1991"/>
      <c r="L284" s="1991"/>
      <c r="M284" s="1991"/>
      <c r="N284" s="1991"/>
      <c r="O284" s="1991"/>
      <c r="P284" s="1991"/>
      <c r="Q284" s="1991"/>
      <c r="R284" s="1991"/>
      <c r="S284" s="1991"/>
      <c r="T284" s="1991"/>
      <c r="U284" s="1991"/>
      <c r="V284" s="1991"/>
      <c r="W284" s="1991"/>
      <c r="X284" s="1991"/>
      <c r="Y284" s="1991"/>
      <c r="Z284" s="1991"/>
      <c r="AA284" s="1991"/>
      <c r="AB284" s="1991"/>
      <c r="AC284" s="1991"/>
      <c r="AD284" s="1992"/>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ht="13">
      <c r="A285" s="674"/>
      <c r="B285" s="630"/>
      <c r="F285" s="1990"/>
      <c r="G285" s="1991"/>
      <c r="H285" s="1991"/>
      <c r="I285" s="1991"/>
      <c r="J285" s="1991"/>
      <c r="K285" s="1991"/>
      <c r="L285" s="1991"/>
      <c r="M285" s="1991"/>
      <c r="N285" s="1991"/>
      <c r="O285" s="1991"/>
      <c r="P285" s="1991"/>
      <c r="Q285" s="1991"/>
      <c r="R285" s="1991"/>
      <c r="S285" s="1991"/>
      <c r="T285" s="1991"/>
      <c r="U285" s="1991"/>
      <c r="V285" s="1991"/>
      <c r="W285" s="1991"/>
      <c r="X285" s="1991"/>
      <c r="Y285" s="1991"/>
      <c r="Z285" s="1991"/>
      <c r="AA285" s="1991"/>
      <c r="AB285" s="1991"/>
      <c r="AC285" s="1991"/>
      <c r="AD285" s="199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0" t="s">
        <v>1493</v>
      </c>
      <c r="G286" s="1991"/>
      <c r="H286" s="1991"/>
      <c r="I286" s="1991"/>
      <c r="J286" s="1991"/>
      <c r="K286" s="1991"/>
      <c r="L286" s="1991"/>
      <c r="M286" s="1991"/>
      <c r="N286" s="1991"/>
      <c r="O286" s="1991"/>
      <c r="P286" s="1991"/>
      <c r="Q286" s="1991"/>
      <c r="R286" s="1991"/>
      <c r="S286" s="1991"/>
      <c r="T286" s="1991"/>
      <c r="U286" s="1991"/>
      <c r="V286" s="1991"/>
      <c r="W286" s="1991"/>
      <c r="X286" s="1991"/>
      <c r="Y286" s="1991"/>
      <c r="Z286" s="1991"/>
      <c r="AA286" s="1991"/>
      <c r="AB286" s="1991"/>
      <c r="AC286" s="1991"/>
      <c r="AD286" s="199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0"/>
      <c r="G287" s="1991"/>
      <c r="H287" s="1991"/>
      <c r="I287" s="1991"/>
      <c r="J287" s="1991"/>
      <c r="K287" s="1991"/>
      <c r="L287" s="1991"/>
      <c r="M287" s="1991"/>
      <c r="N287" s="1991"/>
      <c r="O287" s="1991"/>
      <c r="P287" s="1991"/>
      <c r="Q287" s="1991"/>
      <c r="R287" s="1991"/>
      <c r="S287" s="1991"/>
      <c r="T287" s="1991"/>
      <c r="U287" s="1991"/>
      <c r="V287" s="1991"/>
      <c r="W287" s="1991"/>
      <c r="X287" s="1991"/>
      <c r="Y287" s="1991"/>
      <c r="Z287" s="1991"/>
      <c r="AA287" s="1991"/>
      <c r="AB287" s="1991"/>
      <c r="AC287" s="1991"/>
      <c r="AD287" s="199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0" t="s">
        <v>1494</v>
      </c>
      <c r="G288" s="1991"/>
      <c r="H288" s="1991"/>
      <c r="I288" s="1991"/>
      <c r="J288" s="1991"/>
      <c r="K288" s="1991"/>
      <c r="L288" s="1991"/>
      <c r="M288" s="1991"/>
      <c r="N288" s="1991"/>
      <c r="O288" s="1991"/>
      <c r="P288" s="1991"/>
      <c r="Q288" s="1991"/>
      <c r="R288" s="1991"/>
      <c r="S288" s="1991"/>
      <c r="T288" s="1991"/>
      <c r="U288" s="1991"/>
      <c r="V288" s="1991"/>
      <c r="W288" s="1991"/>
      <c r="X288" s="1991"/>
      <c r="Y288" s="1991"/>
      <c r="Z288" s="1991"/>
      <c r="AA288" s="1991"/>
      <c r="AB288" s="1991"/>
      <c r="AC288" s="1991"/>
      <c r="AD288" s="199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3"/>
      <c r="G289" s="1994"/>
      <c r="H289" s="1994"/>
      <c r="I289" s="1994"/>
      <c r="J289" s="1994"/>
      <c r="K289" s="1994"/>
      <c r="L289" s="1994"/>
      <c r="M289" s="1994"/>
      <c r="N289" s="1994"/>
      <c r="O289" s="1994"/>
      <c r="P289" s="1994"/>
      <c r="Q289" s="1994"/>
      <c r="R289" s="1994"/>
      <c r="S289" s="1994"/>
      <c r="T289" s="1994"/>
      <c r="U289" s="1994"/>
      <c r="V289" s="1994"/>
      <c r="W289" s="1994"/>
      <c r="X289" s="1994"/>
      <c r="Y289" s="1994"/>
      <c r="Z289" s="1994"/>
      <c r="AA289" s="1994"/>
      <c r="AB289" s="1994"/>
      <c r="AC289" s="1994"/>
      <c r="AD289" s="199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3" t="s">
        <v>1495</v>
      </c>
      <c r="B291" s="1643"/>
      <c r="C291" s="1968" t="s">
        <v>599</v>
      </c>
      <c r="D291" s="1968"/>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902" t="s">
        <v>2332</v>
      </c>
      <c r="G292" s="1903"/>
      <c r="H292" s="1903"/>
      <c r="I292" s="1903"/>
      <c r="J292" s="1903"/>
      <c r="K292" s="1903"/>
      <c r="L292" s="1903"/>
      <c r="M292" s="1903"/>
      <c r="N292" s="1903"/>
      <c r="O292" s="1903"/>
      <c r="P292" s="1903"/>
      <c r="Q292" s="1903"/>
      <c r="R292" s="1903"/>
      <c r="S292" s="1903"/>
      <c r="T292" s="1903"/>
      <c r="U292" s="1903"/>
      <c r="V292" s="1903"/>
      <c r="W292" s="1903"/>
      <c r="X292" s="1903"/>
      <c r="Y292" s="1903"/>
      <c r="Z292" s="1903"/>
      <c r="AA292" s="1903"/>
      <c r="AB292" s="1903"/>
      <c r="AC292" s="1903"/>
      <c r="AD292" s="1904"/>
      <c r="AE292" s="585"/>
      <c r="AF292" s="585"/>
      <c r="AG292" s="585"/>
      <c r="AH292" s="585"/>
      <c r="AI292" s="585"/>
      <c r="AJ292" s="584"/>
      <c r="AK292" s="584"/>
      <c r="AL292" s="584"/>
      <c r="AM292" s="584"/>
      <c r="AR292" s="682"/>
    </row>
    <row r="293" spans="1:49" ht="15" customHeight="1">
      <c r="A293" s="584"/>
      <c r="B293" s="585"/>
      <c r="C293" s="584"/>
      <c r="D293" s="585"/>
      <c r="E293" s="584"/>
      <c r="F293" s="1902"/>
      <c r="G293" s="1903"/>
      <c r="H293" s="1903"/>
      <c r="I293" s="1903"/>
      <c r="J293" s="1903"/>
      <c r="K293" s="1903"/>
      <c r="L293" s="1903"/>
      <c r="M293" s="1903"/>
      <c r="N293" s="1903"/>
      <c r="O293" s="1903"/>
      <c r="P293" s="1903"/>
      <c r="Q293" s="1903"/>
      <c r="R293" s="1903"/>
      <c r="S293" s="1903"/>
      <c r="T293" s="1903"/>
      <c r="U293" s="1903"/>
      <c r="V293" s="1903"/>
      <c r="W293" s="1903"/>
      <c r="X293" s="1903"/>
      <c r="Y293" s="1903"/>
      <c r="Z293" s="1903"/>
      <c r="AA293" s="1903"/>
      <c r="AB293" s="1903"/>
      <c r="AC293" s="1903"/>
      <c r="AD293" s="1904"/>
      <c r="AE293" s="585"/>
      <c r="AF293" s="585"/>
      <c r="AG293" s="585"/>
      <c r="AH293" s="585"/>
      <c r="AI293" s="585"/>
      <c r="AJ293" s="584"/>
      <c r="AK293" s="584"/>
      <c r="AL293" s="584"/>
      <c r="AM293" s="584"/>
      <c r="AR293" s="682"/>
    </row>
    <row r="294" spans="1:49">
      <c r="A294" s="584"/>
      <c r="B294" s="585"/>
      <c r="C294" s="584"/>
      <c r="D294" s="585"/>
      <c r="E294" s="584"/>
      <c r="F294" s="1902"/>
      <c r="G294" s="1903"/>
      <c r="H294" s="1903"/>
      <c r="I294" s="1903"/>
      <c r="J294" s="1903"/>
      <c r="K294" s="1903"/>
      <c r="L294" s="1903"/>
      <c r="M294" s="1903"/>
      <c r="N294" s="1903"/>
      <c r="O294" s="1903"/>
      <c r="P294" s="1903"/>
      <c r="Q294" s="1903"/>
      <c r="R294" s="1903"/>
      <c r="S294" s="1903"/>
      <c r="T294" s="1903"/>
      <c r="U294" s="1903"/>
      <c r="V294" s="1903"/>
      <c r="W294" s="1903"/>
      <c r="X294" s="1903"/>
      <c r="Y294" s="1903"/>
      <c r="Z294" s="1903"/>
      <c r="AA294" s="1903"/>
      <c r="AB294" s="1903"/>
      <c r="AC294" s="1903"/>
      <c r="AD294" s="190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9"/>
      <c r="G295" s="1900"/>
      <c r="H295" s="1900"/>
      <c r="I295" s="1900"/>
      <c r="J295" s="1900"/>
      <c r="K295" s="1900"/>
      <c r="L295" s="1900"/>
      <c r="M295" s="1900"/>
      <c r="N295" s="1900"/>
      <c r="O295" s="1900"/>
      <c r="P295" s="1900"/>
      <c r="Q295" s="1900"/>
      <c r="R295" s="1900"/>
      <c r="S295" s="1900"/>
      <c r="T295" s="1900"/>
      <c r="U295" s="1900"/>
      <c r="V295" s="1900"/>
      <c r="W295" s="1900"/>
      <c r="X295" s="1900"/>
      <c r="Y295" s="1900"/>
      <c r="Z295" s="1900"/>
      <c r="AA295" s="1900"/>
      <c r="AB295" s="1900"/>
      <c r="AC295" s="1900"/>
      <c r="AD295" s="190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43" t="s">
        <v>1498</v>
      </c>
      <c r="B299" s="1643"/>
      <c r="C299" s="1968" t="s">
        <v>599</v>
      </c>
      <c r="D299" s="1968"/>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t="13" hidden="1">
      <c r="A300" s="89"/>
      <c r="B300" s="89"/>
      <c r="C300" s="764"/>
      <c r="D300" s="764"/>
      <c r="E300" s="581"/>
      <c r="F300" s="1990" t="s">
        <v>2339</v>
      </c>
      <c r="G300" s="1991"/>
      <c r="H300" s="1991"/>
      <c r="I300" s="1991"/>
      <c r="J300" s="1991"/>
      <c r="K300" s="1991"/>
      <c r="L300" s="1991"/>
      <c r="M300" s="1991"/>
      <c r="N300" s="1991"/>
      <c r="O300" s="1991"/>
      <c r="P300" s="1991"/>
      <c r="Q300" s="1991"/>
      <c r="R300" s="1991"/>
      <c r="S300" s="1991"/>
      <c r="T300" s="1991"/>
      <c r="U300" s="1991"/>
      <c r="V300" s="1991"/>
      <c r="W300" s="1991"/>
      <c r="X300" s="1991"/>
      <c r="Y300" s="1991"/>
      <c r="Z300" s="1991"/>
      <c r="AA300" s="1991"/>
      <c r="AB300" s="1991"/>
      <c r="AC300" s="1991"/>
      <c r="AD300" s="1992"/>
      <c r="AE300" s="585"/>
      <c r="AF300" s="585"/>
      <c r="AG300" s="573"/>
      <c r="AH300" s="585"/>
      <c r="AI300" s="585"/>
      <c r="AJ300" s="584"/>
      <c r="AK300" s="584"/>
      <c r="AL300" s="584"/>
      <c r="AM300" s="584"/>
      <c r="AN300" s="73"/>
      <c r="AO300" s="14"/>
      <c r="AP300" s="591" t="s">
        <v>1290</v>
      </c>
    </row>
    <row r="301" spans="1:49" hidden="1">
      <c r="F301" s="1990"/>
      <c r="G301" s="1991"/>
      <c r="H301" s="1991"/>
      <c r="I301" s="1991"/>
      <c r="J301" s="1991"/>
      <c r="K301" s="1991"/>
      <c r="L301" s="1991"/>
      <c r="M301" s="1991"/>
      <c r="N301" s="1991"/>
      <c r="O301" s="1991"/>
      <c r="P301" s="1991"/>
      <c r="Q301" s="1991"/>
      <c r="R301" s="1991"/>
      <c r="S301" s="1991"/>
      <c r="T301" s="1991"/>
      <c r="U301" s="1991"/>
      <c r="V301" s="1991"/>
      <c r="W301" s="1991"/>
      <c r="X301" s="1991"/>
      <c r="Y301" s="1991"/>
      <c r="Z301" s="1991"/>
      <c r="AA301" s="1991"/>
      <c r="AB301" s="1991"/>
      <c r="AC301" s="1991"/>
      <c r="AD301" s="1992"/>
      <c r="AE301" s="585"/>
      <c r="AF301" s="585"/>
      <c r="AH301" s="585"/>
      <c r="AI301" s="585"/>
      <c r="AJ301" s="584"/>
      <c r="AK301" s="584"/>
      <c r="AL301" s="584"/>
      <c r="AM301" s="584"/>
      <c r="AN301" s="73"/>
      <c r="AO301" s="14"/>
      <c r="AP301" s="591" t="s">
        <v>1918</v>
      </c>
    </row>
    <row r="302" spans="1:49" ht="13"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0" t="s">
        <v>1290</v>
      </c>
      <c r="G305" s="2001"/>
      <c r="H305" s="2001"/>
      <c r="I305" s="2001"/>
      <c r="J305" s="2001"/>
      <c r="K305" s="2001"/>
      <c r="L305" s="2001"/>
      <c r="M305" s="2001"/>
      <c r="N305" s="2001"/>
      <c r="O305" s="2001"/>
      <c r="P305" s="2001"/>
      <c r="Q305" s="2001"/>
      <c r="R305" s="2001"/>
      <c r="S305" s="2001"/>
      <c r="T305" s="2001"/>
      <c r="U305" s="2001"/>
      <c r="V305" s="2001"/>
      <c r="W305" s="2001"/>
      <c r="X305" s="2001"/>
      <c r="Y305" s="2001"/>
      <c r="Z305" s="2001"/>
      <c r="AA305" s="2001"/>
      <c r="AB305" s="2001"/>
      <c r="AC305" s="2001"/>
      <c r="AD305" s="2002"/>
      <c r="AE305" s="676"/>
      <c r="AF305" s="676"/>
      <c r="AG305" s="676"/>
      <c r="AH305" s="676"/>
      <c r="AI305" s="676"/>
      <c r="AJ305" s="676"/>
      <c r="AK305" s="676"/>
      <c r="AL305" s="584"/>
      <c r="AM305" s="584"/>
      <c r="AN305" s="73"/>
      <c r="AO305" s="14"/>
      <c r="AP305" s="30"/>
    </row>
    <row r="306" spans="1:42" ht="13" hidden="1">
      <c r="A306" s="584"/>
      <c r="B306" s="585"/>
      <c r="C306" s="764"/>
      <c r="D306" s="764"/>
      <c r="E306" s="581"/>
      <c r="F306" s="2000"/>
      <c r="G306" s="2001"/>
      <c r="H306" s="2001"/>
      <c r="I306" s="2001"/>
      <c r="J306" s="2001"/>
      <c r="K306" s="2001"/>
      <c r="L306" s="2001"/>
      <c r="M306" s="2001"/>
      <c r="N306" s="2001"/>
      <c r="O306" s="2001"/>
      <c r="P306" s="2001"/>
      <c r="Q306" s="2001"/>
      <c r="R306" s="2001"/>
      <c r="S306" s="2001"/>
      <c r="T306" s="2001"/>
      <c r="U306" s="2001"/>
      <c r="V306" s="2001"/>
      <c r="W306" s="2001"/>
      <c r="X306" s="2001"/>
      <c r="Y306" s="2001"/>
      <c r="Z306" s="2001"/>
      <c r="AA306" s="2001"/>
      <c r="AB306" s="2001"/>
      <c r="AC306" s="2001"/>
      <c r="AD306" s="2002"/>
      <c r="AE306" s="585"/>
      <c r="AF306" s="585"/>
      <c r="AG306" s="573"/>
      <c r="AH306" s="585"/>
      <c r="AI306" s="585"/>
      <c r="AJ306" s="584"/>
      <c r="AK306" s="584"/>
      <c r="AL306" s="584"/>
      <c r="AM306" s="584"/>
      <c r="AN306" s="73"/>
      <c r="AO306" s="14"/>
      <c r="AP306" s="30"/>
    </row>
    <row r="307" spans="1:42" ht="13" hidden="1">
      <c r="A307" s="584"/>
      <c r="B307" s="585"/>
      <c r="C307" s="764"/>
      <c r="D307" s="764"/>
      <c r="E307" s="581"/>
      <c r="F307" s="2000"/>
      <c r="G307" s="2001"/>
      <c r="H307" s="2001"/>
      <c r="I307" s="2001"/>
      <c r="J307" s="2001"/>
      <c r="K307" s="2001"/>
      <c r="L307" s="2001"/>
      <c r="M307" s="2001"/>
      <c r="N307" s="2001"/>
      <c r="O307" s="2001"/>
      <c r="P307" s="2001"/>
      <c r="Q307" s="2001"/>
      <c r="R307" s="2001"/>
      <c r="S307" s="2001"/>
      <c r="T307" s="2001"/>
      <c r="U307" s="2001"/>
      <c r="V307" s="2001"/>
      <c r="W307" s="2001"/>
      <c r="X307" s="2001"/>
      <c r="Y307" s="2001"/>
      <c r="Z307" s="2001"/>
      <c r="AA307" s="2001"/>
      <c r="AB307" s="2001"/>
      <c r="AC307" s="2001"/>
      <c r="AD307" s="2002"/>
      <c r="AE307" s="585"/>
      <c r="AF307" s="585"/>
      <c r="AG307" s="573"/>
      <c r="AH307" s="585"/>
      <c r="AI307" s="585"/>
      <c r="AJ307" s="584"/>
      <c r="AK307" s="584"/>
      <c r="AL307" s="584"/>
      <c r="AM307" s="584"/>
      <c r="AN307" s="73"/>
      <c r="AO307" s="14"/>
      <c r="AP307" s="30"/>
    </row>
    <row r="308" spans="1:42" ht="13" hidden="1">
      <c r="A308" s="584"/>
      <c r="B308" s="585"/>
      <c r="C308" s="764"/>
      <c r="D308" s="764"/>
      <c r="E308" s="581"/>
      <c r="F308" s="2000"/>
      <c r="G308" s="2001"/>
      <c r="H308" s="2001"/>
      <c r="I308" s="2001"/>
      <c r="J308" s="2001"/>
      <c r="K308" s="2001"/>
      <c r="L308" s="2001"/>
      <c r="M308" s="2001"/>
      <c r="N308" s="2001"/>
      <c r="O308" s="2001"/>
      <c r="P308" s="2001"/>
      <c r="Q308" s="2001"/>
      <c r="R308" s="2001"/>
      <c r="S308" s="2001"/>
      <c r="T308" s="2001"/>
      <c r="U308" s="2001"/>
      <c r="V308" s="2001"/>
      <c r="W308" s="2001"/>
      <c r="X308" s="2001"/>
      <c r="Y308" s="2001"/>
      <c r="Z308" s="2001"/>
      <c r="AA308" s="2001"/>
      <c r="AB308" s="2001"/>
      <c r="AC308" s="2001"/>
      <c r="AD308" s="2002"/>
      <c r="AE308" s="585"/>
      <c r="AF308" s="585"/>
      <c r="AG308" s="573"/>
      <c r="AH308" s="585"/>
      <c r="AI308" s="585"/>
      <c r="AJ308" s="584"/>
      <c r="AK308" s="584"/>
      <c r="AL308" s="584"/>
      <c r="AM308" s="584"/>
      <c r="AN308" s="73"/>
      <c r="AO308" s="14"/>
      <c r="AP308" s="30"/>
    </row>
    <row r="309" spans="1:42" ht="13" hidden="1">
      <c r="A309" s="584"/>
      <c r="B309" s="585"/>
      <c r="C309" s="764"/>
      <c r="D309" s="764"/>
      <c r="E309" s="581"/>
      <c r="F309" s="2003"/>
      <c r="G309" s="2004"/>
      <c r="H309" s="2004"/>
      <c r="I309" s="2004"/>
      <c r="J309" s="2004"/>
      <c r="K309" s="2004"/>
      <c r="L309" s="2004"/>
      <c r="M309" s="2004"/>
      <c r="N309" s="2004"/>
      <c r="O309" s="2004"/>
      <c r="P309" s="2004"/>
      <c r="Q309" s="2004"/>
      <c r="R309" s="2004"/>
      <c r="S309" s="2004"/>
      <c r="T309" s="2004"/>
      <c r="U309" s="2004"/>
      <c r="V309" s="2004"/>
      <c r="W309" s="2004"/>
      <c r="X309" s="2004"/>
      <c r="Y309" s="2004"/>
      <c r="Z309" s="2004"/>
      <c r="AA309" s="2004"/>
      <c r="AB309" s="2004"/>
      <c r="AC309" s="2004"/>
      <c r="AD309" s="2005"/>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6" t="s">
        <v>1290</v>
      </c>
      <c r="J313" s="2006"/>
      <c r="K313" s="2006"/>
      <c r="L313" s="2006"/>
      <c r="M313" s="2006"/>
      <c r="N313" s="2006"/>
      <c r="O313" s="2006"/>
      <c r="P313" s="2006"/>
      <c r="Q313" s="2006"/>
      <c r="R313" s="2006"/>
      <c r="S313" s="2006"/>
      <c r="T313" s="2006"/>
      <c r="U313" s="2006"/>
      <c r="V313" s="2006"/>
      <c r="W313" s="2006"/>
      <c r="X313" s="2006"/>
      <c r="Y313" s="2006"/>
      <c r="Z313" s="2006"/>
      <c r="AA313" s="2006"/>
      <c r="AB313" s="2006"/>
      <c r="AC313" s="2006"/>
      <c r="AD313" s="2007"/>
      <c r="AE313" s="585"/>
      <c r="AF313" s="585"/>
      <c r="AG313" s="573"/>
      <c r="AH313" s="585"/>
      <c r="AI313" s="585"/>
      <c r="AJ313" s="584"/>
      <c r="AK313" s="584"/>
      <c r="AL313" s="584"/>
      <c r="AM313" s="584"/>
      <c r="AN313" s="73"/>
      <c r="AO313" s="14"/>
      <c r="AP313" s="591" t="s">
        <v>1748</v>
      </c>
    </row>
    <row r="314" spans="1:42" ht="13" hidden="1">
      <c r="A314" s="584"/>
      <c r="B314" s="585"/>
      <c r="C314" s="764"/>
      <c r="D314" s="764"/>
      <c r="E314" s="581"/>
      <c r="F314" s="690"/>
      <c r="G314" s="609"/>
      <c r="H314" s="609"/>
      <c r="I314" s="2006"/>
      <c r="J314" s="2006"/>
      <c r="K314" s="2006"/>
      <c r="L314" s="2006"/>
      <c r="M314" s="2006"/>
      <c r="N314" s="2006"/>
      <c r="O314" s="2006"/>
      <c r="P314" s="2006"/>
      <c r="Q314" s="2006"/>
      <c r="R314" s="2006"/>
      <c r="S314" s="2006"/>
      <c r="T314" s="2006"/>
      <c r="U314" s="2006"/>
      <c r="V314" s="2006"/>
      <c r="W314" s="2006"/>
      <c r="X314" s="2006"/>
      <c r="Y314" s="2006"/>
      <c r="Z314" s="2006"/>
      <c r="AA314" s="2006"/>
      <c r="AB314" s="2006"/>
      <c r="AC314" s="2006"/>
      <c r="AD314" s="2007"/>
      <c r="AE314" s="585"/>
      <c r="AF314" s="585"/>
      <c r="AG314" s="573"/>
      <c r="AH314" s="585"/>
      <c r="AI314" s="585"/>
      <c r="AJ314" s="584"/>
      <c r="AK314" s="584"/>
      <c r="AL314" s="584"/>
      <c r="AM314" s="584"/>
      <c r="AN314" s="73"/>
      <c r="AO314" s="14"/>
      <c r="AP314" s="591" t="s">
        <v>1921</v>
      </c>
    </row>
    <row r="315" spans="1:42" ht="13" hidden="1">
      <c r="A315" s="584"/>
      <c r="B315" s="585"/>
      <c r="C315" s="685"/>
      <c r="D315" s="685"/>
      <c r="E315" s="581"/>
      <c r="F315" s="690"/>
      <c r="G315" s="609"/>
      <c r="H315" s="609"/>
      <c r="I315" s="2006"/>
      <c r="J315" s="2006"/>
      <c r="K315" s="2006"/>
      <c r="L315" s="2006"/>
      <c r="M315" s="2006"/>
      <c r="N315" s="2006"/>
      <c r="O315" s="2006"/>
      <c r="P315" s="2006"/>
      <c r="Q315" s="2006"/>
      <c r="R315" s="2006"/>
      <c r="S315" s="2006"/>
      <c r="T315" s="2006"/>
      <c r="U315" s="2006"/>
      <c r="V315" s="2006"/>
      <c r="W315" s="2006"/>
      <c r="X315" s="2006"/>
      <c r="Y315" s="2006"/>
      <c r="Z315" s="2006"/>
      <c r="AA315" s="2006"/>
      <c r="AB315" s="2006"/>
      <c r="AC315" s="2006"/>
      <c r="AD315" s="2007"/>
      <c r="AE315" s="585"/>
      <c r="AF315" s="585"/>
      <c r="AG315" s="573"/>
      <c r="AH315" s="585"/>
      <c r="AI315" s="585"/>
      <c r="AJ315" s="584"/>
      <c r="AK315" s="584"/>
      <c r="AL315" s="584"/>
      <c r="AM315" s="584"/>
      <c r="AN315" s="73"/>
      <c r="AO315" s="14"/>
      <c r="AP315" s="591" t="s">
        <v>1923</v>
      </c>
    </row>
    <row r="316" spans="1:42" ht="13" hidden="1">
      <c r="A316" s="584"/>
      <c r="B316" s="585"/>
      <c r="C316" s="685"/>
      <c r="D316" s="685"/>
      <c r="E316" s="581"/>
      <c r="F316" s="688"/>
      <c r="G316" s="585"/>
      <c r="H316" s="585"/>
      <c r="I316" s="2008"/>
      <c r="J316" s="2008"/>
      <c r="K316" s="2008"/>
      <c r="L316" s="2008"/>
      <c r="M316" s="2008"/>
      <c r="N316" s="2008"/>
      <c r="O316" s="2008"/>
      <c r="P316" s="2008"/>
      <c r="Q316" s="2008"/>
      <c r="R316" s="2008"/>
      <c r="S316" s="2008"/>
      <c r="T316" s="2008"/>
      <c r="U316" s="2008"/>
      <c r="V316" s="2008"/>
      <c r="W316" s="2008"/>
      <c r="X316" s="2008"/>
      <c r="Y316" s="2008"/>
      <c r="Z316" s="2008"/>
      <c r="AA316" s="2008"/>
      <c r="AB316" s="2008"/>
      <c r="AC316" s="2008"/>
      <c r="AD316" s="2009"/>
      <c r="AE316" s="585"/>
      <c r="AF316" s="585"/>
      <c r="AG316" s="573"/>
      <c r="AH316" s="585"/>
      <c r="AI316" s="585"/>
      <c r="AJ316" s="584"/>
      <c r="AK316" s="584"/>
      <c r="AL316" s="584"/>
      <c r="AM316" s="584"/>
      <c r="AN316" s="73"/>
      <c r="AO316" s="14"/>
      <c r="AP316" s="591" t="s">
        <v>1922</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06" t="s">
        <v>1290</v>
      </c>
      <c r="J318" s="2006"/>
      <c r="K318" s="2006"/>
      <c r="L318" s="2006"/>
      <c r="M318" s="2006"/>
      <c r="N318" s="2006"/>
      <c r="O318" s="2006"/>
      <c r="P318" s="2006"/>
      <c r="Q318" s="2006"/>
      <c r="R318" s="2006"/>
      <c r="S318" s="2006"/>
      <c r="T318" s="2006"/>
      <c r="U318" s="2006"/>
      <c r="V318" s="2006"/>
      <c r="W318" s="2006"/>
      <c r="X318" s="2006"/>
      <c r="Y318" s="2006"/>
      <c r="Z318" s="2006"/>
      <c r="AA318" s="2006"/>
      <c r="AB318" s="2006"/>
      <c r="AC318" s="2006"/>
      <c r="AD318" s="2007"/>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06"/>
      <c r="J319" s="2006"/>
      <c r="K319" s="2006"/>
      <c r="L319" s="2006"/>
      <c r="M319" s="2006"/>
      <c r="N319" s="2006"/>
      <c r="O319" s="2006"/>
      <c r="P319" s="2006"/>
      <c r="Q319" s="2006"/>
      <c r="R319" s="2006"/>
      <c r="S319" s="2006"/>
      <c r="T319" s="2006"/>
      <c r="U319" s="2006"/>
      <c r="V319" s="2006"/>
      <c r="W319" s="2006"/>
      <c r="X319" s="2006"/>
      <c r="Y319" s="2006"/>
      <c r="Z319" s="2006"/>
      <c r="AA319" s="2006"/>
      <c r="AB319" s="2006"/>
      <c r="AC319" s="2006"/>
      <c r="AD319" s="2007"/>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08"/>
      <c r="J320" s="2008"/>
      <c r="K320" s="2008"/>
      <c r="L320" s="2008"/>
      <c r="M320" s="2008"/>
      <c r="N320" s="2008"/>
      <c r="O320" s="2008"/>
      <c r="P320" s="2008"/>
      <c r="Q320" s="2008"/>
      <c r="R320" s="2008"/>
      <c r="S320" s="2008"/>
      <c r="T320" s="2008"/>
      <c r="U320" s="2008"/>
      <c r="V320" s="2008"/>
      <c r="W320" s="2008"/>
      <c r="X320" s="2008"/>
      <c r="Y320" s="2008"/>
      <c r="Z320" s="2008"/>
      <c r="AA320" s="2008"/>
      <c r="AB320" s="2008"/>
      <c r="AC320" s="2008"/>
      <c r="AD320" s="2009"/>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3" t="s">
        <v>1501</v>
      </c>
      <c r="B322" s="1643"/>
      <c r="C322" s="1968" t="s">
        <v>599</v>
      </c>
      <c r="D322" s="1968"/>
      <c r="E322" s="581"/>
      <c r="F322" s="1896" t="s">
        <v>2340</v>
      </c>
      <c r="G322" s="1897"/>
      <c r="H322" s="1897"/>
      <c r="I322" s="1897"/>
      <c r="J322" s="1897"/>
      <c r="K322" s="1897"/>
      <c r="L322" s="1897"/>
      <c r="M322" s="1897"/>
      <c r="N322" s="1897"/>
      <c r="O322" s="1897"/>
      <c r="P322" s="1897"/>
      <c r="Q322" s="1897"/>
      <c r="R322" s="1897"/>
      <c r="S322" s="1897"/>
      <c r="T322" s="1897"/>
      <c r="U322" s="1897"/>
      <c r="V322" s="1897"/>
      <c r="W322" s="1897"/>
      <c r="X322" s="1897"/>
      <c r="Y322" s="1897"/>
      <c r="Z322" s="1897"/>
      <c r="AA322" s="1897"/>
      <c r="AB322" s="1897"/>
      <c r="AC322" s="1897"/>
      <c r="AD322" s="1898"/>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902"/>
      <c r="G323" s="1903"/>
      <c r="H323" s="1903"/>
      <c r="I323" s="1903"/>
      <c r="J323" s="1903"/>
      <c r="K323" s="1903"/>
      <c r="L323" s="1903"/>
      <c r="M323" s="1903"/>
      <c r="N323" s="1903"/>
      <c r="O323" s="1903"/>
      <c r="P323" s="1903"/>
      <c r="Q323" s="1903"/>
      <c r="R323" s="1903"/>
      <c r="S323" s="1903"/>
      <c r="T323" s="1903"/>
      <c r="U323" s="1903"/>
      <c r="V323" s="1903"/>
      <c r="W323" s="1903"/>
      <c r="X323" s="1903"/>
      <c r="Y323" s="1903"/>
      <c r="Z323" s="1903"/>
      <c r="AA323" s="1903"/>
      <c r="AB323" s="1903"/>
      <c r="AC323" s="1903"/>
      <c r="AD323" s="1904"/>
      <c r="AE323" s="585"/>
      <c r="AF323" s="585"/>
      <c r="AG323" s="585"/>
      <c r="AH323" s="585"/>
      <c r="AI323" s="585"/>
      <c r="AJ323" s="584"/>
      <c r="AK323" s="584"/>
      <c r="AL323" s="584"/>
      <c r="AM323" s="584"/>
      <c r="AN323" s="73"/>
      <c r="AO323" s="14"/>
    </row>
    <row r="324" spans="1:44" ht="15" hidden="1" customHeight="1">
      <c r="A324" s="584"/>
      <c r="B324" s="585"/>
      <c r="C324" s="585"/>
      <c r="D324" s="585"/>
      <c r="E324" s="585"/>
      <c r="F324" s="1902"/>
      <c r="G324" s="1903"/>
      <c r="H324" s="1903"/>
      <c r="I324" s="1903"/>
      <c r="J324" s="1903"/>
      <c r="K324" s="1903"/>
      <c r="L324" s="1903"/>
      <c r="M324" s="1903"/>
      <c r="N324" s="1903"/>
      <c r="O324" s="1903"/>
      <c r="P324" s="1903"/>
      <c r="Q324" s="1903"/>
      <c r="R324" s="1903"/>
      <c r="S324" s="1903"/>
      <c r="T324" s="1903"/>
      <c r="U324" s="1903"/>
      <c r="V324" s="1903"/>
      <c r="W324" s="1903"/>
      <c r="X324" s="1903"/>
      <c r="Y324" s="1903"/>
      <c r="Z324" s="1903"/>
      <c r="AA324" s="1903"/>
      <c r="AB324" s="1903"/>
      <c r="AC324" s="1903"/>
      <c r="AD324" s="1904"/>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71">
        <f>IF(NOT(OR(Application!M355="Yes",Application!M356="Yes")),0,AP284)</f>
        <v>10</v>
      </c>
      <c r="AL327" s="1972"/>
      <c r="AM327" s="197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05" t="s">
        <v>1423</v>
      </c>
      <c r="AF330" s="1905"/>
      <c r="AG330" s="1905"/>
      <c r="AH330" s="1905"/>
      <c r="AI330" s="1905"/>
      <c r="AJ330" s="1905"/>
      <c r="AK330" s="190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0" t="s">
        <v>1563</v>
      </c>
      <c r="D332" s="2010"/>
      <c r="E332" s="2010"/>
      <c r="F332" s="2010"/>
      <c r="G332" s="2010"/>
      <c r="H332" s="2010"/>
      <c r="I332" s="2010"/>
      <c r="J332" s="2010"/>
      <c r="K332" s="2010"/>
      <c r="L332" s="2010"/>
      <c r="M332" s="2010"/>
      <c r="N332" s="2010"/>
      <c r="O332" s="2010"/>
      <c r="P332" s="2010"/>
      <c r="Q332" s="2010"/>
      <c r="R332" s="2010"/>
      <c r="S332" s="2010"/>
      <c r="T332" s="2010"/>
      <c r="U332" s="2010"/>
      <c r="V332" s="2010"/>
      <c r="W332" s="2010"/>
      <c r="X332" s="2010"/>
      <c r="Y332" s="2010"/>
      <c r="Z332" s="2010"/>
      <c r="AA332" s="2010"/>
      <c r="AB332" s="2010"/>
      <c r="AC332" s="2010"/>
      <c r="AD332" s="2010"/>
      <c r="AE332" s="2010"/>
      <c r="AF332" s="2010"/>
      <c r="AG332" s="2010"/>
      <c r="AH332" s="2010"/>
      <c r="AI332" s="2010"/>
      <c r="AJ332" s="2010"/>
      <c r="AK332" s="637"/>
      <c r="AL332" s="637"/>
      <c r="AM332" s="637"/>
      <c r="AN332" s="631"/>
    </row>
    <row r="333" spans="1:44" s="584" customFormat="1" ht="12.75" customHeight="1">
      <c r="A333" s="637"/>
      <c r="B333" s="645"/>
      <c r="C333" s="2010"/>
      <c r="D333" s="2010"/>
      <c r="E333" s="2010"/>
      <c r="F333" s="2010"/>
      <c r="G333" s="2010"/>
      <c r="H333" s="2010"/>
      <c r="I333" s="2010"/>
      <c r="J333" s="2010"/>
      <c r="K333" s="2010"/>
      <c r="L333" s="2010"/>
      <c r="M333" s="2010"/>
      <c r="N333" s="2010"/>
      <c r="O333" s="2010"/>
      <c r="P333" s="2010"/>
      <c r="Q333" s="2010"/>
      <c r="R333" s="2010"/>
      <c r="S333" s="2010"/>
      <c r="T333" s="2010"/>
      <c r="U333" s="2010"/>
      <c r="V333" s="2010"/>
      <c r="W333" s="2010"/>
      <c r="X333" s="2010"/>
      <c r="Y333" s="2010"/>
      <c r="Z333" s="2010"/>
      <c r="AA333" s="2010"/>
      <c r="AB333" s="2010"/>
      <c r="AC333" s="2010"/>
      <c r="AD333" s="2010"/>
      <c r="AE333" s="2010"/>
      <c r="AF333" s="2010"/>
      <c r="AG333" s="2010"/>
      <c r="AH333" s="2010"/>
      <c r="AI333" s="2010"/>
      <c r="AJ333" s="2010"/>
      <c r="AK333" s="637"/>
      <c r="AL333" s="637"/>
      <c r="AM333" s="637"/>
      <c r="AN333" s="631"/>
    </row>
    <row r="334" spans="1:44" s="584" customFormat="1" ht="12.75" customHeight="1">
      <c r="A334" s="637"/>
      <c r="B334" s="645"/>
      <c r="C334" s="2010"/>
      <c r="D334" s="2010"/>
      <c r="E334" s="2010"/>
      <c r="F334" s="2010"/>
      <c r="G334" s="2010"/>
      <c r="H334" s="2010"/>
      <c r="I334" s="2010"/>
      <c r="J334" s="2010"/>
      <c r="K334" s="2010"/>
      <c r="L334" s="2010"/>
      <c r="M334" s="2010"/>
      <c r="N334" s="2010"/>
      <c r="O334" s="2010"/>
      <c r="P334" s="2010"/>
      <c r="Q334" s="2010"/>
      <c r="R334" s="2010"/>
      <c r="S334" s="2010"/>
      <c r="T334" s="2010"/>
      <c r="U334" s="2010"/>
      <c r="V334" s="2010"/>
      <c r="W334" s="2010"/>
      <c r="X334" s="2010"/>
      <c r="Y334" s="2010"/>
      <c r="Z334" s="2010"/>
      <c r="AA334" s="2010"/>
      <c r="AB334" s="2010"/>
      <c r="AC334" s="2010"/>
      <c r="AD334" s="2010"/>
      <c r="AE334" s="2010"/>
      <c r="AF334" s="2010"/>
      <c r="AG334" s="2010"/>
      <c r="AH334" s="2010"/>
      <c r="AI334" s="2010"/>
      <c r="AJ334" s="2010"/>
      <c r="AK334" s="637"/>
      <c r="AL334" s="637"/>
      <c r="AM334" s="637"/>
      <c r="AN334" s="631"/>
      <c r="AQ334" s="604"/>
    </row>
    <row r="335" spans="1:44" s="584" customFormat="1" ht="12.75" customHeight="1">
      <c r="A335" s="637"/>
      <c r="B335" s="645"/>
      <c r="C335" s="2010"/>
      <c r="D335" s="2010"/>
      <c r="E335" s="2010"/>
      <c r="F335" s="2010"/>
      <c r="G335" s="2010"/>
      <c r="H335" s="2010"/>
      <c r="I335" s="2010"/>
      <c r="J335" s="2010"/>
      <c r="K335" s="2010"/>
      <c r="L335" s="2010"/>
      <c r="M335" s="2010"/>
      <c r="N335" s="2010"/>
      <c r="O335" s="2010"/>
      <c r="P335" s="2010"/>
      <c r="Q335" s="2010"/>
      <c r="R335" s="2010"/>
      <c r="S335" s="2010"/>
      <c r="T335" s="2010"/>
      <c r="U335" s="2010"/>
      <c r="V335" s="2010"/>
      <c r="W335" s="2010"/>
      <c r="X335" s="2010"/>
      <c r="Y335" s="2010"/>
      <c r="Z335" s="2010"/>
      <c r="AA335" s="2010"/>
      <c r="AB335" s="2010"/>
      <c r="AC335" s="2010"/>
      <c r="AD335" s="2010"/>
      <c r="AE335" s="2010"/>
      <c r="AF335" s="2010"/>
      <c r="AG335" s="2010"/>
      <c r="AH335" s="2010"/>
      <c r="AI335" s="2010"/>
      <c r="AJ335" s="2010"/>
      <c r="AK335" s="637"/>
      <c r="AL335" s="637"/>
      <c r="AM335" s="637"/>
      <c r="AN335" s="631"/>
      <c r="AQ335" s="604"/>
    </row>
    <row r="336" spans="1:44" s="584" customFormat="1" ht="12.4" customHeight="1">
      <c r="A336" s="637"/>
      <c r="B336" s="645"/>
      <c r="C336" s="2010"/>
      <c r="D336" s="2010"/>
      <c r="E336" s="2010"/>
      <c r="F336" s="2010"/>
      <c r="G336" s="2010"/>
      <c r="H336" s="2010"/>
      <c r="I336" s="2010"/>
      <c r="J336" s="2010"/>
      <c r="K336" s="2010"/>
      <c r="L336" s="2010"/>
      <c r="M336" s="2010"/>
      <c r="N336" s="2010"/>
      <c r="O336" s="2010"/>
      <c r="P336" s="2010"/>
      <c r="Q336" s="2010"/>
      <c r="R336" s="2010"/>
      <c r="S336" s="2010"/>
      <c r="T336" s="2010"/>
      <c r="U336" s="2010"/>
      <c r="V336" s="2010"/>
      <c r="W336" s="2010"/>
      <c r="X336" s="2010"/>
      <c r="Y336" s="2010"/>
      <c r="Z336" s="2010"/>
      <c r="AA336" s="2010"/>
      <c r="AB336" s="2010"/>
      <c r="AC336" s="2010"/>
      <c r="AD336" s="2010"/>
      <c r="AE336" s="2010"/>
      <c r="AF336" s="2010"/>
      <c r="AG336" s="2010"/>
      <c r="AH336" s="2010"/>
      <c r="AI336" s="2010"/>
      <c r="AJ336" s="2010"/>
      <c r="AK336" s="637"/>
      <c r="AL336" s="637"/>
      <c r="AM336" s="637"/>
      <c r="AN336" s="631"/>
      <c r="AQ336" s="604"/>
      <c r="AR336" s="604"/>
    </row>
    <row r="337" spans="1:46" s="584" customFormat="1" ht="45.75" customHeight="1">
      <c r="A337" s="637"/>
      <c r="B337" s="645"/>
      <c r="C337" s="2010" t="s">
        <v>2407</v>
      </c>
      <c r="D337" s="2010"/>
      <c r="E337" s="2010"/>
      <c r="F337" s="2010"/>
      <c r="G337" s="2010"/>
      <c r="H337" s="2010"/>
      <c r="I337" s="2010"/>
      <c r="J337" s="2010"/>
      <c r="K337" s="2010"/>
      <c r="L337" s="2010"/>
      <c r="M337" s="2010"/>
      <c r="N337" s="2010"/>
      <c r="O337" s="2010"/>
      <c r="P337" s="2010"/>
      <c r="Q337" s="2010"/>
      <c r="R337" s="2010"/>
      <c r="S337" s="2010"/>
      <c r="T337" s="2010"/>
      <c r="U337" s="2010"/>
      <c r="V337" s="2010"/>
      <c r="W337" s="2010"/>
      <c r="X337" s="2010"/>
      <c r="Y337" s="2010"/>
      <c r="Z337" s="2010"/>
      <c r="AA337" s="2010"/>
      <c r="AB337" s="2010"/>
      <c r="AC337" s="2010"/>
      <c r="AD337" s="2010"/>
      <c r="AE337" s="2010"/>
      <c r="AF337" s="2010"/>
      <c r="AG337" s="2010"/>
      <c r="AH337" s="2010"/>
      <c r="AI337" s="2010"/>
      <c r="AJ337" s="201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0" t="s">
        <v>2569</v>
      </c>
      <c r="D339" s="2010"/>
      <c r="E339" s="2010"/>
      <c r="F339" s="2010"/>
      <c r="G339" s="2010"/>
      <c r="H339" s="2010"/>
      <c r="I339" s="2010"/>
      <c r="J339" s="2010"/>
      <c r="K339" s="2010"/>
      <c r="L339" s="2010"/>
      <c r="M339" s="2010"/>
      <c r="N339" s="2010"/>
      <c r="O339" s="2010"/>
      <c r="P339" s="2010"/>
      <c r="Q339" s="2010"/>
      <c r="R339" s="2010"/>
      <c r="S339" s="2010"/>
      <c r="T339" s="2010"/>
      <c r="U339" s="2010"/>
      <c r="V339" s="2010"/>
      <c r="W339" s="2010"/>
      <c r="X339" s="2010"/>
      <c r="Y339" s="2010"/>
      <c r="Z339" s="2010"/>
      <c r="AA339" s="2010"/>
      <c r="AB339" s="2010"/>
      <c r="AC339" s="2010"/>
      <c r="AD339" s="2010"/>
      <c r="AE339" s="2010"/>
      <c r="AF339" s="2010"/>
      <c r="AG339" s="2010"/>
      <c r="AH339" s="2010"/>
      <c r="AI339" s="2010"/>
      <c r="AJ339" s="2010"/>
      <c r="AK339" s="637"/>
      <c r="AL339" s="637"/>
      <c r="AM339" s="637"/>
      <c r="AN339" s="631"/>
      <c r="AQ339" s="604"/>
      <c r="AR339" s="604"/>
    </row>
    <row r="340" spans="1:46" s="584" customFormat="1" ht="30" customHeight="1">
      <c r="A340" s="637"/>
      <c r="B340" s="645"/>
      <c r="C340" s="2010"/>
      <c r="D340" s="2010"/>
      <c r="E340" s="2010"/>
      <c r="F340" s="2010"/>
      <c r="G340" s="2010"/>
      <c r="H340" s="2010"/>
      <c r="I340" s="2010"/>
      <c r="J340" s="2010"/>
      <c r="K340" s="2010"/>
      <c r="L340" s="2010"/>
      <c r="M340" s="2010"/>
      <c r="N340" s="2010"/>
      <c r="O340" s="2010"/>
      <c r="P340" s="2010"/>
      <c r="Q340" s="2010"/>
      <c r="R340" s="2010"/>
      <c r="S340" s="2010"/>
      <c r="T340" s="2010"/>
      <c r="U340" s="2010"/>
      <c r="V340" s="2010"/>
      <c r="W340" s="2010"/>
      <c r="X340" s="2010"/>
      <c r="Y340" s="2010"/>
      <c r="Z340" s="2010"/>
      <c r="AA340" s="2010"/>
      <c r="AB340" s="2010"/>
      <c r="AC340" s="2010"/>
      <c r="AD340" s="2010"/>
      <c r="AE340" s="2010"/>
      <c r="AF340" s="2010"/>
      <c r="AG340" s="2010"/>
      <c r="AH340" s="2010"/>
      <c r="AI340" s="2010"/>
      <c r="AJ340" s="2010"/>
      <c r="AK340" s="637"/>
      <c r="AL340" s="637"/>
      <c r="AM340" s="637"/>
      <c r="AN340" s="631"/>
      <c r="AR340" s="604"/>
    </row>
    <row r="341" spans="1:46" s="584" customFormat="1" ht="12.75" customHeight="1">
      <c r="A341" s="637"/>
      <c r="B341" s="645"/>
      <c r="C341" s="2010"/>
      <c r="D341" s="2010"/>
      <c r="E341" s="2010"/>
      <c r="F341" s="2010"/>
      <c r="G341" s="2010"/>
      <c r="H341" s="2010"/>
      <c r="I341" s="2010"/>
      <c r="J341" s="2010"/>
      <c r="K341" s="2010"/>
      <c r="L341" s="2010"/>
      <c r="M341" s="2010"/>
      <c r="N341" s="2010"/>
      <c r="O341" s="2010"/>
      <c r="P341" s="2010"/>
      <c r="Q341" s="2010"/>
      <c r="R341" s="2010"/>
      <c r="S341" s="2010"/>
      <c r="T341" s="2010"/>
      <c r="U341" s="2010"/>
      <c r="V341" s="2010"/>
      <c r="W341" s="2010"/>
      <c r="X341" s="2010"/>
      <c r="Y341" s="2010"/>
      <c r="Z341" s="2010"/>
      <c r="AA341" s="2010"/>
      <c r="AB341" s="2010"/>
      <c r="AC341" s="2010"/>
      <c r="AD341" s="2010"/>
      <c r="AE341" s="2010"/>
      <c r="AF341" s="2010"/>
      <c r="AG341" s="2010"/>
      <c r="AH341" s="2010"/>
      <c r="AI341" s="2010"/>
      <c r="AJ341" s="2010"/>
      <c r="AK341" s="637"/>
      <c r="AL341" s="637"/>
      <c r="AM341" s="637"/>
      <c r="AN341" s="631"/>
      <c r="AR341" s="604"/>
    </row>
    <row r="342" spans="1:46" s="584" customFormat="1" ht="12.75" customHeight="1">
      <c r="A342" s="637"/>
      <c r="B342" s="645"/>
      <c r="C342" s="2010" t="s">
        <v>1564</v>
      </c>
      <c r="D342" s="2010"/>
      <c r="E342" s="2010"/>
      <c r="F342" s="2010"/>
      <c r="G342" s="2010"/>
      <c r="H342" s="2010"/>
      <c r="I342" s="2010"/>
      <c r="J342" s="2010"/>
      <c r="K342" s="2010"/>
      <c r="L342" s="2010"/>
      <c r="M342" s="2010"/>
      <c r="N342" s="2010"/>
      <c r="O342" s="2010"/>
      <c r="P342" s="2010"/>
      <c r="Q342" s="2010"/>
      <c r="R342" s="2010"/>
      <c r="S342" s="2010"/>
      <c r="T342" s="2010"/>
      <c r="U342" s="2010"/>
      <c r="V342" s="2010"/>
      <c r="W342" s="2010"/>
      <c r="X342" s="2010"/>
      <c r="Y342" s="2010"/>
      <c r="Z342" s="2010"/>
      <c r="AA342" s="2010"/>
      <c r="AB342" s="2010"/>
      <c r="AC342" s="2010"/>
      <c r="AD342" s="2010"/>
      <c r="AE342" s="2010"/>
      <c r="AF342" s="2010"/>
      <c r="AG342" s="2010"/>
      <c r="AH342" s="2010"/>
      <c r="AI342" s="2010"/>
      <c r="AJ342" s="2010"/>
      <c r="AK342" s="637"/>
      <c r="AL342" s="637"/>
      <c r="AM342" s="637"/>
      <c r="AN342" s="631"/>
      <c r="AQ342" s="604"/>
      <c r="AR342" s="604"/>
    </row>
    <row r="343" spans="1:46" s="584" customFormat="1" ht="12.75" customHeight="1">
      <c r="A343" s="637"/>
      <c r="B343" s="645"/>
      <c r="C343" s="2010"/>
      <c r="D343" s="2010"/>
      <c r="E343" s="2010"/>
      <c r="F343" s="2010"/>
      <c r="G343" s="2010"/>
      <c r="H343" s="2010"/>
      <c r="I343" s="2010"/>
      <c r="J343" s="2010"/>
      <c r="K343" s="2010"/>
      <c r="L343" s="2010"/>
      <c r="M343" s="2010"/>
      <c r="N343" s="2010"/>
      <c r="O343" s="2010"/>
      <c r="P343" s="2010"/>
      <c r="Q343" s="2010"/>
      <c r="R343" s="2010"/>
      <c r="S343" s="2010"/>
      <c r="T343" s="2010"/>
      <c r="U343" s="2010"/>
      <c r="V343" s="2010"/>
      <c r="W343" s="2010"/>
      <c r="X343" s="2010"/>
      <c r="Y343" s="2010"/>
      <c r="Z343" s="2010"/>
      <c r="AA343" s="2010"/>
      <c r="AB343" s="2010"/>
      <c r="AC343" s="2010"/>
      <c r="AD343" s="2010"/>
      <c r="AE343" s="2010"/>
      <c r="AF343" s="2010"/>
      <c r="AG343" s="2010"/>
      <c r="AH343" s="2010"/>
      <c r="AI343" s="2010"/>
      <c r="AJ343" s="2010"/>
      <c r="AK343" s="637"/>
      <c r="AL343" s="637"/>
      <c r="AM343" s="637"/>
      <c r="AN343" s="631"/>
      <c r="AQ343" s="604"/>
      <c r="AR343" s="604"/>
    </row>
    <row r="344" spans="1:46" s="584" customFormat="1" ht="13.15" customHeight="1">
      <c r="A344" s="637"/>
      <c r="B344" s="645"/>
      <c r="C344" s="2010"/>
      <c r="D344" s="2010"/>
      <c r="E344" s="2010"/>
      <c r="F344" s="2010"/>
      <c r="G344" s="2010"/>
      <c r="H344" s="2010"/>
      <c r="I344" s="2010"/>
      <c r="J344" s="2010"/>
      <c r="K344" s="2010"/>
      <c r="L344" s="2010"/>
      <c r="M344" s="2010"/>
      <c r="N344" s="2010"/>
      <c r="O344" s="2010"/>
      <c r="P344" s="2010"/>
      <c r="Q344" s="2010"/>
      <c r="R344" s="2010"/>
      <c r="S344" s="2010"/>
      <c r="T344" s="2010"/>
      <c r="U344" s="2010"/>
      <c r="V344" s="2010"/>
      <c r="W344" s="2010"/>
      <c r="X344" s="2010"/>
      <c r="Y344" s="2010"/>
      <c r="Z344" s="2010"/>
      <c r="AA344" s="2010"/>
      <c r="AB344" s="2010"/>
      <c r="AC344" s="2010"/>
      <c r="AD344" s="2010"/>
      <c r="AE344" s="2010"/>
      <c r="AF344" s="2010"/>
      <c r="AG344" s="2010"/>
      <c r="AH344" s="2010"/>
      <c r="AI344" s="2010"/>
      <c r="AJ344" s="2010"/>
      <c r="AK344" s="637"/>
      <c r="AL344" s="637"/>
      <c r="AM344" s="637"/>
      <c r="AN344" s="631"/>
      <c r="AQ344" s="604"/>
      <c r="AR344" s="604"/>
    </row>
    <row r="345" spans="1:46" s="584" customFormat="1" ht="12.75" customHeight="1">
      <c r="A345" s="637"/>
      <c r="B345" s="645"/>
      <c r="C345" s="2010"/>
      <c r="D345" s="2010"/>
      <c r="E345" s="2010"/>
      <c r="F345" s="2010"/>
      <c r="G345" s="2010"/>
      <c r="H345" s="2010"/>
      <c r="I345" s="2010"/>
      <c r="J345" s="2010"/>
      <c r="K345" s="2010"/>
      <c r="L345" s="2010"/>
      <c r="M345" s="2010"/>
      <c r="N345" s="2010"/>
      <c r="O345" s="2010"/>
      <c r="P345" s="2010"/>
      <c r="Q345" s="2010"/>
      <c r="R345" s="2010"/>
      <c r="S345" s="2010"/>
      <c r="T345" s="2010"/>
      <c r="U345" s="2010"/>
      <c r="V345" s="2010"/>
      <c r="W345" s="2010"/>
      <c r="X345" s="2010"/>
      <c r="Y345" s="2010"/>
      <c r="Z345" s="2010"/>
      <c r="AA345" s="2010"/>
      <c r="AB345" s="2010"/>
      <c r="AC345" s="2010"/>
      <c r="AD345" s="2010"/>
      <c r="AE345" s="2010"/>
      <c r="AF345" s="2010"/>
      <c r="AG345" s="2010"/>
      <c r="AH345" s="2010"/>
      <c r="AI345" s="2010"/>
      <c r="AJ345" s="2010"/>
      <c r="AK345" s="637"/>
      <c r="AL345" s="637"/>
      <c r="AM345" s="637"/>
      <c r="AN345" s="631"/>
      <c r="AO345" s="728"/>
      <c r="AP345" s="728"/>
      <c r="AQ345" s="604"/>
    </row>
    <row r="346" spans="1:46" s="584" customFormat="1" ht="11.65" customHeight="1">
      <c r="A346" s="637"/>
      <c r="B346" s="645"/>
      <c r="C346" s="2010"/>
      <c r="D346" s="2010"/>
      <c r="E346" s="2010"/>
      <c r="F346" s="2010"/>
      <c r="G346" s="2010"/>
      <c r="H346" s="2010"/>
      <c r="I346" s="2010"/>
      <c r="J346" s="2010"/>
      <c r="K346" s="2010"/>
      <c r="L346" s="2010"/>
      <c r="M346" s="2010"/>
      <c r="N346" s="2010"/>
      <c r="O346" s="2010"/>
      <c r="P346" s="2010"/>
      <c r="Q346" s="2010"/>
      <c r="R346" s="2010"/>
      <c r="S346" s="2010"/>
      <c r="T346" s="2010"/>
      <c r="U346" s="2010"/>
      <c r="V346" s="2010"/>
      <c r="W346" s="2010"/>
      <c r="X346" s="2010"/>
      <c r="Y346" s="2010"/>
      <c r="Z346" s="2010"/>
      <c r="AA346" s="2010"/>
      <c r="AB346" s="2010"/>
      <c r="AC346" s="2010"/>
      <c r="AD346" s="2010"/>
      <c r="AE346" s="2010"/>
      <c r="AF346" s="2010"/>
      <c r="AG346" s="2010"/>
      <c r="AH346" s="2010"/>
      <c r="AI346" s="2010"/>
      <c r="AJ346" s="2010"/>
      <c r="AK346" s="637"/>
      <c r="AL346" s="637"/>
      <c r="AM346" s="637"/>
      <c r="AN346" s="631"/>
      <c r="AO346" s="729" t="s">
        <v>112</v>
      </c>
      <c r="AP346" s="730">
        <f>IF(C370="Yes",5,0)</f>
        <v>0</v>
      </c>
      <c r="AS346" s="573" t="s">
        <v>1565</v>
      </c>
    </row>
    <row r="347" spans="1:46" s="584" customFormat="1" ht="12.75" customHeight="1">
      <c r="A347" s="637"/>
      <c r="B347" s="645"/>
      <c r="C347" s="2010"/>
      <c r="D347" s="2010"/>
      <c r="E347" s="2010"/>
      <c r="F347" s="2010"/>
      <c r="G347" s="2010"/>
      <c r="H347" s="2010"/>
      <c r="I347" s="2010"/>
      <c r="J347" s="2010"/>
      <c r="K347" s="2010"/>
      <c r="L347" s="2010"/>
      <c r="M347" s="2010"/>
      <c r="N347" s="2010"/>
      <c r="O347" s="2010"/>
      <c r="P347" s="2010"/>
      <c r="Q347" s="2010"/>
      <c r="R347" s="2010"/>
      <c r="S347" s="2010"/>
      <c r="T347" s="2010"/>
      <c r="U347" s="2010"/>
      <c r="V347" s="2010"/>
      <c r="W347" s="2010"/>
      <c r="X347" s="2010"/>
      <c r="Y347" s="2010"/>
      <c r="Z347" s="2010"/>
      <c r="AA347" s="2010"/>
      <c r="AB347" s="2010"/>
      <c r="AC347" s="2010"/>
      <c r="AD347" s="2010"/>
      <c r="AE347" s="2010"/>
      <c r="AF347" s="2010"/>
      <c r="AG347" s="2010"/>
      <c r="AH347" s="2010"/>
      <c r="AI347" s="2010"/>
      <c r="AJ347" s="2010"/>
      <c r="AK347" s="637"/>
      <c r="AL347" s="637"/>
      <c r="AM347" s="637"/>
      <c r="AN347" s="631"/>
      <c r="AO347" s="729" t="s">
        <v>113</v>
      </c>
      <c r="AP347" s="730">
        <f>IF(C378="Yes",5,0)</f>
        <v>0</v>
      </c>
      <c r="AS347" s="2031">
        <f>IF(Application!D211="Non-Targeted",(SUM(AQ355+AQ364)),AS351)</f>
        <v>10</v>
      </c>
      <c r="AT347" s="2031"/>
    </row>
    <row r="348" spans="1:46" s="584" customFormat="1" ht="12.75" customHeight="1">
      <c r="A348" s="637"/>
      <c r="B348" s="645"/>
      <c r="C348" s="2010"/>
      <c r="D348" s="2010"/>
      <c r="E348" s="2010"/>
      <c r="F348" s="2010"/>
      <c r="G348" s="2010"/>
      <c r="H348" s="2010"/>
      <c r="I348" s="2010"/>
      <c r="J348" s="2010"/>
      <c r="K348" s="2010"/>
      <c r="L348" s="2010"/>
      <c r="M348" s="2010"/>
      <c r="N348" s="2010"/>
      <c r="O348" s="2010"/>
      <c r="P348" s="2010"/>
      <c r="Q348" s="2010"/>
      <c r="R348" s="2010"/>
      <c r="S348" s="2010"/>
      <c r="T348" s="2010"/>
      <c r="U348" s="2010"/>
      <c r="V348" s="2010"/>
      <c r="W348" s="2010"/>
      <c r="X348" s="2010"/>
      <c r="Y348" s="2010"/>
      <c r="Z348" s="2010"/>
      <c r="AA348" s="2010"/>
      <c r="AB348" s="2010"/>
      <c r="AC348" s="2010"/>
      <c r="AD348" s="2010"/>
      <c r="AE348" s="2010"/>
      <c r="AF348" s="2010"/>
      <c r="AG348" s="2010"/>
      <c r="AH348" s="2010"/>
      <c r="AI348" s="2010"/>
      <c r="AJ348" s="2010"/>
      <c r="AK348" s="637"/>
      <c r="AL348" s="637"/>
      <c r="AM348" s="637"/>
      <c r="AN348" s="631"/>
      <c r="AO348" s="729" t="s">
        <v>119</v>
      </c>
      <c r="AP348" s="730">
        <f>IF(C386="Yes",7,0)</f>
        <v>7</v>
      </c>
      <c r="AS348" s="573" t="s">
        <v>1566</v>
      </c>
    </row>
    <row r="349" spans="1:46" s="584" customFormat="1" ht="12.75" customHeight="1">
      <c r="A349" s="637"/>
      <c r="B349" s="645"/>
      <c r="C349" s="2010"/>
      <c r="D349" s="2010"/>
      <c r="E349" s="2010"/>
      <c r="F349" s="2010"/>
      <c r="G349" s="2010"/>
      <c r="H349" s="2010"/>
      <c r="I349" s="2010"/>
      <c r="J349" s="2010"/>
      <c r="K349" s="2010"/>
      <c r="L349" s="2010"/>
      <c r="M349" s="2010"/>
      <c r="N349" s="2010"/>
      <c r="O349" s="2010"/>
      <c r="P349" s="2010"/>
      <c r="Q349" s="2010"/>
      <c r="R349" s="2010"/>
      <c r="S349" s="2010"/>
      <c r="T349" s="2010"/>
      <c r="U349" s="2010"/>
      <c r="V349" s="2010"/>
      <c r="W349" s="2010"/>
      <c r="X349" s="2010"/>
      <c r="Y349" s="2010"/>
      <c r="Z349" s="2010"/>
      <c r="AA349" s="2010"/>
      <c r="AB349" s="2010"/>
      <c r="AC349" s="2010"/>
      <c r="AD349" s="2010"/>
      <c r="AE349" s="2010"/>
      <c r="AF349" s="2010"/>
      <c r="AG349" s="2010"/>
      <c r="AH349" s="2010"/>
      <c r="AI349" s="2010"/>
      <c r="AJ349" s="2010"/>
      <c r="AK349" s="637"/>
      <c r="AL349" s="637"/>
      <c r="AM349" s="637"/>
      <c r="AN349" s="631"/>
      <c r="AO349" s="631"/>
      <c r="AP349" s="730">
        <f>IF(C388="Yes",5,0)</f>
        <v>0</v>
      </c>
      <c r="AS349" s="2031">
        <f>IF(AND(AQ355&gt;0,AQ364&gt;0),(AQ355+AQ364)/2,0)</f>
        <v>0</v>
      </c>
      <c r="AT349" s="2031"/>
    </row>
    <row r="350" spans="1:46" s="584" customFormat="1" ht="12.75" customHeight="1">
      <c r="A350" s="637"/>
      <c r="B350" s="645"/>
      <c r="C350" s="2010"/>
      <c r="D350" s="2010"/>
      <c r="E350" s="2010"/>
      <c r="F350" s="2010"/>
      <c r="G350" s="2010"/>
      <c r="H350" s="2010"/>
      <c r="I350" s="2010"/>
      <c r="J350" s="2010"/>
      <c r="K350" s="2010"/>
      <c r="L350" s="2010"/>
      <c r="M350" s="2010"/>
      <c r="N350" s="2010"/>
      <c r="O350" s="2010"/>
      <c r="P350" s="2010"/>
      <c r="Q350" s="2010"/>
      <c r="R350" s="2010"/>
      <c r="S350" s="2010"/>
      <c r="T350" s="2010"/>
      <c r="U350" s="2010"/>
      <c r="V350" s="2010"/>
      <c r="W350" s="2010"/>
      <c r="X350" s="2010"/>
      <c r="Y350" s="2010"/>
      <c r="Z350" s="2010"/>
      <c r="AA350" s="2010"/>
      <c r="AB350" s="2010"/>
      <c r="AC350" s="2010"/>
      <c r="AD350" s="2010"/>
      <c r="AE350" s="2010"/>
      <c r="AF350" s="2010"/>
      <c r="AG350" s="2010"/>
      <c r="AH350" s="2010"/>
      <c r="AI350" s="2010"/>
      <c r="AJ350" s="2010"/>
      <c r="AK350" s="637"/>
      <c r="AL350" s="637"/>
      <c r="AM350" s="637"/>
      <c r="AN350" s="631"/>
      <c r="AO350" s="729" t="s">
        <v>589</v>
      </c>
      <c r="AP350" s="730">
        <f>IF(C396="Yes",5,0)</f>
        <v>0</v>
      </c>
      <c r="AS350" s="573" t="s">
        <v>2068</v>
      </c>
    </row>
    <row r="351" spans="1:46" s="584" customFormat="1" ht="12.75" customHeight="1">
      <c r="A351" s="637"/>
      <c r="B351" s="645"/>
      <c r="C351" s="2032" t="s">
        <v>1567</v>
      </c>
      <c r="D351" s="2032"/>
      <c r="E351" s="2032"/>
      <c r="F351" s="2032"/>
      <c r="G351" s="2032"/>
      <c r="H351" s="2032"/>
      <c r="I351" s="2032"/>
      <c r="J351" s="2032"/>
      <c r="K351" s="2032"/>
      <c r="L351" s="2032"/>
      <c r="M351" s="2032"/>
      <c r="N351" s="2032"/>
      <c r="O351" s="2032"/>
      <c r="P351" s="2032"/>
      <c r="Q351" s="2032"/>
      <c r="R351" s="2032"/>
      <c r="S351" s="2032"/>
      <c r="T351" s="2032"/>
      <c r="U351" s="2032"/>
      <c r="V351" s="2032"/>
      <c r="W351" s="2032"/>
      <c r="X351" s="2032"/>
      <c r="Y351" s="2032"/>
      <c r="Z351" s="2032"/>
      <c r="AA351" s="2032"/>
      <c r="AB351" s="2032"/>
      <c r="AC351" s="2032"/>
      <c r="AD351" s="2032"/>
      <c r="AE351" s="2032"/>
      <c r="AF351" s="2032"/>
      <c r="AG351" s="2032"/>
      <c r="AH351" s="2032"/>
      <c r="AI351" s="2032"/>
      <c r="AJ351" s="2032"/>
      <c r="AK351" s="637"/>
      <c r="AL351" s="637"/>
      <c r="AM351" s="637"/>
      <c r="AN351" s="631"/>
      <c r="AO351" s="631"/>
      <c r="AP351" s="730">
        <f>IF(C398="Yes",3,0)</f>
        <v>3</v>
      </c>
      <c r="AS351" s="2031">
        <f>IF(AQ355=0,AQ364,AQ355)</f>
        <v>10</v>
      </c>
      <c r="AT351" s="2031"/>
    </row>
    <row r="352" spans="1:46" s="584" customFormat="1" ht="12.75" customHeight="1">
      <c r="A352" s="637"/>
      <c r="B352" s="645"/>
      <c r="C352" s="2032"/>
      <c r="D352" s="2032"/>
      <c r="E352" s="2032"/>
      <c r="F352" s="2032"/>
      <c r="G352" s="2032"/>
      <c r="H352" s="2032"/>
      <c r="I352" s="2032"/>
      <c r="J352" s="2032"/>
      <c r="K352" s="2032"/>
      <c r="L352" s="2032"/>
      <c r="M352" s="2032"/>
      <c r="N352" s="2032"/>
      <c r="O352" s="2032"/>
      <c r="P352" s="2032"/>
      <c r="Q352" s="2032"/>
      <c r="R352" s="2032"/>
      <c r="S352" s="2032"/>
      <c r="T352" s="2032"/>
      <c r="U352" s="2032"/>
      <c r="V352" s="2032"/>
      <c r="W352" s="2032"/>
      <c r="X352" s="2032"/>
      <c r="Y352" s="2032"/>
      <c r="Z352" s="2032"/>
      <c r="AA352" s="2032"/>
      <c r="AB352" s="2032"/>
      <c r="AC352" s="2032"/>
      <c r="AD352" s="2032"/>
      <c r="AE352" s="2032"/>
      <c r="AF352" s="2032"/>
      <c r="AG352" s="2032"/>
      <c r="AH352" s="2032"/>
      <c r="AI352" s="2032"/>
      <c r="AJ352" s="2032"/>
      <c r="AK352" s="637"/>
      <c r="AL352" s="637"/>
      <c r="AM352" s="637"/>
      <c r="AN352" s="631"/>
      <c r="AO352" s="729" t="s">
        <v>772</v>
      </c>
      <c r="AP352" s="730">
        <f>IF(C401="Yes",5,0)</f>
        <v>0</v>
      </c>
    </row>
    <row r="353" spans="1:81" s="584" customFormat="1" ht="12.75" customHeight="1">
      <c r="A353" s="637"/>
      <c r="B353" s="645"/>
      <c r="C353" s="2032"/>
      <c r="D353" s="2032"/>
      <c r="E353" s="2032"/>
      <c r="F353" s="2032"/>
      <c r="G353" s="2032"/>
      <c r="H353" s="2032"/>
      <c r="I353" s="2032"/>
      <c r="J353" s="2032"/>
      <c r="K353" s="2032"/>
      <c r="L353" s="2032"/>
      <c r="M353" s="2032"/>
      <c r="N353" s="2032"/>
      <c r="O353" s="2032"/>
      <c r="P353" s="2032"/>
      <c r="Q353" s="2032"/>
      <c r="R353" s="2032"/>
      <c r="S353" s="2032"/>
      <c r="T353" s="2032"/>
      <c r="U353" s="2032"/>
      <c r="V353" s="2032"/>
      <c r="W353" s="2032"/>
      <c r="X353" s="2032"/>
      <c r="Y353" s="2032"/>
      <c r="Z353" s="2032"/>
      <c r="AA353" s="2032"/>
      <c r="AB353" s="2032"/>
      <c r="AC353" s="2032"/>
      <c r="AD353" s="2032"/>
      <c r="AE353" s="2032"/>
      <c r="AF353" s="2032"/>
      <c r="AG353" s="2032"/>
      <c r="AH353" s="2032"/>
      <c r="AI353" s="2032"/>
      <c r="AJ353" s="2032"/>
      <c r="AK353" s="637"/>
      <c r="AL353" s="637"/>
      <c r="AM353" s="637"/>
      <c r="AN353" s="631"/>
      <c r="AO353" s="729" t="s">
        <v>592</v>
      </c>
      <c r="AP353" s="730">
        <f>IF(C410="Yes",5,0)</f>
        <v>0</v>
      </c>
    </row>
    <row r="354" spans="1:81" s="584" customFormat="1" ht="11.65" customHeight="1">
      <c r="A354" s="637"/>
      <c r="B354" s="645"/>
      <c r="C354" s="2032"/>
      <c r="D354" s="2032"/>
      <c r="E354" s="2032"/>
      <c r="F354" s="2032"/>
      <c r="G354" s="2032"/>
      <c r="H354" s="2032"/>
      <c r="I354" s="2032"/>
      <c r="J354" s="2032"/>
      <c r="K354" s="2032"/>
      <c r="L354" s="2032"/>
      <c r="M354" s="2032"/>
      <c r="N354" s="2032"/>
      <c r="O354" s="2032"/>
      <c r="P354" s="2032"/>
      <c r="Q354" s="2032"/>
      <c r="R354" s="2032"/>
      <c r="S354" s="2032"/>
      <c r="T354" s="2032"/>
      <c r="U354" s="2032"/>
      <c r="V354" s="2032"/>
      <c r="W354" s="2032"/>
      <c r="X354" s="2032"/>
      <c r="Y354" s="2032"/>
      <c r="Z354" s="2032"/>
      <c r="AA354" s="2032"/>
      <c r="AB354" s="2032"/>
      <c r="AC354" s="2032"/>
      <c r="AD354" s="2032"/>
      <c r="AE354" s="2032"/>
      <c r="AF354" s="2032"/>
      <c r="AG354" s="2032"/>
      <c r="AH354" s="2032"/>
      <c r="AI354" s="2032"/>
      <c r="AJ354" s="2032"/>
      <c r="AK354" s="637"/>
      <c r="AL354" s="637"/>
      <c r="AM354" s="637"/>
      <c r="AN354" s="631"/>
      <c r="AO354" s="731"/>
      <c r="AP354" s="732">
        <f>IF(C412="Yes",3,0)</f>
        <v>0</v>
      </c>
    </row>
    <row r="355" spans="1:81" s="584" customFormat="1" ht="12.4" customHeight="1">
      <c r="A355" s="637"/>
      <c r="B355" s="645"/>
      <c r="C355" s="2032"/>
      <c r="D355" s="2032"/>
      <c r="E355" s="2032"/>
      <c r="F355" s="2032"/>
      <c r="G355" s="2032"/>
      <c r="H355" s="2032"/>
      <c r="I355" s="2032"/>
      <c r="J355" s="2032"/>
      <c r="K355" s="2032"/>
      <c r="L355" s="2032"/>
      <c r="M355" s="2032"/>
      <c r="N355" s="2032"/>
      <c r="O355" s="2032"/>
      <c r="P355" s="2032"/>
      <c r="Q355" s="2032"/>
      <c r="R355" s="2032"/>
      <c r="S355" s="2032"/>
      <c r="T355" s="2032"/>
      <c r="U355" s="2032"/>
      <c r="V355" s="2032"/>
      <c r="W355" s="2032"/>
      <c r="X355" s="2032"/>
      <c r="Y355" s="2032"/>
      <c r="Z355" s="2032"/>
      <c r="AA355" s="2032"/>
      <c r="AB355" s="2032"/>
      <c r="AC355" s="2032"/>
      <c r="AD355" s="2032"/>
      <c r="AE355" s="2032"/>
      <c r="AF355" s="2032"/>
      <c r="AG355" s="2032"/>
      <c r="AH355" s="2032"/>
      <c r="AI355" s="2032"/>
      <c r="AJ355" s="2032"/>
      <c r="AK355" s="637"/>
      <c r="AL355" s="637"/>
      <c r="AM355" s="637"/>
      <c r="AN355" s="631"/>
      <c r="AO355" s="733" t="s">
        <v>228</v>
      </c>
      <c r="AP355" s="734">
        <f>SUM(AP346:AP354)</f>
        <v>10</v>
      </c>
      <c r="AQ355" s="2033">
        <f>IF(AP355&gt;0,AP355,0)</f>
        <v>10</v>
      </c>
      <c r="AR355" s="2033"/>
    </row>
    <row r="356" spans="1:81" s="584" customFormat="1" ht="12.75" customHeight="1">
      <c r="A356" s="637"/>
      <c r="B356" s="645"/>
      <c r="C356" s="2032"/>
      <c r="D356" s="2032"/>
      <c r="E356" s="2032"/>
      <c r="F356" s="2032"/>
      <c r="G356" s="2032"/>
      <c r="H356" s="2032"/>
      <c r="I356" s="2032"/>
      <c r="J356" s="2032"/>
      <c r="K356" s="2032"/>
      <c r="L356" s="2032"/>
      <c r="M356" s="2032"/>
      <c r="N356" s="2032"/>
      <c r="O356" s="2032"/>
      <c r="P356" s="2032"/>
      <c r="Q356" s="2032"/>
      <c r="R356" s="2032"/>
      <c r="S356" s="2032"/>
      <c r="T356" s="2032"/>
      <c r="U356" s="2032"/>
      <c r="V356" s="2032"/>
      <c r="W356" s="2032"/>
      <c r="X356" s="2032"/>
      <c r="Y356" s="2032"/>
      <c r="Z356" s="2032"/>
      <c r="AA356" s="2032"/>
      <c r="AB356" s="2032"/>
      <c r="AC356" s="2032"/>
      <c r="AD356" s="2032"/>
      <c r="AE356" s="2032"/>
      <c r="AF356" s="2032"/>
      <c r="AG356" s="2032"/>
      <c r="AH356" s="2032"/>
      <c r="AI356" s="2032"/>
      <c r="AJ356" s="203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0" t="s">
        <v>1568</v>
      </c>
      <c r="D358" s="2010"/>
      <c r="E358" s="2010"/>
      <c r="F358" s="2010"/>
      <c r="G358" s="2010"/>
      <c r="H358" s="2010"/>
      <c r="I358" s="2010"/>
      <c r="J358" s="2010"/>
      <c r="K358" s="2010"/>
      <c r="L358" s="2010"/>
      <c r="M358" s="2010"/>
      <c r="N358" s="2010"/>
      <c r="O358" s="2010"/>
      <c r="P358" s="2010"/>
      <c r="Q358" s="2010"/>
      <c r="R358" s="2010"/>
      <c r="S358" s="2010"/>
      <c r="T358" s="2010"/>
      <c r="U358" s="2010"/>
      <c r="V358" s="2010"/>
      <c r="W358" s="2010"/>
      <c r="X358" s="2010"/>
      <c r="Y358" s="2010"/>
      <c r="Z358" s="2010"/>
      <c r="AA358" s="2010"/>
      <c r="AB358" s="2010"/>
      <c r="AC358" s="2010"/>
      <c r="AD358" s="2010"/>
      <c r="AE358" s="2010"/>
      <c r="AF358" s="2010"/>
      <c r="AG358" s="2010"/>
      <c r="AH358" s="2010"/>
      <c r="AI358" s="2010"/>
      <c r="AJ358" s="2010"/>
      <c r="AK358" s="637"/>
      <c r="AL358" s="637"/>
      <c r="AM358" s="637"/>
      <c r="AN358" s="631"/>
      <c r="AO358" s="729" t="s">
        <v>464</v>
      </c>
      <c r="AP358" s="730">
        <f>IF(C431="Yes",5,0)</f>
        <v>0</v>
      </c>
    </row>
    <row r="359" spans="1:81" s="584" customFormat="1" ht="12.75" customHeight="1">
      <c r="A359" s="637"/>
      <c r="B359" s="645"/>
      <c r="C359" s="2010"/>
      <c r="D359" s="2010"/>
      <c r="E359" s="2010"/>
      <c r="F359" s="2010"/>
      <c r="G359" s="2010"/>
      <c r="H359" s="2010"/>
      <c r="I359" s="2010"/>
      <c r="J359" s="2010"/>
      <c r="K359" s="2010"/>
      <c r="L359" s="2010"/>
      <c r="M359" s="2010"/>
      <c r="N359" s="2010"/>
      <c r="O359" s="2010"/>
      <c r="P359" s="2010"/>
      <c r="Q359" s="2010"/>
      <c r="R359" s="2010"/>
      <c r="S359" s="2010"/>
      <c r="T359" s="2010"/>
      <c r="U359" s="2010"/>
      <c r="V359" s="2010"/>
      <c r="W359" s="2010"/>
      <c r="X359" s="2010"/>
      <c r="Y359" s="2010"/>
      <c r="Z359" s="2010"/>
      <c r="AA359" s="2010"/>
      <c r="AB359" s="2010"/>
      <c r="AC359" s="2010"/>
      <c r="AD359" s="2010"/>
      <c r="AE359" s="2010"/>
      <c r="AF359" s="2010"/>
      <c r="AG359" s="2010"/>
      <c r="AH359" s="2010"/>
      <c r="AI359" s="2010"/>
      <c r="AJ359" s="2010"/>
      <c r="AK359" s="637"/>
      <c r="AL359" s="637"/>
      <c r="AM359" s="637"/>
      <c r="AN359" s="631"/>
      <c r="AO359" s="729" t="s">
        <v>469</v>
      </c>
      <c r="AP359" s="730">
        <f>IF(C438="Yes",5,0)</f>
        <v>0</v>
      </c>
    </row>
    <row r="360" spans="1:81" s="584" customFormat="1" ht="67.900000000000006" customHeight="1">
      <c r="A360" s="637"/>
      <c r="B360" s="645"/>
      <c r="C360" s="2010"/>
      <c r="D360" s="2010"/>
      <c r="E360" s="2010"/>
      <c r="F360" s="2010"/>
      <c r="G360" s="2010"/>
      <c r="H360" s="2010"/>
      <c r="I360" s="2010"/>
      <c r="J360" s="2010"/>
      <c r="K360" s="2010"/>
      <c r="L360" s="2010"/>
      <c r="M360" s="2010"/>
      <c r="N360" s="2010"/>
      <c r="O360" s="2010"/>
      <c r="P360" s="2010"/>
      <c r="Q360" s="2010"/>
      <c r="R360" s="2010"/>
      <c r="S360" s="2010"/>
      <c r="T360" s="2010"/>
      <c r="U360" s="2010"/>
      <c r="V360" s="2010"/>
      <c r="W360" s="2010"/>
      <c r="X360" s="2010"/>
      <c r="Y360" s="2010"/>
      <c r="Z360" s="2010"/>
      <c r="AA360" s="2010"/>
      <c r="AB360" s="2010"/>
      <c r="AC360" s="2010"/>
      <c r="AD360" s="2010"/>
      <c r="AE360" s="2010"/>
      <c r="AF360" s="2010"/>
      <c r="AG360" s="2010"/>
      <c r="AH360" s="2010"/>
      <c r="AI360" s="2010"/>
      <c r="AJ360" s="2010"/>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9">
        <f>Application!CS660-U363</f>
        <v>193</v>
      </c>
      <c r="V362" s="2119"/>
      <c r="W362" s="211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20">
        <f>IF(Application!D211="SRO",Application!CS634,Application!AG756)</f>
        <v>0</v>
      </c>
      <c r="V363" s="2120"/>
      <c r="W363" s="212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3">
        <f>IF(AP364&gt;0,AP364,0)</f>
        <v>0</v>
      </c>
      <c r="AR364" s="2033"/>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14" t="s">
        <v>1570</v>
      </c>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c r="AC366" s="2014"/>
      <c r="AD366" s="2014"/>
      <c r="AE366" s="2014"/>
      <c r="AF366" s="201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5"/>
      <c r="G367" s="2015"/>
      <c r="H367" s="2015"/>
      <c r="I367" s="2015"/>
      <c r="J367" s="2015"/>
      <c r="K367" s="2015"/>
      <c r="L367" s="2015"/>
      <c r="M367" s="2015"/>
      <c r="N367" s="2015"/>
      <c r="O367" s="2015"/>
      <c r="P367" s="2015"/>
      <c r="Q367" s="2015"/>
      <c r="R367" s="2015"/>
      <c r="S367" s="2015"/>
      <c r="T367" s="2015"/>
      <c r="U367" s="2015"/>
      <c r="V367" s="2015"/>
      <c r="W367" s="2015"/>
      <c r="X367" s="2015"/>
      <c r="Y367" s="2015"/>
      <c r="Z367" s="2015"/>
      <c r="AA367" s="2015"/>
      <c r="AB367" s="2015"/>
      <c r="AC367" s="2015"/>
      <c r="AD367" s="2015"/>
      <c r="AE367" s="2015"/>
      <c r="AF367" s="201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5"/>
      <c r="G368" s="2015"/>
      <c r="H368" s="2015"/>
      <c r="I368" s="2015"/>
      <c r="J368" s="2015"/>
      <c r="K368" s="2015"/>
      <c r="L368" s="2015"/>
      <c r="M368" s="2015"/>
      <c r="N368" s="2015"/>
      <c r="O368" s="2015"/>
      <c r="P368" s="2015"/>
      <c r="Q368" s="2015"/>
      <c r="R368" s="2015"/>
      <c r="S368" s="2015"/>
      <c r="T368" s="2015"/>
      <c r="U368" s="2015"/>
      <c r="V368" s="2015"/>
      <c r="W368" s="2015"/>
      <c r="X368" s="2015"/>
      <c r="Y368" s="2015"/>
      <c r="Z368" s="2015"/>
      <c r="AA368" s="2015"/>
      <c r="AB368" s="2015"/>
      <c r="AC368" s="2015"/>
      <c r="AD368" s="2015"/>
      <c r="AE368" s="2015"/>
      <c r="AF368" s="201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5"/>
      <c r="G369" s="2015"/>
      <c r="H369" s="2015"/>
      <c r="I369" s="2015"/>
      <c r="J369" s="2015"/>
      <c r="K369" s="2015"/>
      <c r="L369" s="2015"/>
      <c r="M369" s="2015"/>
      <c r="N369" s="2015"/>
      <c r="O369" s="2015"/>
      <c r="P369" s="2015"/>
      <c r="Q369" s="2015"/>
      <c r="R369" s="2015"/>
      <c r="S369" s="2015"/>
      <c r="T369" s="2015"/>
      <c r="U369" s="2015"/>
      <c r="V369" s="2015"/>
      <c r="W369" s="2015"/>
      <c r="X369" s="2015"/>
      <c r="Y369" s="2015"/>
      <c r="Z369" s="2015"/>
      <c r="AA369" s="2015"/>
      <c r="AB369" s="2015"/>
      <c r="AC369" s="2015"/>
      <c r="AD369" s="2015"/>
      <c r="AE369" s="2015"/>
      <c r="AF369" s="201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1" t="s">
        <v>599</v>
      </c>
      <c r="D370" s="1968"/>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2" t="s">
        <v>1572</v>
      </c>
      <c r="AG370" s="2012"/>
      <c r="AH370" s="2012"/>
      <c r="AI370" s="2012"/>
      <c r="AJ370" s="2012"/>
      <c r="AK370" s="2012"/>
      <c r="AL370" s="201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14" t="s">
        <v>1573</v>
      </c>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c r="AC373" s="2014"/>
      <c r="AD373" s="2014"/>
      <c r="AE373" s="2014"/>
      <c r="AF373" s="201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5"/>
      <c r="G374" s="2015"/>
      <c r="H374" s="2015"/>
      <c r="I374" s="2015"/>
      <c r="J374" s="2015"/>
      <c r="K374" s="2015"/>
      <c r="L374" s="2015"/>
      <c r="M374" s="2015"/>
      <c r="N374" s="2015"/>
      <c r="O374" s="2015"/>
      <c r="P374" s="2015"/>
      <c r="Q374" s="2015"/>
      <c r="R374" s="2015"/>
      <c r="S374" s="2015"/>
      <c r="T374" s="2015"/>
      <c r="U374" s="2015"/>
      <c r="V374" s="2015"/>
      <c r="W374" s="2015"/>
      <c r="X374" s="2015"/>
      <c r="Y374" s="2015"/>
      <c r="Z374" s="2015"/>
      <c r="AA374" s="2015"/>
      <c r="AB374" s="2015"/>
      <c r="AC374" s="2015"/>
      <c r="AD374" s="2015"/>
      <c r="AE374" s="2015"/>
      <c r="AF374" s="201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5"/>
      <c r="G375" s="2015"/>
      <c r="H375" s="2015"/>
      <c r="I375" s="2015"/>
      <c r="J375" s="2015"/>
      <c r="K375" s="2015"/>
      <c r="L375" s="2015"/>
      <c r="M375" s="2015"/>
      <c r="N375" s="2015"/>
      <c r="O375" s="2015"/>
      <c r="P375" s="2015"/>
      <c r="Q375" s="2015"/>
      <c r="R375" s="2015"/>
      <c r="S375" s="2015"/>
      <c r="T375" s="2015"/>
      <c r="U375" s="2015"/>
      <c r="V375" s="2015"/>
      <c r="W375" s="2015"/>
      <c r="X375" s="2015"/>
      <c r="Y375" s="2015"/>
      <c r="Z375" s="2015"/>
      <c r="AA375" s="2015"/>
      <c r="AB375" s="2015"/>
      <c r="AC375" s="2015"/>
      <c r="AD375" s="2015"/>
      <c r="AE375" s="2015"/>
      <c r="AF375" s="201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5"/>
      <c r="G376" s="2015"/>
      <c r="H376" s="2015"/>
      <c r="I376" s="2015"/>
      <c r="J376" s="2015"/>
      <c r="K376" s="2015"/>
      <c r="L376" s="2015"/>
      <c r="M376" s="2015"/>
      <c r="N376" s="2015"/>
      <c r="O376" s="2015"/>
      <c r="P376" s="2015"/>
      <c r="Q376" s="2015"/>
      <c r="R376" s="2015"/>
      <c r="S376" s="2015"/>
      <c r="T376" s="2015"/>
      <c r="U376" s="2015"/>
      <c r="V376" s="2015"/>
      <c r="W376" s="2015"/>
      <c r="X376" s="2015"/>
      <c r="Y376" s="2015"/>
      <c r="Z376" s="2015"/>
      <c r="AA376" s="2015"/>
      <c r="AB376" s="2015"/>
      <c r="AC376" s="2015"/>
      <c r="AD376" s="2015"/>
      <c r="AE376" s="2015"/>
      <c r="AF376" s="201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5"/>
      <c r="G377" s="2015"/>
      <c r="H377" s="2015"/>
      <c r="I377" s="2015"/>
      <c r="J377" s="2015"/>
      <c r="K377" s="2015"/>
      <c r="L377" s="2015"/>
      <c r="M377" s="2015"/>
      <c r="N377" s="2015"/>
      <c r="O377" s="2015"/>
      <c r="P377" s="2015"/>
      <c r="Q377" s="2015"/>
      <c r="R377" s="2015"/>
      <c r="S377" s="2015"/>
      <c r="T377" s="2015"/>
      <c r="U377" s="2015"/>
      <c r="V377" s="2015"/>
      <c r="W377" s="2015"/>
      <c r="X377" s="2015"/>
      <c r="Y377" s="2015"/>
      <c r="Z377" s="2015"/>
      <c r="AA377" s="2015"/>
      <c r="AB377" s="2015"/>
      <c r="AC377" s="2015"/>
      <c r="AD377" s="2015"/>
      <c r="AE377" s="2015"/>
      <c r="AF377" s="2015"/>
      <c r="AL377" s="766"/>
      <c r="AN377" s="631"/>
      <c r="BS377" s="30"/>
      <c r="BT377" s="30"/>
      <c r="BU377" s="14"/>
      <c r="BV377" s="14"/>
      <c r="BW377" s="14"/>
      <c r="BX377" s="14"/>
      <c r="BY377" s="14"/>
      <c r="BZ377" s="14"/>
      <c r="CA377" s="14"/>
      <c r="CB377" s="14"/>
      <c r="CC377" s="14"/>
    </row>
    <row r="378" spans="1:81" s="584" customFormat="1" ht="12.75" customHeight="1">
      <c r="A378" s="570"/>
      <c r="B378" s="14"/>
      <c r="C378" s="2011" t="s">
        <v>599</v>
      </c>
      <c r="D378" s="1968"/>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2" t="s">
        <v>1572</v>
      </c>
      <c r="AG378" s="2012"/>
      <c r="AH378" s="2012"/>
      <c r="AI378" s="2012"/>
      <c r="AJ378" s="2012"/>
      <c r="AK378" s="2012"/>
      <c r="AL378" s="201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14" t="s">
        <v>1575</v>
      </c>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c r="AC381" s="2014"/>
      <c r="AD381" s="2014"/>
      <c r="AE381" s="2014"/>
      <c r="AF381" s="201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5"/>
      <c r="G382" s="2015"/>
      <c r="H382" s="2015"/>
      <c r="I382" s="2015"/>
      <c r="J382" s="2015"/>
      <c r="K382" s="2015"/>
      <c r="L382" s="2015"/>
      <c r="M382" s="2015"/>
      <c r="N382" s="2015"/>
      <c r="O382" s="2015"/>
      <c r="P382" s="2015"/>
      <c r="Q382" s="2015"/>
      <c r="R382" s="2015"/>
      <c r="S382" s="2015"/>
      <c r="T382" s="2015"/>
      <c r="U382" s="2015"/>
      <c r="V382" s="2015"/>
      <c r="W382" s="2015"/>
      <c r="X382" s="2015"/>
      <c r="Y382" s="2015"/>
      <c r="Z382" s="2015"/>
      <c r="AA382" s="2015"/>
      <c r="AB382" s="2015"/>
      <c r="AC382" s="2015"/>
      <c r="AD382" s="2015"/>
      <c r="AE382" s="2015"/>
      <c r="AF382" s="201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5"/>
      <c r="G383" s="2015"/>
      <c r="H383" s="2015"/>
      <c r="I383" s="2015"/>
      <c r="J383" s="2015"/>
      <c r="K383" s="2015"/>
      <c r="L383" s="2015"/>
      <c r="M383" s="2015"/>
      <c r="N383" s="2015"/>
      <c r="O383" s="2015"/>
      <c r="P383" s="2015"/>
      <c r="Q383" s="2015"/>
      <c r="R383" s="2015"/>
      <c r="S383" s="2015"/>
      <c r="T383" s="2015"/>
      <c r="U383" s="2015"/>
      <c r="V383" s="2015"/>
      <c r="W383" s="2015"/>
      <c r="X383" s="2015"/>
      <c r="Y383" s="2015"/>
      <c r="Z383" s="2015"/>
      <c r="AA383" s="2015"/>
      <c r="AB383" s="2015"/>
      <c r="AC383" s="2015"/>
      <c r="AD383" s="2015"/>
      <c r="AE383" s="2015"/>
      <c r="AF383" s="201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5"/>
      <c r="G384" s="2015"/>
      <c r="H384" s="2015"/>
      <c r="I384" s="2015"/>
      <c r="J384" s="2015"/>
      <c r="K384" s="2015"/>
      <c r="L384" s="2015"/>
      <c r="M384" s="2015"/>
      <c r="N384" s="2015"/>
      <c r="O384" s="2015"/>
      <c r="P384" s="2015"/>
      <c r="Q384" s="2015"/>
      <c r="R384" s="2015"/>
      <c r="S384" s="2015"/>
      <c r="T384" s="2015"/>
      <c r="U384" s="2015"/>
      <c r="V384" s="2015"/>
      <c r="W384" s="2015"/>
      <c r="X384" s="2015"/>
      <c r="Y384" s="2015"/>
      <c r="Z384" s="2015"/>
      <c r="AA384" s="2015"/>
      <c r="AB384" s="2015"/>
      <c r="AC384" s="2015"/>
      <c r="AD384" s="2015"/>
      <c r="AE384" s="2015"/>
      <c r="AF384" s="201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5"/>
      <c r="G385" s="2015"/>
      <c r="H385" s="2015"/>
      <c r="I385" s="2015"/>
      <c r="J385" s="2015"/>
      <c r="K385" s="2015"/>
      <c r="L385" s="2015"/>
      <c r="M385" s="2015"/>
      <c r="N385" s="2015"/>
      <c r="O385" s="2015"/>
      <c r="P385" s="2015"/>
      <c r="Q385" s="2015"/>
      <c r="R385" s="2015"/>
      <c r="S385" s="2015"/>
      <c r="T385" s="2015"/>
      <c r="U385" s="2015"/>
      <c r="V385" s="2015"/>
      <c r="W385" s="2015"/>
      <c r="X385" s="2015"/>
      <c r="Y385" s="2015"/>
      <c r="Z385" s="2015"/>
      <c r="AA385" s="2015"/>
      <c r="AB385" s="2015"/>
      <c r="AC385" s="2015"/>
      <c r="AD385" s="2015"/>
      <c r="AE385" s="2015"/>
      <c r="AF385" s="201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1" t="s">
        <v>553</v>
      </c>
      <c r="D386" s="1968"/>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2" t="s">
        <v>1577</v>
      </c>
      <c r="AG386" s="2012"/>
      <c r="AH386" s="2012"/>
      <c r="AI386" s="2012"/>
      <c r="AJ386" s="2012"/>
      <c r="AK386" s="2012"/>
      <c r="AL386" s="201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1" t="s">
        <v>599</v>
      </c>
      <c r="D388" s="1968"/>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2" t="s">
        <v>1572</v>
      </c>
      <c r="AG388" s="2012"/>
      <c r="AH388" s="2012"/>
      <c r="AI388" s="2012"/>
      <c r="AJ388" s="2012"/>
      <c r="AK388" s="2012"/>
      <c r="AL388" s="201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14" t="s">
        <v>1581</v>
      </c>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c r="AC392" s="2014"/>
      <c r="AD392" s="2014"/>
      <c r="AE392" s="2014"/>
      <c r="AF392" s="201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5"/>
      <c r="G393" s="2015"/>
      <c r="H393" s="2015"/>
      <c r="I393" s="2015"/>
      <c r="J393" s="2015"/>
      <c r="K393" s="2015"/>
      <c r="L393" s="2015"/>
      <c r="M393" s="2015"/>
      <c r="N393" s="2015"/>
      <c r="O393" s="2015"/>
      <c r="P393" s="2015"/>
      <c r="Q393" s="2015"/>
      <c r="R393" s="2015"/>
      <c r="S393" s="2015"/>
      <c r="T393" s="2015"/>
      <c r="U393" s="2015"/>
      <c r="V393" s="2015"/>
      <c r="W393" s="2015"/>
      <c r="X393" s="2015"/>
      <c r="Y393" s="2015"/>
      <c r="Z393" s="2015"/>
      <c r="AA393" s="2015"/>
      <c r="AB393" s="2015"/>
      <c r="AC393" s="2015"/>
      <c r="AD393" s="2015"/>
      <c r="AE393" s="2015"/>
      <c r="AF393" s="201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15"/>
      <c r="G394" s="2015"/>
      <c r="H394" s="2015"/>
      <c r="I394" s="2015"/>
      <c r="J394" s="2015"/>
      <c r="K394" s="2015"/>
      <c r="L394" s="2015"/>
      <c r="M394" s="2015"/>
      <c r="N394" s="2015"/>
      <c r="O394" s="2015"/>
      <c r="P394" s="2015"/>
      <c r="Q394" s="2015"/>
      <c r="R394" s="2015"/>
      <c r="S394" s="2015"/>
      <c r="T394" s="2015"/>
      <c r="U394" s="2015"/>
      <c r="V394" s="2015"/>
      <c r="W394" s="2015"/>
      <c r="X394" s="2015"/>
      <c r="Y394" s="2015"/>
      <c r="Z394" s="2015"/>
      <c r="AA394" s="2015"/>
      <c r="AB394" s="2015"/>
      <c r="AC394" s="2015"/>
      <c r="AD394" s="2015"/>
      <c r="AE394" s="2015"/>
      <c r="AF394" s="201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5"/>
      <c r="G395" s="2015"/>
      <c r="H395" s="2015"/>
      <c r="I395" s="2015"/>
      <c r="J395" s="2015"/>
      <c r="K395" s="2015"/>
      <c r="L395" s="2015"/>
      <c r="M395" s="2015"/>
      <c r="N395" s="2015"/>
      <c r="O395" s="2015"/>
      <c r="P395" s="2015"/>
      <c r="Q395" s="2015"/>
      <c r="R395" s="2015"/>
      <c r="S395" s="2015"/>
      <c r="T395" s="2015"/>
      <c r="U395" s="2015"/>
      <c r="V395" s="2015"/>
      <c r="W395" s="2015"/>
      <c r="X395" s="2015"/>
      <c r="Y395" s="2015"/>
      <c r="Z395" s="2015"/>
      <c r="AA395" s="2015"/>
      <c r="AB395" s="2015"/>
      <c r="AC395" s="2015"/>
      <c r="AD395" s="2015"/>
      <c r="AE395" s="2015"/>
      <c r="AF395" s="201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1" t="s">
        <v>599</v>
      </c>
      <c r="D396" s="1968"/>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2" t="s">
        <v>1572</v>
      </c>
      <c r="AG396" s="2012"/>
      <c r="AH396" s="2012"/>
      <c r="AI396" s="2012"/>
      <c r="AJ396" s="2012"/>
      <c r="AK396" s="2012"/>
      <c r="AL396" s="201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1" t="s">
        <v>553</v>
      </c>
      <c r="D398" s="1968"/>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2" t="s">
        <v>1584</v>
      </c>
      <c r="AG398" s="2012"/>
      <c r="AH398" s="2012"/>
      <c r="AI398" s="2012"/>
      <c r="AJ398" s="2012"/>
      <c r="AK398" s="2012"/>
      <c r="AL398" s="201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1" t="s">
        <v>599</v>
      </c>
      <c r="D401" s="1968"/>
      <c r="E401" s="749" t="s">
        <v>1585</v>
      </c>
      <c r="F401" s="2014" t="s">
        <v>1586</v>
      </c>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c r="AC401" s="2014"/>
      <c r="AD401" s="2014"/>
      <c r="AE401" s="201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5"/>
      <c r="G402" s="2015"/>
      <c r="H402" s="2015"/>
      <c r="I402" s="2015"/>
      <c r="J402" s="2015"/>
      <c r="K402" s="2015"/>
      <c r="L402" s="2015"/>
      <c r="M402" s="2015"/>
      <c r="N402" s="2015"/>
      <c r="O402" s="2015"/>
      <c r="P402" s="2015"/>
      <c r="Q402" s="2015"/>
      <c r="R402" s="2015"/>
      <c r="S402" s="2015"/>
      <c r="T402" s="2015"/>
      <c r="U402" s="2015"/>
      <c r="V402" s="2015"/>
      <c r="W402" s="2015"/>
      <c r="X402" s="2015"/>
      <c r="Y402" s="2015"/>
      <c r="Z402" s="2015"/>
      <c r="AA402" s="2015"/>
      <c r="AB402" s="2015"/>
      <c r="AC402" s="2015"/>
      <c r="AD402" s="2015"/>
      <c r="AE402" s="2015"/>
      <c r="AF402" s="1937" t="s">
        <v>1572</v>
      </c>
      <c r="AG402" s="1937"/>
      <c r="AH402" s="1937"/>
      <c r="AI402" s="1937"/>
      <c r="AJ402" s="1937"/>
      <c r="AK402" s="1937"/>
      <c r="AL402" s="2016"/>
      <c r="AM402" s="604"/>
      <c r="AN402" s="631"/>
      <c r="BS402" s="604"/>
      <c r="BT402" s="604"/>
      <c r="BY402" s="604"/>
      <c r="BZ402" s="604"/>
      <c r="CA402" s="604"/>
      <c r="CB402" s="604"/>
      <c r="CC402" s="604"/>
    </row>
    <row r="403" spans="1:81" s="584" customFormat="1" ht="12.75" customHeight="1">
      <c r="A403" s="570"/>
      <c r="B403" s="14"/>
      <c r="C403" s="765"/>
      <c r="D403" s="14"/>
      <c r="E403" s="725"/>
      <c r="F403" s="2015"/>
      <c r="G403" s="2015"/>
      <c r="H403" s="2015"/>
      <c r="I403" s="2015"/>
      <c r="J403" s="2015"/>
      <c r="K403" s="2015"/>
      <c r="L403" s="2015"/>
      <c r="M403" s="2015"/>
      <c r="N403" s="2015"/>
      <c r="O403" s="2015"/>
      <c r="P403" s="2015"/>
      <c r="Q403" s="2015"/>
      <c r="R403" s="2015"/>
      <c r="S403" s="2015"/>
      <c r="T403" s="2015"/>
      <c r="U403" s="2015"/>
      <c r="V403" s="2015"/>
      <c r="W403" s="2015"/>
      <c r="X403" s="2015"/>
      <c r="Y403" s="2015"/>
      <c r="Z403" s="2015"/>
      <c r="AA403" s="2015"/>
      <c r="AB403" s="2015"/>
      <c r="AC403" s="2015"/>
      <c r="AD403" s="2015"/>
      <c r="AE403" s="201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4"/>
      <c r="G404" s="2034"/>
      <c r="H404" s="2034"/>
      <c r="I404" s="2034"/>
      <c r="J404" s="2034"/>
      <c r="K404" s="2034"/>
      <c r="L404" s="2034"/>
      <c r="M404" s="2034"/>
      <c r="N404" s="2034"/>
      <c r="O404" s="2034"/>
      <c r="P404" s="2034"/>
      <c r="Q404" s="2034"/>
      <c r="R404" s="2034"/>
      <c r="S404" s="2034"/>
      <c r="T404" s="2034"/>
      <c r="U404" s="2034"/>
      <c r="V404" s="2034"/>
      <c r="W404" s="2034"/>
      <c r="X404" s="2034"/>
      <c r="Y404" s="2034"/>
      <c r="Z404" s="2034"/>
      <c r="AA404" s="2034"/>
      <c r="AB404" s="2034"/>
      <c r="AC404" s="2034"/>
      <c r="AD404" s="2034"/>
      <c r="AE404" s="2034"/>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14" t="s">
        <v>1588</v>
      </c>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c r="AC406" s="2014"/>
      <c r="AD406" s="2014"/>
      <c r="AE406" s="2014"/>
      <c r="AF406" s="781"/>
      <c r="AG406" s="781"/>
      <c r="AH406" s="781"/>
      <c r="AI406" s="781"/>
      <c r="AJ406" s="781"/>
      <c r="AK406" s="781"/>
      <c r="AL406" s="782"/>
      <c r="AM406" s="604"/>
    </row>
    <row r="407" spans="1:81" ht="13">
      <c r="A407" s="570"/>
      <c r="C407" s="765"/>
      <c r="E407" s="725"/>
      <c r="F407" s="2015"/>
      <c r="G407" s="2015"/>
      <c r="H407" s="2015"/>
      <c r="I407" s="2015"/>
      <c r="J407" s="2015"/>
      <c r="K407" s="2015"/>
      <c r="L407" s="2015"/>
      <c r="M407" s="2015"/>
      <c r="N407" s="2015"/>
      <c r="O407" s="2015"/>
      <c r="P407" s="2015"/>
      <c r="Q407" s="2015"/>
      <c r="R407" s="2015"/>
      <c r="S407" s="2015"/>
      <c r="T407" s="2015"/>
      <c r="U407" s="2015"/>
      <c r="V407" s="2015"/>
      <c r="W407" s="2015"/>
      <c r="X407" s="2015"/>
      <c r="Y407" s="2015"/>
      <c r="Z407" s="2015"/>
      <c r="AA407" s="2015"/>
      <c r="AB407" s="2015"/>
      <c r="AC407" s="2015"/>
      <c r="AD407" s="2015"/>
      <c r="AE407" s="2015"/>
      <c r="AF407" s="573"/>
      <c r="AG407" s="570"/>
      <c r="AH407" s="584"/>
      <c r="AI407" s="584"/>
      <c r="AJ407" s="584"/>
      <c r="AK407" s="584"/>
      <c r="AL407" s="766"/>
      <c r="AM407" s="604"/>
    </row>
    <row r="408" spans="1:81" s="584" customFormat="1" ht="12.75" customHeight="1">
      <c r="A408" s="570"/>
      <c r="B408" s="14"/>
      <c r="C408" s="765"/>
      <c r="D408" s="14"/>
      <c r="E408" s="725"/>
      <c r="F408" s="2015"/>
      <c r="G408" s="2015"/>
      <c r="H408" s="2015"/>
      <c r="I408" s="2015"/>
      <c r="J408" s="2015"/>
      <c r="K408" s="2015"/>
      <c r="L408" s="2015"/>
      <c r="M408" s="2015"/>
      <c r="N408" s="2015"/>
      <c r="O408" s="2015"/>
      <c r="P408" s="2015"/>
      <c r="Q408" s="2015"/>
      <c r="R408" s="2015"/>
      <c r="S408" s="2015"/>
      <c r="T408" s="2015"/>
      <c r="U408" s="2015"/>
      <c r="V408" s="2015"/>
      <c r="W408" s="2015"/>
      <c r="X408" s="2015"/>
      <c r="Y408" s="2015"/>
      <c r="Z408" s="2015"/>
      <c r="AA408" s="2015"/>
      <c r="AB408" s="2015"/>
      <c r="AC408" s="2015"/>
      <c r="AD408" s="2015"/>
      <c r="AE408" s="2015"/>
      <c r="AL408" s="766"/>
      <c r="AM408" s="604"/>
      <c r="AN408" s="631"/>
    </row>
    <row r="409" spans="1:81" s="584" customFormat="1" ht="12.75" customHeight="1">
      <c r="A409" s="570"/>
      <c r="B409" s="14"/>
      <c r="C409" s="773"/>
      <c r="F409" s="2015"/>
      <c r="G409" s="2015"/>
      <c r="H409" s="2015"/>
      <c r="I409" s="2015"/>
      <c r="J409" s="2015"/>
      <c r="K409" s="2015"/>
      <c r="L409" s="2015"/>
      <c r="M409" s="2015"/>
      <c r="N409" s="2015"/>
      <c r="O409" s="2015"/>
      <c r="P409" s="2015"/>
      <c r="Q409" s="2015"/>
      <c r="R409" s="2015"/>
      <c r="S409" s="2015"/>
      <c r="T409" s="2015"/>
      <c r="U409" s="2015"/>
      <c r="V409" s="2015"/>
      <c r="W409" s="2015"/>
      <c r="X409" s="2015"/>
      <c r="Y409" s="2015"/>
      <c r="Z409" s="2015"/>
      <c r="AA409" s="2015"/>
      <c r="AB409" s="2015"/>
      <c r="AC409" s="2015"/>
      <c r="AD409" s="2015"/>
      <c r="AE409" s="2015"/>
      <c r="AL409" s="766"/>
      <c r="AM409" s="604"/>
      <c r="AN409" s="631"/>
    </row>
    <row r="410" spans="1:81" s="584" customFormat="1" ht="12.75" customHeight="1">
      <c r="A410" s="570"/>
      <c r="B410" s="14"/>
      <c r="C410" s="2011" t="s">
        <v>599</v>
      </c>
      <c r="D410" s="1968"/>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7" t="s">
        <v>1572</v>
      </c>
      <c r="AG410" s="1937"/>
      <c r="AH410" s="1937"/>
      <c r="AI410" s="1937"/>
      <c r="AJ410" s="1937"/>
      <c r="AK410" s="1937"/>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2011" t="s">
        <v>599</v>
      </c>
      <c r="D412" s="1968"/>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7" t="s">
        <v>1584</v>
      </c>
      <c r="AG412" s="1937"/>
      <c r="AH412" s="1937"/>
      <c r="AI412" s="1937"/>
      <c r="AJ412" s="1937"/>
      <c r="AK412" s="1937"/>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14" t="s">
        <v>1592</v>
      </c>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c r="AC416" s="2014"/>
      <c r="AD416" s="2014"/>
      <c r="AE416" s="2014"/>
      <c r="AF416" s="748"/>
      <c r="AG416" s="748"/>
      <c r="AH416" s="748"/>
      <c r="AI416" s="748"/>
      <c r="AJ416" s="748"/>
      <c r="AK416" s="748"/>
      <c r="AL416" s="779"/>
      <c r="AM416" s="604"/>
      <c r="AN416" s="631"/>
    </row>
    <row r="417" spans="1:60" s="584" customFormat="1" ht="12.75" customHeight="1">
      <c r="A417" s="570"/>
      <c r="B417" s="14"/>
      <c r="C417" s="765"/>
      <c r="D417" s="14"/>
      <c r="E417" s="725"/>
      <c r="F417" s="2015"/>
      <c r="G417" s="2015"/>
      <c r="H417" s="2015"/>
      <c r="I417" s="2015"/>
      <c r="J417" s="2015"/>
      <c r="K417" s="2015"/>
      <c r="L417" s="2015"/>
      <c r="M417" s="2015"/>
      <c r="N417" s="2015"/>
      <c r="O417" s="2015"/>
      <c r="P417" s="2015"/>
      <c r="Q417" s="2015"/>
      <c r="R417" s="2015"/>
      <c r="S417" s="2015"/>
      <c r="T417" s="2015"/>
      <c r="U417" s="2015"/>
      <c r="V417" s="2015"/>
      <c r="W417" s="2015"/>
      <c r="X417" s="2015"/>
      <c r="Y417" s="2015"/>
      <c r="Z417" s="2015"/>
      <c r="AA417" s="2015"/>
      <c r="AB417" s="2015"/>
      <c r="AC417" s="2015"/>
      <c r="AD417" s="2015"/>
      <c r="AE417" s="2015"/>
      <c r="AF417" s="573"/>
      <c r="AG417" s="570"/>
      <c r="AL417" s="766"/>
      <c r="AM417" s="604"/>
      <c r="AN417" s="631"/>
    </row>
    <row r="418" spans="1:60" s="584" customFormat="1" ht="12.4" customHeight="1">
      <c r="A418" s="570"/>
      <c r="B418" s="14"/>
      <c r="C418" s="765"/>
      <c r="D418" s="14"/>
      <c r="E418" s="725"/>
      <c r="F418" s="2015"/>
      <c r="G418" s="2015"/>
      <c r="H418" s="2015"/>
      <c r="I418" s="2015"/>
      <c r="J418" s="2015"/>
      <c r="K418" s="2015"/>
      <c r="L418" s="2015"/>
      <c r="M418" s="2015"/>
      <c r="N418" s="2015"/>
      <c r="O418" s="2015"/>
      <c r="P418" s="2015"/>
      <c r="Q418" s="2015"/>
      <c r="R418" s="2015"/>
      <c r="S418" s="2015"/>
      <c r="T418" s="2015"/>
      <c r="U418" s="2015"/>
      <c r="V418" s="2015"/>
      <c r="W418" s="2015"/>
      <c r="X418" s="2015"/>
      <c r="Y418" s="2015"/>
      <c r="Z418" s="2015"/>
      <c r="AA418" s="2015"/>
      <c r="AB418" s="2015"/>
      <c r="AC418" s="2015"/>
      <c r="AD418" s="2015"/>
      <c r="AE418" s="2015"/>
      <c r="AL418" s="766"/>
      <c r="AM418" s="604"/>
      <c r="AN418" s="631"/>
    </row>
    <row r="419" spans="1:60" s="584" customFormat="1" ht="12.75" customHeight="1">
      <c r="A419" s="570"/>
      <c r="B419" s="14"/>
      <c r="C419" s="2011" t="s">
        <v>599</v>
      </c>
      <c r="D419" s="1968"/>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7" t="s">
        <v>1572</v>
      </c>
      <c r="AG419" s="1937"/>
      <c r="AH419" s="1937"/>
      <c r="AI419" s="1937"/>
      <c r="AJ419" s="1937"/>
      <c r="AK419" s="1937"/>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14" t="s">
        <v>1595</v>
      </c>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c r="AC422" s="2014"/>
      <c r="AD422" s="2014"/>
      <c r="AE422" s="2014"/>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15"/>
      <c r="G423" s="2015"/>
      <c r="H423" s="2015"/>
      <c r="I423" s="2015"/>
      <c r="J423" s="2015"/>
      <c r="K423" s="2015"/>
      <c r="L423" s="2015"/>
      <c r="M423" s="2015"/>
      <c r="N423" s="2015"/>
      <c r="O423" s="2015"/>
      <c r="P423" s="2015"/>
      <c r="Q423" s="2015"/>
      <c r="R423" s="2015"/>
      <c r="S423" s="2015"/>
      <c r="T423" s="2015"/>
      <c r="U423" s="2015"/>
      <c r="V423" s="2015"/>
      <c r="W423" s="2015"/>
      <c r="X423" s="2015"/>
      <c r="Y423" s="2015"/>
      <c r="Z423" s="2015"/>
      <c r="AA423" s="2015"/>
      <c r="AB423" s="2015"/>
      <c r="AC423" s="2015"/>
      <c r="AD423" s="2015"/>
      <c r="AE423" s="2015"/>
      <c r="AF423" s="628"/>
      <c r="AG423" s="628"/>
      <c r="AH423" s="628"/>
      <c r="AI423" s="628"/>
      <c r="AJ423" s="628"/>
      <c r="AK423" s="628"/>
      <c r="AL423" s="784"/>
      <c r="AM423" s="604"/>
      <c r="AO423" s="584"/>
      <c r="AP423" s="584"/>
    </row>
    <row r="424" spans="1:60" s="584" customFormat="1" ht="12.75" customHeight="1">
      <c r="A424" s="570"/>
      <c r="B424" s="14"/>
      <c r="C424" s="765"/>
      <c r="D424" s="14"/>
      <c r="E424" s="725"/>
      <c r="F424" s="2015"/>
      <c r="G424" s="2015"/>
      <c r="H424" s="2015"/>
      <c r="I424" s="2015"/>
      <c r="J424" s="2015"/>
      <c r="K424" s="2015"/>
      <c r="L424" s="2015"/>
      <c r="M424" s="2015"/>
      <c r="N424" s="2015"/>
      <c r="O424" s="2015"/>
      <c r="P424" s="2015"/>
      <c r="Q424" s="2015"/>
      <c r="R424" s="2015"/>
      <c r="S424" s="2015"/>
      <c r="T424" s="2015"/>
      <c r="U424" s="2015"/>
      <c r="V424" s="2015"/>
      <c r="W424" s="2015"/>
      <c r="X424" s="2015"/>
      <c r="Y424" s="2015"/>
      <c r="Z424" s="2015"/>
      <c r="AA424" s="2015"/>
      <c r="AB424" s="2015"/>
      <c r="AC424" s="2015"/>
      <c r="AD424" s="2015"/>
      <c r="AE424" s="2015"/>
      <c r="AF424" s="628"/>
      <c r="AG424" s="628"/>
      <c r="AH424" s="628"/>
      <c r="AI424" s="628"/>
      <c r="AJ424" s="628"/>
      <c r="AK424" s="628"/>
      <c r="AL424" s="784"/>
      <c r="AM424" s="604"/>
      <c r="AN424" s="631"/>
    </row>
    <row r="425" spans="1:60" s="584" customFormat="1" ht="12.75" customHeight="1">
      <c r="A425" s="570"/>
      <c r="B425" s="14"/>
      <c r="C425" s="785"/>
      <c r="D425" s="764"/>
      <c r="E425" s="753"/>
      <c r="F425" s="2015"/>
      <c r="G425" s="2015"/>
      <c r="H425" s="2015"/>
      <c r="I425" s="2015"/>
      <c r="J425" s="2015"/>
      <c r="K425" s="2015"/>
      <c r="L425" s="2015"/>
      <c r="M425" s="2015"/>
      <c r="N425" s="2015"/>
      <c r="O425" s="2015"/>
      <c r="P425" s="2015"/>
      <c r="Q425" s="2015"/>
      <c r="R425" s="2015"/>
      <c r="S425" s="2015"/>
      <c r="T425" s="2015"/>
      <c r="U425" s="2015"/>
      <c r="V425" s="2015"/>
      <c r="W425" s="2015"/>
      <c r="X425" s="2015"/>
      <c r="Y425" s="2015"/>
      <c r="Z425" s="2015"/>
      <c r="AA425" s="2015"/>
      <c r="AB425" s="2015"/>
      <c r="AC425" s="2015"/>
      <c r="AD425" s="2015"/>
      <c r="AE425" s="201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5"/>
      <c r="G426" s="2015"/>
      <c r="H426" s="2015"/>
      <c r="I426" s="2015"/>
      <c r="J426" s="2015"/>
      <c r="K426" s="2015"/>
      <c r="L426" s="2015"/>
      <c r="M426" s="2015"/>
      <c r="N426" s="2015"/>
      <c r="O426" s="2015"/>
      <c r="P426" s="2015"/>
      <c r="Q426" s="2015"/>
      <c r="R426" s="2015"/>
      <c r="S426" s="2015"/>
      <c r="T426" s="2015"/>
      <c r="U426" s="2015"/>
      <c r="V426" s="2015"/>
      <c r="W426" s="2015"/>
      <c r="X426" s="2015"/>
      <c r="Y426" s="2015"/>
      <c r="Z426" s="2015"/>
      <c r="AA426" s="2015"/>
      <c r="AB426" s="2015"/>
      <c r="AC426" s="2015"/>
      <c r="AD426" s="2015"/>
      <c r="AE426" s="2015"/>
      <c r="AF426" s="628"/>
      <c r="AG426" s="628"/>
      <c r="AH426" s="628"/>
      <c r="AI426" s="628"/>
      <c r="AJ426" s="628"/>
      <c r="AK426" s="628"/>
      <c r="AL426" s="784"/>
      <c r="AM426" s="604"/>
      <c r="AN426" s="631"/>
    </row>
    <row r="427" spans="1:60" s="584" customFormat="1" ht="12.75" customHeight="1">
      <c r="A427" s="570"/>
      <c r="B427" s="14"/>
      <c r="C427" s="785"/>
      <c r="D427" s="764"/>
      <c r="E427" s="753"/>
      <c r="F427" s="2015"/>
      <c r="G427" s="2015"/>
      <c r="H427" s="2015"/>
      <c r="I427" s="2015"/>
      <c r="J427" s="2015"/>
      <c r="K427" s="2015"/>
      <c r="L427" s="2015"/>
      <c r="M427" s="2015"/>
      <c r="N427" s="2015"/>
      <c r="O427" s="2015"/>
      <c r="P427" s="2015"/>
      <c r="Q427" s="2015"/>
      <c r="R427" s="2015"/>
      <c r="S427" s="2015"/>
      <c r="T427" s="2015"/>
      <c r="U427" s="2015"/>
      <c r="V427" s="2015"/>
      <c r="W427" s="2015"/>
      <c r="X427" s="2015"/>
      <c r="Y427" s="2015"/>
      <c r="Z427" s="2015"/>
      <c r="AA427" s="2015"/>
      <c r="AB427" s="2015"/>
      <c r="AC427" s="2015"/>
      <c r="AD427" s="2015"/>
      <c r="AE427" s="2015"/>
      <c r="AF427" s="628"/>
      <c r="AG427" s="628"/>
      <c r="AH427" s="628"/>
      <c r="AI427" s="628"/>
      <c r="AJ427" s="628"/>
      <c r="AK427" s="628"/>
      <c r="AL427" s="784"/>
      <c r="AM427" s="604"/>
      <c r="AN427" s="631"/>
    </row>
    <row r="428" spans="1:60" s="584" customFormat="1" ht="12.75" customHeight="1">
      <c r="A428" s="570"/>
      <c r="B428" s="14"/>
      <c r="C428" s="785"/>
      <c r="D428" s="764"/>
      <c r="E428" s="753"/>
      <c r="F428" s="2015"/>
      <c r="G428" s="2015"/>
      <c r="H428" s="2015"/>
      <c r="I428" s="2015"/>
      <c r="J428" s="2015"/>
      <c r="K428" s="2015"/>
      <c r="L428" s="2015"/>
      <c r="M428" s="2015"/>
      <c r="N428" s="2015"/>
      <c r="O428" s="2015"/>
      <c r="P428" s="2015"/>
      <c r="Q428" s="2015"/>
      <c r="R428" s="2015"/>
      <c r="S428" s="2015"/>
      <c r="T428" s="2015"/>
      <c r="U428" s="2015"/>
      <c r="V428" s="2015"/>
      <c r="W428" s="2015"/>
      <c r="X428" s="2015"/>
      <c r="Y428" s="2015"/>
      <c r="Z428" s="2015"/>
      <c r="AA428" s="2015"/>
      <c r="AB428" s="2015"/>
      <c r="AC428" s="2015"/>
      <c r="AD428" s="2015"/>
      <c r="AE428" s="2015"/>
      <c r="AF428" s="628"/>
      <c r="AG428" s="628"/>
      <c r="AH428" s="628"/>
      <c r="AI428" s="628"/>
      <c r="AJ428" s="628"/>
      <c r="AK428" s="628"/>
      <c r="AL428" s="784"/>
      <c r="AM428" s="604"/>
      <c r="AN428" s="631"/>
    </row>
    <row r="429" spans="1:60" s="584" customFormat="1" ht="12.75" customHeight="1">
      <c r="A429" s="570"/>
      <c r="B429" s="14"/>
      <c r="C429" s="785"/>
      <c r="D429" s="764"/>
      <c r="E429" s="753"/>
      <c r="F429" s="2015"/>
      <c r="G429" s="2015"/>
      <c r="H429" s="2015"/>
      <c r="I429" s="2015"/>
      <c r="J429" s="2015"/>
      <c r="K429" s="2015"/>
      <c r="L429" s="2015"/>
      <c r="M429" s="2015"/>
      <c r="N429" s="2015"/>
      <c r="O429" s="2015"/>
      <c r="P429" s="2015"/>
      <c r="Q429" s="2015"/>
      <c r="R429" s="2015"/>
      <c r="S429" s="2015"/>
      <c r="T429" s="2015"/>
      <c r="U429" s="2015"/>
      <c r="V429" s="2015"/>
      <c r="W429" s="2015"/>
      <c r="X429" s="2015"/>
      <c r="Y429" s="2015"/>
      <c r="Z429" s="2015"/>
      <c r="AA429" s="2015"/>
      <c r="AB429" s="2015"/>
      <c r="AC429" s="2015"/>
      <c r="AD429" s="2015"/>
      <c r="AE429" s="2015"/>
      <c r="AF429" s="628"/>
      <c r="AG429" s="628"/>
      <c r="AH429" s="628"/>
      <c r="AI429" s="628"/>
      <c r="AJ429" s="628"/>
      <c r="AK429" s="628"/>
      <c r="AL429" s="784"/>
      <c r="AM429" s="604"/>
      <c r="AN429" s="631"/>
    </row>
    <row r="430" spans="1:60" s="584" customFormat="1" ht="17.25" customHeight="1">
      <c r="A430" s="570"/>
      <c r="B430" s="14"/>
      <c r="C430" s="785"/>
      <c r="D430" s="764"/>
      <c r="E430" s="753"/>
      <c r="F430" s="2015"/>
      <c r="G430" s="2015"/>
      <c r="H430" s="2015"/>
      <c r="I430" s="2015"/>
      <c r="J430" s="2015"/>
      <c r="K430" s="2015"/>
      <c r="L430" s="2015"/>
      <c r="M430" s="2015"/>
      <c r="N430" s="2015"/>
      <c r="O430" s="2015"/>
      <c r="P430" s="2015"/>
      <c r="Q430" s="2015"/>
      <c r="R430" s="2015"/>
      <c r="S430" s="2015"/>
      <c r="T430" s="2015"/>
      <c r="U430" s="2015"/>
      <c r="V430" s="2015"/>
      <c r="W430" s="2015"/>
      <c r="X430" s="2015"/>
      <c r="Y430" s="2015"/>
      <c r="Z430" s="2015"/>
      <c r="AA430" s="2015"/>
      <c r="AB430" s="2015"/>
      <c r="AC430" s="2015"/>
      <c r="AD430" s="2015"/>
      <c r="AE430" s="2015"/>
      <c r="AL430" s="766"/>
      <c r="AM430" s="604"/>
      <c r="AN430" s="631"/>
    </row>
    <row r="431" spans="1:60" s="584" customFormat="1" ht="12.75" customHeight="1">
      <c r="A431" s="570"/>
      <c r="B431" s="14"/>
      <c r="C431" s="2011" t="s">
        <v>599</v>
      </c>
      <c r="D431" s="1968"/>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7" t="s">
        <v>1572</v>
      </c>
      <c r="AG431" s="1937"/>
      <c r="AH431" s="1937"/>
      <c r="AI431" s="1937"/>
      <c r="AJ431" s="1937"/>
      <c r="AK431" s="1937"/>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14" t="s">
        <v>1598</v>
      </c>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c r="AC434" s="2014"/>
      <c r="AD434" s="2014"/>
      <c r="AE434" s="2014"/>
      <c r="AF434" s="748"/>
      <c r="AG434" s="748"/>
      <c r="AH434" s="748"/>
      <c r="AI434" s="748"/>
      <c r="AJ434" s="748"/>
      <c r="AK434" s="748"/>
      <c r="AL434" s="779"/>
      <c r="AM434" s="604"/>
      <c r="AN434" s="631"/>
    </row>
    <row r="435" spans="1:40" s="584" customFormat="1" ht="12.75" customHeight="1">
      <c r="A435" s="570"/>
      <c r="B435" s="14"/>
      <c r="C435" s="785"/>
      <c r="D435" s="764"/>
      <c r="E435" s="753"/>
      <c r="F435" s="2015"/>
      <c r="G435" s="2015"/>
      <c r="H435" s="2015"/>
      <c r="I435" s="2015"/>
      <c r="J435" s="2015"/>
      <c r="K435" s="2015"/>
      <c r="L435" s="2015"/>
      <c r="M435" s="2015"/>
      <c r="N435" s="2015"/>
      <c r="O435" s="2015"/>
      <c r="P435" s="2015"/>
      <c r="Q435" s="2015"/>
      <c r="R435" s="2015"/>
      <c r="S435" s="2015"/>
      <c r="T435" s="2015"/>
      <c r="U435" s="2015"/>
      <c r="V435" s="2015"/>
      <c r="W435" s="2015"/>
      <c r="X435" s="2015"/>
      <c r="Y435" s="2015"/>
      <c r="Z435" s="2015"/>
      <c r="AA435" s="2015"/>
      <c r="AB435" s="2015"/>
      <c r="AC435" s="2015"/>
      <c r="AD435" s="2015"/>
      <c r="AE435" s="2015"/>
      <c r="AF435" s="625"/>
      <c r="AG435" s="625"/>
      <c r="AH435" s="625"/>
      <c r="AI435" s="625"/>
      <c r="AJ435" s="625"/>
      <c r="AK435" s="625"/>
      <c r="AL435" s="754"/>
      <c r="AM435" s="604"/>
      <c r="AN435" s="631"/>
    </row>
    <row r="436" spans="1:40" s="584" customFormat="1" ht="12.75" customHeight="1">
      <c r="A436" s="570"/>
      <c r="B436" s="14"/>
      <c r="C436" s="785"/>
      <c r="D436" s="764"/>
      <c r="E436" s="753"/>
      <c r="F436" s="2015"/>
      <c r="G436" s="2015"/>
      <c r="H436" s="2015"/>
      <c r="I436" s="2015"/>
      <c r="J436" s="2015"/>
      <c r="K436" s="2015"/>
      <c r="L436" s="2015"/>
      <c r="M436" s="2015"/>
      <c r="N436" s="2015"/>
      <c r="O436" s="2015"/>
      <c r="P436" s="2015"/>
      <c r="Q436" s="2015"/>
      <c r="R436" s="2015"/>
      <c r="S436" s="2015"/>
      <c r="T436" s="2015"/>
      <c r="U436" s="2015"/>
      <c r="V436" s="2015"/>
      <c r="W436" s="2015"/>
      <c r="X436" s="2015"/>
      <c r="Y436" s="2015"/>
      <c r="Z436" s="2015"/>
      <c r="AA436" s="2015"/>
      <c r="AB436" s="2015"/>
      <c r="AC436" s="2015"/>
      <c r="AD436" s="2015"/>
      <c r="AE436" s="2015"/>
      <c r="AF436" s="625"/>
      <c r="AG436" s="625"/>
      <c r="AH436" s="625"/>
      <c r="AI436" s="625"/>
      <c r="AJ436" s="625"/>
      <c r="AK436" s="625"/>
      <c r="AL436" s="754"/>
      <c r="AM436" s="604"/>
      <c r="AN436" s="631"/>
    </row>
    <row r="437" spans="1:40" s="584" customFormat="1" ht="12.75" customHeight="1">
      <c r="A437" s="570"/>
      <c r="B437" s="14"/>
      <c r="C437" s="785"/>
      <c r="D437" s="764"/>
      <c r="E437" s="753"/>
      <c r="F437" s="2015"/>
      <c r="G437" s="2015"/>
      <c r="H437" s="2015"/>
      <c r="I437" s="2015"/>
      <c r="J437" s="2015"/>
      <c r="K437" s="2015"/>
      <c r="L437" s="2015"/>
      <c r="M437" s="2015"/>
      <c r="N437" s="2015"/>
      <c r="O437" s="2015"/>
      <c r="P437" s="2015"/>
      <c r="Q437" s="2015"/>
      <c r="R437" s="2015"/>
      <c r="S437" s="2015"/>
      <c r="T437" s="2015"/>
      <c r="U437" s="2015"/>
      <c r="V437" s="2015"/>
      <c r="W437" s="2015"/>
      <c r="X437" s="2015"/>
      <c r="Y437" s="2015"/>
      <c r="Z437" s="2015"/>
      <c r="AA437" s="2015"/>
      <c r="AB437" s="2015"/>
      <c r="AC437" s="2015"/>
      <c r="AD437" s="2015"/>
      <c r="AE437" s="2015"/>
      <c r="AL437" s="766"/>
      <c r="AM437" s="604"/>
      <c r="AN437" s="631"/>
    </row>
    <row r="438" spans="1:40" s="584" customFormat="1" ht="12.75" customHeight="1">
      <c r="A438" s="570"/>
      <c r="B438" s="14"/>
      <c r="C438" s="2011" t="s">
        <v>599</v>
      </c>
      <c r="D438" s="1968"/>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7" t="s">
        <v>1572</v>
      </c>
      <c r="AG438" s="1937"/>
      <c r="AH438" s="1937"/>
      <c r="AI438" s="1937"/>
      <c r="AJ438" s="1937"/>
      <c r="AK438" s="1937"/>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7" t="s">
        <v>599</v>
      </c>
      <c r="D442" s="2018"/>
      <c r="E442" s="749" t="s">
        <v>1607</v>
      </c>
      <c r="F442" s="2014" t="s">
        <v>1608</v>
      </c>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c r="AC442" s="2014"/>
      <c r="AD442" s="2014"/>
      <c r="AE442" s="2014"/>
      <c r="AF442" s="2035" t="s">
        <v>1572</v>
      </c>
      <c r="AG442" s="2035"/>
      <c r="AH442" s="2035"/>
      <c r="AI442" s="2035"/>
      <c r="AJ442" s="2035"/>
      <c r="AK442" s="2035"/>
      <c r="AL442" s="2036"/>
      <c r="AM442" s="604"/>
      <c r="AN442" s="787"/>
    </row>
    <row r="443" spans="1:40" s="584" customFormat="1" ht="12.75" customHeight="1">
      <c r="A443" s="570"/>
      <c r="B443" s="14"/>
      <c r="C443" s="785"/>
      <c r="D443" s="764"/>
      <c r="E443" s="753"/>
      <c r="F443" s="2015"/>
      <c r="G443" s="2015"/>
      <c r="H443" s="2015"/>
      <c r="I443" s="2015"/>
      <c r="J443" s="2015"/>
      <c r="K443" s="2015"/>
      <c r="L443" s="2015"/>
      <c r="M443" s="2015"/>
      <c r="N443" s="2015"/>
      <c r="O443" s="2015"/>
      <c r="P443" s="2015"/>
      <c r="Q443" s="2015"/>
      <c r="R443" s="2015"/>
      <c r="S443" s="2015"/>
      <c r="T443" s="2015"/>
      <c r="U443" s="2015"/>
      <c r="V443" s="2015"/>
      <c r="W443" s="2015"/>
      <c r="X443" s="2015"/>
      <c r="Y443" s="2015"/>
      <c r="Z443" s="2015"/>
      <c r="AA443" s="2015"/>
      <c r="AB443" s="2015"/>
      <c r="AC443" s="2015"/>
      <c r="AD443" s="2015"/>
      <c r="AE443" s="2015"/>
      <c r="AF443" s="625"/>
      <c r="AG443" s="625"/>
      <c r="AH443" s="625"/>
      <c r="AI443" s="625"/>
      <c r="AJ443" s="625"/>
      <c r="AK443" s="625"/>
      <c r="AL443" s="754"/>
      <c r="AM443" s="604"/>
      <c r="AN443" s="788"/>
    </row>
    <row r="444" spans="1:40" s="584" customFormat="1" ht="17.649999999999999" customHeight="1">
      <c r="A444" s="570"/>
      <c r="B444" s="14"/>
      <c r="C444" s="790"/>
      <c r="D444" s="757"/>
      <c r="E444" s="758"/>
      <c r="F444" s="2034"/>
      <c r="G444" s="2034"/>
      <c r="H444" s="2034"/>
      <c r="I444" s="2034"/>
      <c r="J444" s="2034"/>
      <c r="K444" s="2034"/>
      <c r="L444" s="2034"/>
      <c r="M444" s="2034"/>
      <c r="N444" s="2034"/>
      <c r="O444" s="2034"/>
      <c r="P444" s="2034"/>
      <c r="Q444" s="2034"/>
      <c r="R444" s="2034"/>
      <c r="S444" s="2034"/>
      <c r="T444" s="2034"/>
      <c r="U444" s="2034"/>
      <c r="V444" s="2034"/>
      <c r="W444" s="2034"/>
      <c r="X444" s="2034"/>
      <c r="Y444" s="2034"/>
      <c r="Z444" s="2034"/>
      <c r="AA444" s="2034"/>
      <c r="AB444" s="2034"/>
      <c r="AC444" s="2034"/>
      <c r="AD444" s="2034"/>
      <c r="AE444" s="203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1" t="s">
        <v>599</v>
      </c>
      <c r="D446" s="1968"/>
      <c r="E446" s="749" t="s">
        <v>1613</v>
      </c>
      <c r="F446" s="2014" t="s">
        <v>1614</v>
      </c>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c r="AC446" s="2014"/>
      <c r="AD446" s="2014"/>
      <c r="AE446" s="2014"/>
      <c r="AF446" s="2035" t="s">
        <v>1572</v>
      </c>
      <c r="AG446" s="2035"/>
      <c r="AH446" s="2035"/>
      <c r="AI446" s="2035"/>
      <c r="AJ446" s="2035"/>
      <c r="AK446" s="2035"/>
      <c r="AL446" s="2036"/>
      <c r="AM446" s="604"/>
      <c r="AN446" s="569"/>
    </row>
    <row r="447" spans="1:40" s="584" customFormat="1" ht="12.75" customHeight="1">
      <c r="A447" s="570"/>
      <c r="B447" s="14"/>
      <c r="C447" s="765"/>
      <c r="D447" s="14"/>
      <c r="E447" s="725"/>
      <c r="F447" s="2015"/>
      <c r="G447" s="2015"/>
      <c r="H447" s="2015"/>
      <c r="I447" s="2015"/>
      <c r="J447" s="2015"/>
      <c r="K447" s="2015"/>
      <c r="L447" s="2015"/>
      <c r="M447" s="2015"/>
      <c r="N447" s="2015"/>
      <c r="O447" s="2015"/>
      <c r="P447" s="2015"/>
      <c r="Q447" s="2015"/>
      <c r="R447" s="2015"/>
      <c r="S447" s="2015"/>
      <c r="T447" s="2015"/>
      <c r="U447" s="2015"/>
      <c r="V447" s="2015"/>
      <c r="W447" s="2015"/>
      <c r="X447" s="2015"/>
      <c r="Y447" s="2015"/>
      <c r="Z447" s="2015"/>
      <c r="AA447" s="2015"/>
      <c r="AB447" s="2015"/>
      <c r="AC447" s="2015"/>
      <c r="AD447" s="2015"/>
      <c r="AE447" s="2015"/>
      <c r="AF447" s="573"/>
      <c r="AG447" s="570"/>
      <c r="AL447" s="766"/>
      <c r="AM447" s="604"/>
      <c r="AN447" s="569"/>
    </row>
    <row r="448" spans="1:40" s="584" customFormat="1" ht="12.75" customHeight="1">
      <c r="A448" s="570"/>
      <c r="B448" s="14"/>
      <c r="C448" s="765"/>
      <c r="D448" s="14"/>
      <c r="E448" s="725"/>
      <c r="F448" s="2015"/>
      <c r="G448" s="2015"/>
      <c r="H448" s="2015"/>
      <c r="I448" s="2015"/>
      <c r="J448" s="2015"/>
      <c r="K448" s="2015"/>
      <c r="L448" s="2015"/>
      <c r="M448" s="2015"/>
      <c r="N448" s="2015"/>
      <c r="O448" s="2015"/>
      <c r="P448" s="2015"/>
      <c r="Q448" s="2015"/>
      <c r="R448" s="2015"/>
      <c r="S448" s="2015"/>
      <c r="T448" s="2015"/>
      <c r="U448" s="2015"/>
      <c r="V448" s="2015"/>
      <c r="W448" s="2015"/>
      <c r="X448" s="2015"/>
      <c r="Y448" s="2015"/>
      <c r="Z448" s="2015"/>
      <c r="AA448" s="2015"/>
      <c r="AB448" s="2015"/>
      <c r="AC448" s="2015"/>
      <c r="AD448" s="2015"/>
      <c r="AE448" s="2015"/>
      <c r="AF448" s="573"/>
      <c r="AG448" s="570"/>
      <c r="AL448" s="766"/>
      <c r="AM448" s="604"/>
      <c r="AN448" s="569"/>
    </row>
    <row r="449" spans="1:48" s="584" customFormat="1" ht="12.75" customHeight="1">
      <c r="A449" s="570"/>
      <c r="B449" s="14"/>
      <c r="C449" s="790"/>
      <c r="D449" s="757"/>
      <c r="E449" s="758"/>
      <c r="F449" s="2034"/>
      <c r="G449" s="2034"/>
      <c r="H449" s="2034"/>
      <c r="I449" s="2034"/>
      <c r="J449" s="2034"/>
      <c r="K449" s="2034"/>
      <c r="L449" s="2034"/>
      <c r="M449" s="2034"/>
      <c r="N449" s="2034"/>
      <c r="O449" s="2034"/>
      <c r="P449" s="2034"/>
      <c r="Q449" s="2034"/>
      <c r="R449" s="2034"/>
      <c r="S449" s="2034"/>
      <c r="T449" s="2034"/>
      <c r="U449" s="2034"/>
      <c r="V449" s="2034"/>
      <c r="W449" s="2034"/>
      <c r="X449" s="2034"/>
      <c r="Y449" s="2034"/>
      <c r="Z449" s="2034"/>
      <c r="AA449" s="2034"/>
      <c r="AB449" s="2034"/>
      <c r="AC449" s="2034"/>
      <c r="AD449" s="2034"/>
      <c r="AE449" s="203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14" t="s">
        <v>1617</v>
      </c>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c r="AC451" s="2014"/>
      <c r="AD451" s="2014"/>
      <c r="AE451" s="2014"/>
      <c r="AF451" s="2014"/>
      <c r="AG451" s="778"/>
      <c r="AH451" s="748"/>
      <c r="AI451" s="748"/>
      <c r="AJ451" s="748"/>
      <c r="AK451" s="748"/>
      <c r="AL451" s="779"/>
      <c r="AM451" s="604"/>
      <c r="AN451" s="631"/>
    </row>
    <row r="452" spans="1:48" s="584" customFormat="1" ht="12.75" customHeight="1">
      <c r="A452" s="570"/>
      <c r="B452" s="14"/>
      <c r="C452" s="765"/>
      <c r="D452" s="14"/>
      <c r="E452" s="725"/>
      <c r="F452" s="2015"/>
      <c r="G452" s="2015"/>
      <c r="H452" s="2015"/>
      <c r="I452" s="2015"/>
      <c r="J452" s="2015"/>
      <c r="K452" s="2015"/>
      <c r="L452" s="2015"/>
      <c r="M452" s="2015"/>
      <c r="N452" s="2015"/>
      <c r="O452" s="2015"/>
      <c r="P452" s="2015"/>
      <c r="Q452" s="2015"/>
      <c r="R452" s="2015"/>
      <c r="S452" s="2015"/>
      <c r="T452" s="2015"/>
      <c r="U452" s="2015"/>
      <c r="V452" s="2015"/>
      <c r="W452" s="2015"/>
      <c r="X452" s="2015"/>
      <c r="Y452" s="2015"/>
      <c r="Z452" s="2015"/>
      <c r="AA452" s="2015"/>
      <c r="AB452" s="2015"/>
      <c r="AC452" s="2015"/>
      <c r="AD452" s="2015"/>
      <c r="AE452" s="2015"/>
      <c r="AF452" s="2015"/>
      <c r="AL452" s="766"/>
      <c r="AM452" s="604"/>
      <c r="AN452" s="631"/>
    </row>
    <row r="453" spans="1:48" s="584" customFormat="1" ht="12.75" customHeight="1">
      <c r="A453" s="570"/>
      <c r="B453" s="14"/>
      <c r="C453" s="773"/>
      <c r="F453" s="2015"/>
      <c r="G453" s="2015"/>
      <c r="H453" s="2015"/>
      <c r="I453" s="2015"/>
      <c r="J453" s="2015"/>
      <c r="K453" s="2015"/>
      <c r="L453" s="2015"/>
      <c r="M453" s="2015"/>
      <c r="N453" s="2015"/>
      <c r="O453" s="2015"/>
      <c r="P453" s="2015"/>
      <c r="Q453" s="2015"/>
      <c r="R453" s="2015"/>
      <c r="S453" s="2015"/>
      <c r="T453" s="2015"/>
      <c r="U453" s="2015"/>
      <c r="V453" s="2015"/>
      <c r="W453" s="2015"/>
      <c r="X453" s="2015"/>
      <c r="Y453" s="2015"/>
      <c r="Z453" s="2015"/>
      <c r="AA453" s="2015"/>
      <c r="AB453" s="2015"/>
      <c r="AC453" s="2015"/>
      <c r="AD453" s="2015"/>
      <c r="AE453" s="2015"/>
      <c r="AF453" s="2015"/>
      <c r="AL453" s="766"/>
      <c r="AM453" s="604"/>
      <c r="AN453" s="631"/>
    </row>
    <row r="454" spans="1:48" s="584" customFormat="1" ht="12.75" customHeight="1">
      <c r="A454" s="570"/>
      <c r="B454" s="14"/>
      <c r="C454" s="773"/>
      <c r="F454" s="2015"/>
      <c r="G454" s="2015"/>
      <c r="H454" s="2015"/>
      <c r="I454" s="2015"/>
      <c r="J454" s="2015"/>
      <c r="K454" s="2015"/>
      <c r="L454" s="2015"/>
      <c r="M454" s="2015"/>
      <c r="N454" s="2015"/>
      <c r="O454" s="2015"/>
      <c r="P454" s="2015"/>
      <c r="Q454" s="2015"/>
      <c r="R454" s="2015"/>
      <c r="S454" s="2015"/>
      <c r="T454" s="2015"/>
      <c r="U454" s="2015"/>
      <c r="V454" s="2015"/>
      <c r="W454" s="2015"/>
      <c r="X454" s="2015"/>
      <c r="Y454" s="2015"/>
      <c r="Z454" s="2015"/>
      <c r="AA454" s="2015"/>
      <c r="AB454" s="2015"/>
      <c r="AC454" s="2015"/>
      <c r="AD454" s="2015"/>
      <c r="AE454" s="2015"/>
      <c r="AF454" s="2015"/>
      <c r="AL454" s="766"/>
      <c r="AM454" s="604"/>
      <c r="AN454" s="631"/>
    </row>
    <row r="455" spans="1:48" s="584" customFormat="1" ht="12.75" customHeight="1">
      <c r="A455" s="570"/>
      <c r="B455" s="14"/>
      <c r="C455" s="2011" t="s">
        <v>599</v>
      </c>
      <c r="D455" s="1968"/>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2" t="s">
        <v>1572</v>
      </c>
      <c r="AG455" s="2012"/>
      <c r="AH455" s="2012"/>
      <c r="AI455" s="2012"/>
      <c r="AJ455" s="2012"/>
      <c r="AK455" s="2012"/>
      <c r="AL455" s="201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71">
        <f>IF(Application!D214="N/A",AS347,AS349)</f>
        <v>10</v>
      </c>
      <c r="AL458" s="1972"/>
      <c r="AM458" s="197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12" t="s">
        <v>1621</v>
      </c>
      <c r="AF461" s="2012"/>
      <c r="AG461" s="2012"/>
      <c r="AH461" s="2012"/>
      <c r="AI461" s="2012"/>
      <c r="AJ461" s="2012"/>
      <c r="AK461" s="2012"/>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7" t="s">
        <v>599</v>
      </c>
      <c r="D467" s="2038"/>
      <c r="E467" s="795" t="s">
        <v>515</v>
      </c>
      <c r="F467" s="2039" t="s">
        <v>1627</v>
      </c>
      <c r="G467" s="2039"/>
      <c r="H467" s="2039"/>
      <c r="I467" s="2039"/>
      <c r="J467" s="2039"/>
      <c r="K467" s="2039"/>
      <c r="L467" s="2039"/>
      <c r="M467" s="2039"/>
      <c r="N467" s="2039"/>
      <c r="O467" s="2039"/>
      <c r="P467" s="2039"/>
      <c r="Q467" s="2039"/>
      <c r="R467" s="2039"/>
      <c r="S467" s="2039"/>
      <c r="T467" s="2039"/>
      <c r="U467" s="2039"/>
      <c r="V467" s="2039"/>
      <c r="W467" s="2039"/>
      <c r="X467" s="2039"/>
      <c r="Y467" s="2039"/>
      <c r="Z467" s="2039"/>
      <c r="AA467" s="2039"/>
      <c r="AB467" s="2039"/>
      <c r="AC467" s="2039"/>
      <c r="AD467" s="2039"/>
      <c r="AE467" s="2039"/>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40"/>
      <c r="G468" s="2040"/>
      <c r="H468" s="2040"/>
      <c r="I468" s="2040"/>
      <c r="J468" s="2040"/>
      <c r="K468" s="2040"/>
      <c r="L468" s="2040"/>
      <c r="M468" s="2040"/>
      <c r="N468" s="2040"/>
      <c r="O468" s="2040"/>
      <c r="P468" s="2040"/>
      <c r="Q468" s="2040"/>
      <c r="R468" s="2040"/>
      <c r="S468" s="2040"/>
      <c r="T468" s="2040"/>
      <c r="U468" s="2040"/>
      <c r="V468" s="2040"/>
      <c r="W468" s="2040"/>
      <c r="X468" s="2040"/>
      <c r="Y468" s="2040"/>
      <c r="Z468" s="2040"/>
      <c r="AA468" s="2040"/>
      <c r="AB468" s="2040"/>
      <c r="AC468" s="2040"/>
      <c r="AD468" s="2040"/>
      <c r="AE468" s="2040"/>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41" t="s">
        <v>599</v>
      </c>
      <c r="G469" s="2041"/>
      <c r="H469" s="2041"/>
      <c r="I469" s="2041"/>
      <c r="J469" s="2041"/>
      <c r="K469" s="2041"/>
      <c r="L469" s="2041"/>
      <c r="M469" s="2041"/>
      <c r="N469" s="2041"/>
      <c r="O469" s="2041"/>
      <c r="P469" s="2041"/>
      <c r="Q469" s="2041"/>
      <c r="R469" s="2041"/>
      <c r="S469" s="2041"/>
      <c r="T469" s="2041"/>
      <c r="U469" s="2041"/>
      <c r="V469" s="2041"/>
      <c r="W469" s="2041"/>
      <c r="X469" s="2041"/>
      <c r="Y469" s="2041"/>
      <c r="Z469" s="2041"/>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2" t="s">
        <v>553</v>
      </c>
      <c r="D471" s="2043"/>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9" t="s">
        <v>599</v>
      </c>
      <c r="W474" s="2049"/>
      <c r="X474" s="2049"/>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9" t="s">
        <v>599</v>
      </c>
      <c r="W476" s="2049"/>
      <c r="X476" s="2049"/>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9" t="s">
        <v>599</v>
      </c>
      <c r="W481" s="2049"/>
      <c r="X481" s="2049"/>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8"/>
      <c r="E484" s="2048"/>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9" t="s">
        <v>599</v>
      </c>
      <c r="W485" s="2049"/>
      <c r="X485" s="2049"/>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9" t="s">
        <v>599</v>
      </c>
      <c r="W487" s="2049"/>
      <c r="X487" s="2049"/>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7" t="s">
        <v>599</v>
      </c>
      <c r="D490" s="2038"/>
      <c r="E490" s="795" t="s">
        <v>515</v>
      </c>
      <c r="F490" s="2039" t="s">
        <v>1627</v>
      </c>
      <c r="G490" s="2039"/>
      <c r="H490" s="2039"/>
      <c r="I490" s="2039"/>
      <c r="J490" s="2039"/>
      <c r="K490" s="2039"/>
      <c r="L490" s="2039"/>
      <c r="M490" s="2039"/>
      <c r="N490" s="2039"/>
      <c r="O490" s="2039"/>
      <c r="P490" s="2039"/>
      <c r="Q490" s="2039"/>
      <c r="R490" s="2039"/>
      <c r="S490" s="2039"/>
      <c r="T490" s="2039"/>
      <c r="U490" s="2039"/>
      <c r="V490" s="2039"/>
      <c r="W490" s="2039"/>
      <c r="X490" s="2039"/>
      <c r="Y490" s="2039"/>
      <c r="Z490" s="2039"/>
      <c r="AA490" s="2039"/>
      <c r="AB490" s="2039"/>
      <c r="AC490" s="2039"/>
      <c r="AD490" s="2039"/>
      <c r="AE490" s="203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0"/>
      <c r="G491" s="2040"/>
      <c r="H491" s="2040"/>
      <c r="I491" s="2040"/>
      <c r="J491" s="2040"/>
      <c r="K491" s="2040"/>
      <c r="L491" s="2040"/>
      <c r="M491" s="2040"/>
      <c r="N491" s="2040"/>
      <c r="O491" s="2040"/>
      <c r="P491" s="2040"/>
      <c r="Q491" s="2040"/>
      <c r="R491" s="2040"/>
      <c r="S491" s="2040"/>
      <c r="T491" s="2040"/>
      <c r="U491" s="2040"/>
      <c r="V491" s="2040"/>
      <c r="W491" s="2040"/>
      <c r="X491" s="2040"/>
      <c r="Y491" s="2040"/>
      <c r="Z491" s="2040"/>
      <c r="AA491" s="2040"/>
      <c r="AB491" s="2040"/>
      <c r="AC491" s="2040"/>
      <c r="AD491" s="2040"/>
      <c r="AE491" s="204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4" t="s">
        <v>599</v>
      </c>
      <c r="G492" s="2044"/>
      <c r="H492" s="2044"/>
      <c r="I492" s="2044"/>
      <c r="J492" s="2044"/>
      <c r="K492" s="2044"/>
      <c r="L492" s="2044"/>
      <c r="M492" s="2044"/>
      <c r="N492" s="2044"/>
      <c r="O492" s="2044"/>
      <c r="P492" s="2044"/>
      <c r="Q492" s="2044"/>
      <c r="R492" s="2044"/>
      <c r="S492" s="2044"/>
      <c r="T492" s="2044"/>
      <c r="U492" s="2044"/>
      <c r="V492" s="2044"/>
      <c r="W492" s="2044"/>
      <c r="X492" s="2044"/>
      <c r="Y492" s="2044"/>
      <c r="Z492" s="2044"/>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7" t="s">
        <v>599</v>
      </c>
      <c r="D494" s="2038"/>
      <c r="E494" s="795" t="s">
        <v>766</v>
      </c>
      <c r="F494" s="2045" t="s">
        <v>1649</v>
      </c>
      <c r="G494" s="2045"/>
      <c r="H494" s="2045"/>
      <c r="I494" s="2045"/>
      <c r="J494" s="2045"/>
      <c r="K494" s="2045"/>
      <c r="L494" s="2045"/>
      <c r="M494" s="2045"/>
      <c r="N494" s="2045"/>
      <c r="O494" s="2045"/>
      <c r="P494" s="2045"/>
      <c r="Q494" s="2045"/>
      <c r="R494" s="2045"/>
      <c r="S494" s="2045"/>
      <c r="T494" s="2045"/>
      <c r="U494" s="2045"/>
      <c r="V494" s="2045"/>
      <c r="W494" s="2045"/>
      <c r="X494" s="2045"/>
      <c r="Y494" s="2045"/>
      <c r="Z494" s="2045"/>
      <c r="AA494" s="2045"/>
      <c r="AB494" s="2045"/>
      <c r="AC494" s="2045"/>
      <c r="AD494" s="2045"/>
      <c r="AE494" s="204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6"/>
      <c r="G495" s="2046"/>
      <c r="H495" s="2046"/>
      <c r="I495" s="2046"/>
      <c r="J495" s="2046"/>
      <c r="K495" s="2046"/>
      <c r="L495" s="2046"/>
      <c r="M495" s="2046"/>
      <c r="N495" s="2046"/>
      <c r="O495" s="2046"/>
      <c r="P495" s="2046"/>
      <c r="Q495" s="2046"/>
      <c r="R495" s="2046"/>
      <c r="S495" s="2046"/>
      <c r="T495" s="2046"/>
      <c r="U495" s="2046"/>
      <c r="V495" s="2046"/>
      <c r="W495" s="2046"/>
      <c r="X495" s="2046"/>
      <c r="Y495" s="2046"/>
      <c r="Z495" s="2046"/>
      <c r="AA495" s="2046"/>
      <c r="AB495" s="2046"/>
      <c r="AC495" s="2046"/>
      <c r="AD495" s="2046"/>
      <c r="AE495" s="204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7" t="s">
        <v>599</v>
      </c>
      <c r="G497" s="2047"/>
      <c r="H497" s="204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7" t="s">
        <v>599</v>
      </c>
      <c r="D499" s="2038"/>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60"/>
      <c r="D501" s="2048"/>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1" t="s">
        <v>599</v>
      </c>
      <c r="H502" s="2061"/>
      <c r="I502" s="2061"/>
      <c r="J502" s="2061"/>
      <c r="K502" s="2061"/>
      <c r="L502" s="2061"/>
      <c r="M502" s="2061"/>
      <c r="N502" s="2061"/>
      <c r="O502" s="2061"/>
      <c r="P502" s="2061"/>
      <c r="Q502" s="2061"/>
      <c r="R502" s="2061"/>
      <c r="S502" s="2061"/>
      <c r="T502" s="2061"/>
      <c r="U502" s="2061"/>
      <c r="V502" s="2061"/>
      <c r="W502" s="2061"/>
      <c r="X502" s="2061"/>
      <c r="Y502" s="2061"/>
      <c r="Z502" s="2061"/>
      <c r="AA502" s="2061"/>
      <c r="AB502" s="2061"/>
      <c r="AC502" s="2061"/>
      <c r="AD502" s="2061"/>
      <c r="AE502" s="2061"/>
      <c r="AF502" s="206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2" t="s">
        <v>599</v>
      </c>
      <c r="D504" s="2063"/>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2" t="s">
        <v>599</v>
      </c>
      <c r="D508" s="2063"/>
      <c r="F508" s="829" t="s">
        <v>1657</v>
      </c>
      <c r="G508" s="2015" t="s">
        <v>1658</v>
      </c>
      <c r="H508" s="2015"/>
      <c r="I508" s="2015"/>
      <c r="J508" s="2015"/>
      <c r="K508" s="2015"/>
      <c r="L508" s="2015"/>
      <c r="M508" s="2015"/>
      <c r="N508" s="2015"/>
      <c r="O508" s="2015"/>
      <c r="P508" s="2015"/>
      <c r="Q508" s="2015"/>
      <c r="R508" s="2015"/>
      <c r="S508" s="2015"/>
      <c r="T508" s="2015"/>
      <c r="U508" s="2015"/>
      <c r="V508" s="2015"/>
      <c r="W508" s="2015"/>
      <c r="X508" s="2015"/>
      <c r="Y508" s="2015"/>
      <c r="Z508" s="2015"/>
      <c r="AA508" s="2015"/>
      <c r="AB508" s="2015"/>
      <c r="AC508" s="2015"/>
      <c r="AD508" s="2015"/>
      <c r="AE508" s="2015"/>
      <c r="AF508" s="2015"/>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4"/>
      <c r="H509" s="2034"/>
      <c r="I509" s="2034"/>
      <c r="J509" s="2034"/>
      <c r="K509" s="2034"/>
      <c r="L509" s="2034"/>
      <c r="M509" s="2034"/>
      <c r="N509" s="2034"/>
      <c r="O509" s="2034"/>
      <c r="P509" s="2034"/>
      <c r="Q509" s="2034"/>
      <c r="R509" s="2034"/>
      <c r="S509" s="2034"/>
      <c r="T509" s="2034"/>
      <c r="U509" s="2034"/>
      <c r="V509" s="2034"/>
      <c r="W509" s="2034"/>
      <c r="X509" s="2034"/>
      <c r="Y509" s="2034"/>
      <c r="Z509" s="2034"/>
      <c r="AA509" s="2034"/>
      <c r="AB509" s="2034"/>
      <c r="AC509" s="2034"/>
      <c r="AD509" s="2034"/>
      <c r="AE509" s="2034"/>
      <c r="AF509" s="203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0" t="s">
        <v>599</v>
      </c>
      <c r="D512" s="2051"/>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2" t="s">
        <v>599</v>
      </c>
      <c r="G513" s="2052"/>
      <c r="H513" s="2052"/>
      <c r="I513" s="2052"/>
      <c r="J513" s="2052"/>
      <c r="K513" s="2052"/>
      <c r="L513" s="2052"/>
      <c r="M513" s="2052"/>
      <c r="N513" s="2052"/>
      <c r="O513" s="2052"/>
      <c r="P513" s="2052"/>
      <c r="Q513" s="2052"/>
      <c r="R513" s="2052"/>
      <c r="S513" s="2052"/>
      <c r="T513" s="2052"/>
      <c r="U513" s="2052"/>
      <c r="V513" s="2052"/>
      <c r="W513" s="2052"/>
      <c r="X513" s="2052"/>
      <c r="Y513" s="2052"/>
      <c r="Z513" s="2052"/>
      <c r="AA513" s="2052"/>
      <c r="AB513" s="2052"/>
      <c r="AC513" s="2052"/>
      <c r="AD513" s="2052"/>
      <c r="AE513" s="2052"/>
      <c r="AF513" s="205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3"/>
      <c r="G514" s="2053"/>
      <c r="H514" s="2053"/>
      <c r="I514" s="2053"/>
      <c r="J514" s="2053"/>
      <c r="K514" s="2053"/>
      <c r="L514" s="2053"/>
      <c r="M514" s="2053"/>
      <c r="N514" s="2053"/>
      <c r="O514" s="2053"/>
      <c r="P514" s="2053"/>
      <c r="Q514" s="2053"/>
      <c r="R514" s="2053"/>
      <c r="S514" s="2053"/>
      <c r="T514" s="2053"/>
      <c r="U514" s="2053"/>
      <c r="V514" s="2053"/>
      <c r="W514" s="2053"/>
      <c r="X514" s="2053"/>
      <c r="Y514" s="2053"/>
      <c r="Z514" s="2053"/>
      <c r="AA514" s="2053"/>
      <c r="AB514" s="2053"/>
      <c r="AC514" s="2053"/>
      <c r="AD514" s="2053"/>
      <c r="AE514" s="2053"/>
      <c r="AF514" s="205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71">
        <f>SUM(AG468:AG513)</f>
        <v>0</v>
      </c>
      <c r="AL524" s="1972"/>
      <c r="AM524" s="197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5" t="s">
        <v>1670</v>
      </c>
      <c r="AF527" s="1905"/>
      <c r="AG527" s="1905"/>
      <c r="AH527" s="1905"/>
      <c r="AI527" s="1905"/>
      <c r="AJ527" s="1905"/>
      <c r="AK527" s="1905"/>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8" t="s">
        <v>553</v>
      </c>
      <c r="D530" s="1968"/>
      <c r="E530" s="585"/>
      <c r="F530" s="2054" t="s">
        <v>1671</v>
      </c>
      <c r="G530" s="2055"/>
      <c r="H530" s="2055"/>
      <c r="I530" s="2055"/>
      <c r="J530" s="2055"/>
      <c r="K530" s="2055"/>
      <c r="L530" s="2055"/>
      <c r="M530" s="2055"/>
      <c r="N530" s="2055"/>
      <c r="O530" s="2055"/>
      <c r="P530" s="2055"/>
      <c r="Q530" s="2055"/>
      <c r="R530" s="2055"/>
      <c r="S530" s="2055"/>
      <c r="T530" s="2055"/>
      <c r="U530" s="2055"/>
      <c r="V530" s="2055"/>
      <c r="W530" s="2055"/>
      <c r="X530" s="2055"/>
      <c r="Y530" s="2055"/>
      <c r="Z530" s="2055"/>
      <c r="AA530" s="2055"/>
      <c r="AB530" s="2055"/>
      <c r="AC530" s="2055"/>
      <c r="AD530" s="2055"/>
      <c r="AE530" s="2055"/>
      <c r="AF530" s="2055"/>
      <c r="AG530" s="2055"/>
      <c r="AH530" s="2055"/>
      <c r="AI530" s="2055"/>
      <c r="AJ530" s="2055"/>
      <c r="AK530" s="2055"/>
      <c r="AL530" s="2056"/>
      <c r="AM530" s="629"/>
      <c r="AN530" s="631"/>
    </row>
    <row r="531" spans="1:49" s="584" customFormat="1" ht="12.75" customHeight="1">
      <c r="A531" s="573"/>
      <c r="B531" s="573"/>
      <c r="C531" s="585"/>
      <c r="D531" s="585"/>
      <c r="E531" s="585"/>
      <c r="F531" s="2057"/>
      <c r="G531" s="2058"/>
      <c r="H531" s="2058"/>
      <c r="I531" s="2058"/>
      <c r="J531" s="2058"/>
      <c r="K531" s="2058"/>
      <c r="L531" s="2058"/>
      <c r="M531" s="2058"/>
      <c r="N531" s="2058"/>
      <c r="O531" s="2058"/>
      <c r="P531" s="2058"/>
      <c r="Q531" s="2058"/>
      <c r="R531" s="2058"/>
      <c r="S531" s="2058"/>
      <c r="T531" s="2058"/>
      <c r="U531" s="2058"/>
      <c r="V531" s="2058"/>
      <c r="W531" s="2058"/>
      <c r="X531" s="2058"/>
      <c r="Y531" s="2058"/>
      <c r="Z531" s="2058"/>
      <c r="AA531" s="2058"/>
      <c r="AB531" s="2058"/>
      <c r="AC531" s="2058"/>
      <c r="AD531" s="2058"/>
      <c r="AE531" s="2058"/>
      <c r="AF531" s="2058"/>
      <c r="AG531" s="2058"/>
      <c r="AH531" s="2058"/>
      <c r="AI531" s="2058"/>
      <c r="AJ531" s="2058"/>
      <c r="AK531" s="2058"/>
      <c r="AL531" s="205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8" t="s">
        <v>599</v>
      </c>
      <c r="D533" s="1968"/>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0" t="s">
        <v>1673</v>
      </c>
      <c r="G534" s="1991"/>
      <c r="H534" s="1991"/>
      <c r="I534" s="1991"/>
      <c r="J534" s="1991"/>
      <c r="K534" s="1991"/>
      <c r="L534" s="1991"/>
      <c r="M534" s="1991"/>
      <c r="N534" s="1991"/>
      <c r="O534" s="1991"/>
      <c r="P534" s="1991"/>
      <c r="Q534" s="1991"/>
      <c r="R534" s="1991"/>
      <c r="S534" s="1991"/>
      <c r="T534" s="1991"/>
      <c r="U534" s="1991"/>
      <c r="V534" s="1991"/>
      <c r="W534" s="1991"/>
      <c r="X534" s="1991"/>
      <c r="Y534" s="1991"/>
      <c r="Z534" s="1991"/>
      <c r="AA534" s="1991"/>
      <c r="AB534" s="1991"/>
      <c r="AC534" s="1991"/>
      <c r="AD534" s="1991"/>
      <c r="AE534" s="1991"/>
      <c r="AF534" s="1991"/>
      <c r="AG534" s="1991"/>
      <c r="AH534" s="1991"/>
      <c r="AI534" s="1991"/>
      <c r="AJ534" s="1991"/>
      <c r="AK534" s="1991"/>
      <c r="AL534" s="1992"/>
      <c r="AM534" s="629"/>
      <c r="AN534" s="631"/>
      <c r="AS534" s="904"/>
      <c r="AT534" s="904"/>
      <c r="AU534" s="904"/>
      <c r="AV534" s="904"/>
      <c r="AW534" s="904"/>
    </row>
    <row r="535" spans="1:49" s="584" customFormat="1" ht="12.75" customHeight="1">
      <c r="B535" s="840"/>
      <c r="C535" s="840"/>
      <c r="D535" s="840"/>
      <c r="E535" s="840"/>
      <c r="F535" s="1990"/>
      <c r="G535" s="1991"/>
      <c r="H535" s="1991"/>
      <c r="I535" s="1991"/>
      <c r="J535" s="1991"/>
      <c r="K535" s="1991"/>
      <c r="L535" s="1991"/>
      <c r="M535" s="1991"/>
      <c r="N535" s="1991"/>
      <c r="O535" s="1991"/>
      <c r="P535" s="1991"/>
      <c r="Q535" s="1991"/>
      <c r="R535" s="1991"/>
      <c r="S535" s="1991"/>
      <c r="T535" s="1991"/>
      <c r="U535" s="1991"/>
      <c r="V535" s="1991"/>
      <c r="W535" s="1991"/>
      <c r="X535" s="1991"/>
      <c r="Y535" s="1991"/>
      <c r="Z535" s="1991"/>
      <c r="AA535" s="1991"/>
      <c r="AB535" s="1991"/>
      <c r="AC535" s="1991"/>
      <c r="AD535" s="1991"/>
      <c r="AE535" s="1991"/>
      <c r="AF535" s="1991"/>
      <c r="AG535" s="1991"/>
      <c r="AH535" s="1991"/>
      <c r="AI535" s="1991"/>
      <c r="AJ535" s="1991"/>
      <c r="AK535" s="1991"/>
      <c r="AL535" s="1992"/>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0" t="s">
        <v>1674</v>
      </c>
      <c r="G537" s="1991"/>
      <c r="H537" s="1991"/>
      <c r="I537" s="1991"/>
      <c r="J537" s="1991"/>
      <c r="K537" s="1991"/>
      <c r="L537" s="1991"/>
      <c r="M537" s="1991"/>
      <c r="N537" s="1991"/>
      <c r="O537" s="1991"/>
      <c r="P537" s="1991"/>
      <c r="Q537" s="1991"/>
      <c r="R537" s="1991"/>
      <c r="S537" s="1991"/>
      <c r="T537" s="1991"/>
      <c r="U537" s="1991"/>
      <c r="V537" s="1991"/>
      <c r="W537" s="1991"/>
      <c r="X537" s="1991"/>
      <c r="Y537" s="1991"/>
      <c r="Z537" s="1991"/>
      <c r="AA537" s="1991"/>
      <c r="AB537" s="1991"/>
      <c r="AC537" s="1991"/>
      <c r="AD537" s="1991"/>
      <c r="AE537" s="1991"/>
      <c r="AF537" s="1991"/>
      <c r="AG537" s="1991"/>
      <c r="AH537" s="1991"/>
      <c r="AI537" s="1991"/>
      <c r="AJ537" s="1991"/>
      <c r="AK537" s="1991"/>
      <c r="AL537" s="847"/>
      <c r="AM537" s="629"/>
      <c r="AN537" s="631"/>
    </row>
    <row r="538" spans="1:49" s="584" customFormat="1" ht="12.75" customHeight="1">
      <c r="B538" s="840"/>
      <c r="C538" s="840"/>
      <c r="D538" s="840"/>
      <c r="E538" s="840"/>
      <c r="F538" s="1993"/>
      <c r="G538" s="1994"/>
      <c r="H538" s="1994"/>
      <c r="I538" s="1994"/>
      <c r="J538" s="1994"/>
      <c r="K538" s="1994"/>
      <c r="L538" s="1994"/>
      <c r="M538" s="1994"/>
      <c r="N538" s="1994"/>
      <c r="O538" s="1994"/>
      <c r="P538" s="1994"/>
      <c r="Q538" s="1994"/>
      <c r="R538" s="1994"/>
      <c r="S538" s="1994"/>
      <c r="T538" s="1994"/>
      <c r="U538" s="1994"/>
      <c r="V538" s="1994"/>
      <c r="W538" s="1994"/>
      <c r="X538" s="1994"/>
      <c r="Y538" s="1994"/>
      <c r="Z538" s="1994"/>
      <c r="AA538" s="1994"/>
      <c r="AB538" s="1994"/>
      <c r="AC538" s="1994"/>
      <c r="AD538" s="1994"/>
      <c r="AE538" s="1994"/>
      <c r="AF538" s="1994"/>
      <c r="AG538" s="1994"/>
      <c r="AH538" s="1994"/>
      <c r="AI538" s="1994"/>
      <c r="AJ538" s="1994"/>
      <c r="AK538" s="199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8">
        <f>Application!AJ991</f>
        <v>50011535</v>
      </c>
      <c r="AQ539" s="2118"/>
      <c r="AR539" s="2118"/>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4">
        <f>'Sources and Uses Budget'!S107+'Sources and Uses Budget'!T107</f>
        <v>55448672.400000006</v>
      </c>
      <c r="AG540" s="1974"/>
      <c r="AH540" s="1974"/>
      <c r="AI540" s="1974"/>
      <c r="AJ540" s="1974"/>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3">
        <f>IFERROR(AP548,0)</f>
        <v>87479726.349999994</v>
      </c>
      <c r="AG541" s="2123"/>
      <c r="AH541" s="2123"/>
      <c r="AI541" s="2123"/>
      <c r="AJ541" s="2123"/>
      <c r="AK541" s="629"/>
      <c r="AL541" s="629"/>
      <c r="AM541" s="629"/>
      <c r="AN541" s="631"/>
      <c r="AP541" s="2118">
        <f>Application!AJ1044</f>
        <v>5501268.8499999996</v>
      </c>
      <c r="AQ541" s="2118"/>
      <c r="AR541" s="2118"/>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4">
        <f>IFERROR(ROUNDDOWN(IF(C533="YES",((1-(AF540/AF541))*2),(1-(AF540/AF541))),2),0)</f>
        <v>0.36</v>
      </c>
      <c r="AG542" s="2124"/>
      <c r="AH542" s="2124"/>
      <c r="AI542" s="2124"/>
      <c r="AJ542" s="2124"/>
      <c r="AK542" s="629"/>
      <c r="AL542" s="629"/>
      <c r="AM542" s="629"/>
      <c r="AN542" s="631"/>
      <c r="AP542" s="2121">
        <f>Application!AJ1048</f>
        <v>15003460.5</v>
      </c>
      <c r="AQ542" s="2121"/>
      <c r="AR542" s="2121"/>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7">
        <f>IF(((AP541+AP542)/AP539)&gt;0.8,0.8,((AP541+AP542)/AP539))</f>
        <v>0.41000000000000003</v>
      </c>
      <c r="AQ543" s="2117"/>
      <c r="AR543" s="2117"/>
      <c r="AS543" s="584" t="s">
        <v>2532</v>
      </c>
    </row>
    <row r="544" spans="1:49" s="584" customFormat="1" ht="12.75" customHeight="1">
      <c r="A544" s="658"/>
      <c r="B544" s="2070" t="s">
        <v>2344</v>
      </c>
      <c r="C544" s="2071"/>
      <c r="D544" s="2071"/>
      <c r="E544" s="2071"/>
      <c r="F544" s="2071"/>
      <c r="G544" s="2071"/>
      <c r="H544" s="2071"/>
      <c r="I544" s="2071"/>
      <c r="J544" s="2071"/>
      <c r="K544" s="2071"/>
      <c r="L544" s="2071"/>
      <c r="M544" s="2071"/>
      <c r="N544" s="2071"/>
      <c r="O544" s="2071"/>
      <c r="P544" s="2071"/>
      <c r="Q544" s="2071"/>
      <c r="R544" s="2071"/>
      <c r="S544" s="2071"/>
      <c r="T544" s="2071"/>
      <c r="U544" s="2071"/>
      <c r="V544" s="2071"/>
      <c r="W544" s="2071"/>
      <c r="X544" s="2071"/>
      <c r="Y544" s="2071"/>
      <c r="Z544" s="2071"/>
      <c r="AA544" s="2071"/>
      <c r="AB544" s="2071"/>
      <c r="AC544" s="2071"/>
      <c r="AD544" s="2071"/>
      <c r="AE544" s="2071"/>
      <c r="AF544" s="2071"/>
      <c r="AG544" s="2071"/>
      <c r="AH544" s="2071"/>
      <c r="AI544" s="2071"/>
      <c r="AJ544" s="2072"/>
      <c r="AK544" s="629"/>
      <c r="AL544" s="629"/>
      <c r="AM544" s="629"/>
      <c r="AN544" s="631"/>
    </row>
    <row r="545" spans="1:45" s="584" customFormat="1" ht="12.75" customHeight="1">
      <c r="A545" s="658"/>
      <c r="B545" s="2073"/>
      <c r="C545" s="2074"/>
      <c r="D545" s="2074"/>
      <c r="E545" s="2074"/>
      <c r="F545" s="2074"/>
      <c r="G545" s="2074"/>
      <c r="H545" s="2074"/>
      <c r="I545" s="2074"/>
      <c r="J545" s="2074"/>
      <c r="K545" s="2074"/>
      <c r="L545" s="2074"/>
      <c r="M545" s="2074"/>
      <c r="N545" s="2074"/>
      <c r="O545" s="2074"/>
      <c r="P545" s="2074"/>
      <c r="Q545" s="2074"/>
      <c r="R545" s="2074"/>
      <c r="S545" s="2074"/>
      <c r="T545" s="2074"/>
      <c r="U545" s="2074"/>
      <c r="V545" s="2074"/>
      <c r="W545" s="2074"/>
      <c r="X545" s="2074"/>
      <c r="Y545" s="2074"/>
      <c r="Z545" s="2074"/>
      <c r="AA545" s="2074"/>
      <c r="AB545" s="2074"/>
      <c r="AC545" s="2074"/>
      <c r="AD545" s="2074"/>
      <c r="AE545" s="2074"/>
      <c r="AF545" s="2074"/>
      <c r="AG545" s="2074"/>
      <c r="AH545" s="2074"/>
      <c r="AI545" s="2074"/>
      <c r="AJ545" s="2075"/>
      <c r="AK545" s="629"/>
      <c r="AL545" s="629"/>
      <c r="AM545" s="629"/>
      <c r="AN545" s="631"/>
      <c r="AP545" s="2118">
        <f>AP546-AP541-AP542</f>
        <v>66974997</v>
      </c>
      <c r="AQ545" s="2026"/>
      <c r="AR545" s="2026"/>
      <c r="AS545" s="584" t="s">
        <v>2534</v>
      </c>
    </row>
    <row r="546" spans="1:45" s="584" customFormat="1" ht="12.75" customHeight="1">
      <c r="A546" s="658"/>
      <c r="B546" s="2076"/>
      <c r="C546" s="2077"/>
      <c r="D546" s="2077"/>
      <c r="E546" s="2077"/>
      <c r="F546" s="2077"/>
      <c r="G546" s="2077"/>
      <c r="H546" s="2077"/>
      <c r="I546" s="2077"/>
      <c r="J546" s="2077"/>
      <c r="K546" s="2077"/>
      <c r="L546" s="2077"/>
      <c r="M546" s="2077"/>
      <c r="N546" s="2077"/>
      <c r="O546" s="2077"/>
      <c r="P546" s="2077"/>
      <c r="Q546" s="2077"/>
      <c r="R546" s="2077"/>
      <c r="S546" s="2077"/>
      <c r="T546" s="2077"/>
      <c r="U546" s="2077"/>
      <c r="V546" s="2077"/>
      <c r="W546" s="2077"/>
      <c r="X546" s="2077"/>
      <c r="Y546" s="2077"/>
      <c r="Z546" s="2077"/>
      <c r="AA546" s="2077"/>
      <c r="AB546" s="2077"/>
      <c r="AC546" s="2077"/>
      <c r="AD546" s="2077"/>
      <c r="AE546" s="2077"/>
      <c r="AF546" s="2077"/>
      <c r="AG546" s="2077"/>
      <c r="AH546" s="2077"/>
      <c r="AI546" s="2077"/>
      <c r="AJ546" s="2078"/>
      <c r="AK546" s="629"/>
      <c r="AL546" s="629"/>
      <c r="AM546" s="629"/>
      <c r="AN546" s="631"/>
      <c r="AP546" s="2118">
        <f>Application!AJ1052</f>
        <v>87479726.349999994</v>
      </c>
      <c r="AQ546" s="2118"/>
      <c r="AR546" s="2118"/>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9">
        <f>IFERROR(IF(AND(C530="N/A",C533="N/A"),0,IF(AF542=0,0,IF((AF542*100)&gt;12,12,(AF542*100)))),0)</f>
        <v>12</v>
      </c>
      <c r="AL548" s="2079"/>
      <c r="AM548" s="2080"/>
      <c r="AN548" s="631"/>
      <c r="AP548" s="2134">
        <f>AP545+(AP539*AP543)</f>
        <v>87479726.349999994</v>
      </c>
      <c r="AQ548" s="2135"/>
      <c r="AR548" s="213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5" t="s">
        <v>1423</v>
      </c>
      <c r="AF551" s="1905"/>
      <c r="AG551" s="1905"/>
      <c r="AH551" s="1905"/>
      <c r="AI551" s="1905"/>
      <c r="AJ551" s="1905"/>
      <c r="AK551" s="190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1" t="s">
        <v>2335</v>
      </c>
      <c r="C553" s="1991"/>
      <c r="D553" s="1991"/>
      <c r="E553" s="1991"/>
      <c r="F553" s="1991"/>
      <c r="G553" s="1991"/>
      <c r="H553" s="1991"/>
      <c r="I553" s="1991"/>
      <c r="J553" s="1991"/>
      <c r="K553" s="1991"/>
      <c r="L553" s="1991"/>
      <c r="M553" s="1991"/>
      <c r="N553" s="1991"/>
      <c r="O553" s="1991"/>
      <c r="P553" s="1991"/>
      <c r="Q553" s="1991"/>
      <c r="R553" s="1991"/>
      <c r="S553" s="1991"/>
      <c r="T553" s="1991"/>
      <c r="U553" s="1991"/>
      <c r="V553" s="1991"/>
      <c r="W553" s="1991"/>
      <c r="X553" s="1991"/>
      <c r="Y553" s="1991"/>
      <c r="Z553" s="1991"/>
      <c r="AA553" s="1991"/>
      <c r="AB553" s="1991"/>
      <c r="AC553" s="1991"/>
      <c r="AD553" s="1991"/>
      <c r="AE553" s="1991"/>
      <c r="AF553" s="1991"/>
      <c r="AG553" s="1991"/>
      <c r="AH553" s="1991"/>
      <c r="AI553" s="1991"/>
      <c r="AJ553" s="1991"/>
      <c r="AK553" s="676"/>
      <c r="AL553" s="607"/>
      <c r="AM553" s="637"/>
      <c r="AN553" s="631"/>
    </row>
    <row r="554" spans="1:45" s="584" customFormat="1" ht="12.75" customHeight="1">
      <c r="A554" s="637"/>
      <c r="B554" s="1991"/>
      <c r="C554" s="1991"/>
      <c r="D554" s="1991"/>
      <c r="E554" s="1991"/>
      <c r="F554" s="1991"/>
      <c r="G554" s="1991"/>
      <c r="H554" s="1991"/>
      <c r="I554" s="1991"/>
      <c r="J554" s="1991"/>
      <c r="K554" s="1991"/>
      <c r="L554" s="1991"/>
      <c r="M554" s="1991"/>
      <c r="N554" s="1991"/>
      <c r="O554" s="1991"/>
      <c r="P554" s="1991"/>
      <c r="Q554" s="1991"/>
      <c r="R554" s="1991"/>
      <c r="S554" s="1991"/>
      <c r="T554" s="1991"/>
      <c r="U554" s="1991"/>
      <c r="V554" s="1991"/>
      <c r="W554" s="1991"/>
      <c r="X554" s="1991"/>
      <c r="Y554" s="1991"/>
      <c r="Z554" s="1991"/>
      <c r="AA554" s="1991"/>
      <c r="AB554" s="1991"/>
      <c r="AC554" s="1991"/>
      <c r="AD554" s="1991"/>
      <c r="AE554" s="1991"/>
      <c r="AF554" s="1991"/>
      <c r="AG554" s="1991"/>
      <c r="AH554" s="1991"/>
      <c r="AI554" s="1991"/>
      <c r="AJ554" s="1991"/>
      <c r="AK554" s="676"/>
      <c r="AL554" s="607"/>
      <c r="AM554" s="637"/>
      <c r="AN554" s="631"/>
    </row>
    <row r="555" spans="1:45" s="584" customFormat="1" ht="12.75" customHeight="1">
      <c r="A555" s="637"/>
      <c r="B555" s="1991"/>
      <c r="C555" s="1991"/>
      <c r="D555" s="1991"/>
      <c r="E555" s="1991"/>
      <c r="F555" s="1991"/>
      <c r="G555" s="1991"/>
      <c r="H555" s="1991"/>
      <c r="I555" s="1991"/>
      <c r="J555" s="1991"/>
      <c r="K555" s="1991"/>
      <c r="L555" s="1991"/>
      <c r="M555" s="1991"/>
      <c r="N555" s="1991"/>
      <c r="O555" s="1991"/>
      <c r="P555" s="1991"/>
      <c r="Q555" s="1991"/>
      <c r="R555" s="1991"/>
      <c r="S555" s="1991"/>
      <c r="T555" s="1991"/>
      <c r="U555" s="1991"/>
      <c r="V555" s="1991"/>
      <c r="W555" s="1991"/>
      <c r="X555" s="1991"/>
      <c r="Y555" s="1991"/>
      <c r="Z555" s="1991"/>
      <c r="AA555" s="1991"/>
      <c r="AB555" s="1991"/>
      <c r="AC555" s="1991"/>
      <c r="AD555" s="1991"/>
      <c r="AE555" s="1991"/>
      <c r="AF555" s="1991"/>
      <c r="AG555" s="1991"/>
      <c r="AH555" s="1991"/>
      <c r="AI555" s="1991"/>
      <c r="AJ555" s="1991"/>
      <c r="AK555" s="676"/>
      <c r="AL555" s="607"/>
      <c r="AM555" s="637"/>
      <c r="AN555" s="631"/>
    </row>
    <row r="556" spans="1:45" s="584" customFormat="1" ht="12.75" customHeight="1">
      <c r="A556" s="637"/>
      <c r="B556" s="1991"/>
      <c r="C556" s="1991"/>
      <c r="D556" s="1991"/>
      <c r="E556" s="1991"/>
      <c r="F556" s="1991"/>
      <c r="G556" s="1991"/>
      <c r="H556" s="1991"/>
      <c r="I556" s="1991"/>
      <c r="J556" s="1991"/>
      <c r="K556" s="1991"/>
      <c r="L556" s="1991"/>
      <c r="M556" s="1991"/>
      <c r="N556" s="1991"/>
      <c r="O556" s="1991"/>
      <c r="P556" s="1991"/>
      <c r="Q556" s="1991"/>
      <c r="R556" s="1991"/>
      <c r="S556" s="1991"/>
      <c r="T556" s="1991"/>
      <c r="U556" s="1991"/>
      <c r="V556" s="1991"/>
      <c r="W556" s="1991"/>
      <c r="X556" s="1991"/>
      <c r="Y556" s="1991"/>
      <c r="Z556" s="1991"/>
      <c r="AA556" s="1991"/>
      <c r="AB556" s="1991"/>
      <c r="AC556" s="1991"/>
      <c r="AD556" s="1991"/>
      <c r="AE556" s="1991"/>
      <c r="AF556" s="1991"/>
      <c r="AG556" s="1991"/>
      <c r="AH556" s="1991"/>
      <c r="AI556" s="1991"/>
      <c r="AJ556" s="1991"/>
      <c r="AK556" s="676"/>
      <c r="AL556" s="607"/>
      <c r="AM556" s="637"/>
      <c r="AN556" s="631"/>
    </row>
    <row r="557" spans="1:45" s="584" customFormat="1" ht="12.75" customHeight="1">
      <c r="A557" s="637"/>
      <c r="B557" s="1991"/>
      <c r="C557" s="1991"/>
      <c r="D557" s="1991"/>
      <c r="E557" s="1991"/>
      <c r="F557" s="1991"/>
      <c r="G557" s="1991"/>
      <c r="H557" s="1991"/>
      <c r="I557" s="1991"/>
      <c r="J557" s="1991"/>
      <c r="K557" s="1991"/>
      <c r="L557" s="1991"/>
      <c r="M557" s="1991"/>
      <c r="N557" s="1991"/>
      <c r="O557" s="1991"/>
      <c r="P557" s="1991"/>
      <c r="Q557" s="1991"/>
      <c r="R557" s="1991"/>
      <c r="S557" s="1991"/>
      <c r="T557" s="1991"/>
      <c r="U557" s="1991"/>
      <c r="V557" s="1991"/>
      <c r="W557" s="1991"/>
      <c r="X557" s="1991"/>
      <c r="Y557" s="1991"/>
      <c r="Z557" s="1991"/>
      <c r="AA557" s="1991"/>
      <c r="AB557" s="1991"/>
      <c r="AC557" s="1991"/>
      <c r="AD557" s="1991"/>
      <c r="AE557" s="1991"/>
      <c r="AF557" s="1991"/>
      <c r="AG557" s="1991"/>
      <c r="AH557" s="1991"/>
      <c r="AI557" s="1991"/>
      <c r="AJ557" s="1991"/>
      <c r="AK557" s="676"/>
      <c r="AL557" s="607"/>
      <c r="AM557" s="637"/>
      <c r="AN557" s="631"/>
    </row>
    <row r="558" spans="1:45" s="584" customFormat="1" ht="12.75" customHeight="1">
      <c r="A558" s="637"/>
      <c r="B558" s="1991"/>
      <c r="C558" s="1991"/>
      <c r="D558" s="1991"/>
      <c r="E558" s="1991"/>
      <c r="F558" s="1991"/>
      <c r="G558" s="1991"/>
      <c r="H558" s="1991"/>
      <c r="I558" s="1991"/>
      <c r="J558" s="1991"/>
      <c r="K558" s="1991"/>
      <c r="L558" s="1991"/>
      <c r="M558" s="1991"/>
      <c r="N558" s="1991"/>
      <c r="O558" s="1991"/>
      <c r="P558" s="1991"/>
      <c r="Q558" s="1991"/>
      <c r="R558" s="1991"/>
      <c r="S558" s="1991"/>
      <c r="T558" s="1991"/>
      <c r="U558" s="1991"/>
      <c r="V558" s="1991"/>
      <c r="W558" s="1991"/>
      <c r="X558" s="1991"/>
      <c r="Y558" s="1991"/>
      <c r="Z558" s="1991"/>
      <c r="AA558" s="1991"/>
      <c r="AB558" s="1991"/>
      <c r="AC558" s="1991"/>
      <c r="AD558" s="1991"/>
      <c r="AE558" s="1991"/>
      <c r="AF558" s="1991"/>
      <c r="AG558" s="1991"/>
      <c r="AH558" s="1991"/>
      <c r="AI558" s="1991"/>
      <c r="AJ558" s="1991"/>
      <c r="AK558" s="676"/>
      <c r="AL558" s="607"/>
      <c r="AM558" s="637"/>
      <c r="AN558" s="631"/>
    </row>
    <row r="559" spans="1:45" s="584" customFormat="1" ht="12.75" customHeight="1">
      <c r="A559" s="637"/>
      <c r="B559" s="1991"/>
      <c r="C559" s="1991"/>
      <c r="D559" s="1991"/>
      <c r="E559" s="1991"/>
      <c r="F559" s="1991"/>
      <c r="G559" s="1991"/>
      <c r="H559" s="1991"/>
      <c r="I559" s="1991"/>
      <c r="J559" s="1991"/>
      <c r="K559" s="1991"/>
      <c r="L559" s="1991"/>
      <c r="M559" s="1991"/>
      <c r="N559" s="1991"/>
      <c r="O559" s="1991"/>
      <c r="P559" s="1991"/>
      <c r="Q559" s="1991"/>
      <c r="R559" s="1991"/>
      <c r="S559" s="1991"/>
      <c r="T559" s="1991"/>
      <c r="U559" s="1991"/>
      <c r="V559" s="1991"/>
      <c r="W559" s="1991"/>
      <c r="X559" s="1991"/>
      <c r="Y559" s="1991"/>
      <c r="Z559" s="1991"/>
      <c r="AA559" s="1991"/>
      <c r="AB559" s="1991"/>
      <c r="AC559" s="1991"/>
      <c r="AD559" s="1991"/>
      <c r="AE559" s="1991"/>
      <c r="AF559" s="1991"/>
      <c r="AG559" s="1991"/>
      <c r="AH559" s="1991"/>
      <c r="AI559" s="1991"/>
      <c r="AJ559" s="1991"/>
      <c r="AK559" s="676"/>
      <c r="AL559" s="607"/>
      <c r="AM559" s="637"/>
      <c r="AN559" s="631"/>
    </row>
    <row r="560" spans="1:45" ht="12.75" customHeight="1">
      <c r="A560" s="637"/>
      <c r="B560" s="1991"/>
      <c r="C560" s="1991"/>
      <c r="D560" s="1991"/>
      <c r="E560" s="1991"/>
      <c r="F560" s="1991"/>
      <c r="G560" s="1991"/>
      <c r="H560" s="1991"/>
      <c r="I560" s="1991"/>
      <c r="J560" s="1991"/>
      <c r="K560" s="1991"/>
      <c r="L560" s="1991"/>
      <c r="M560" s="1991"/>
      <c r="N560" s="1991"/>
      <c r="O560" s="1991"/>
      <c r="P560" s="1991"/>
      <c r="Q560" s="1991"/>
      <c r="R560" s="1991"/>
      <c r="S560" s="1991"/>
      <c r="T560" s="1991"/>
      <c r="U560" s="1991"/>
      <c r="V560" s="1991"/>
      <c r="W560" s="1991"/>
      <c r="X560" s="1991"/>
      <c r="Y560" s="1991"/>
      <c r="Z560" s="1991"/>
      <c r="AA560" s="1991"/>
      <c r="AB560" s="1991"/>
      <c r="AC560" s="1991"/>
      <c r="AD560" s="1991"/>
      <c r="AE560" s="1991"/>
      <c r="AF560" s="1991"/>
      <c r="AG560" s="1991"/>
      <c r="AH560" s="1991"/>
      <c r="AI560" s="1991"/>
      <c r="AJ560" s="1991"/>
      <c r="AK560" s="676"/>
      <c r="AL560" s="607"/>
      <c r="AM560" s="637"/>
    </row>
    <row r="561" spans="1:42" s="584" customFormat="1" ht="12.75" customHeight="1">
      <c r="B561" s="1991"/>
      <c r="C561" s="1991"/>
      <c r="D561" s="1991"/>
      <c r="E561" s="1991"/>
      <c r="F561" s="1991"/>
      <c r="G561" s="1991"/>
      <c r="H561" s="1991"/>
      <c r="I561" s="1991"/>
      <c r="J561" s="1991"/>
      <c r="K561" s="1991"/>
      <c r="L561" s="1991"/>
      <c r="M561" s="1991"/>
      <c r="N561" s="1991"/>
      <c r="O561" s="1991"/>
      <c r="P561" s="1991"/>
      <c r="Q561" s="1991"/>
      <c r="R561" s="1991"/>
      <c r="S561" s="1991"/>
      <c r="T561" s="1991"/>
      <c r="U561" s="1991"/>
      <c r="V561" s="1991"/>
      <c r="W561" s="1991"/>
      <c r="X561" s="1991"/>
      <c r="Y561" s="1991"/>
      <c r="Z561" s="1991"/>
      <c r="AA561" s="1991"/>
      <c r="AB561" s="1991"/>
      <c r="AC561" s="1991"/>
      <c r="AD561" s="1991"/>
      <c r="AE561" s="1991"/>
      <c r="AF561" s="1991"/>
      <c r="AG561" s="1991"/>
      <c r="AH561" s="1991"/>
      <c r="AI561" s="1991"/>
      <c r="AJ561" s="199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7" t="s">
        <v>1447</v>
      </c>
      <c r="AG567" s="1937"/>
      <c r="AH567" s="1937"/>
      <c r="AI567" s="1937"/>
      <c r="AJ567" s="1937"/>
      <c r="AK567" s="1937"/>
      <c r="AL567" s="1937"/>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7" t="s">
        <v>1505</v>
      </c>
      <c r="AG574" s="1937"/>
      <c r="AH574" s="1937"/>
      <c r="AI574" s="1937"/>
      <c r="AJ574" s="1937"/>
      <c r="AK574" s="1937"/>
      <c r="AL574" s="1937"/>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7" t="s">
        <v>1487</v>
      </c>
      <c r="AG580" s="1937"/>
      <c r="AH580" s="1937"/>
      <c r="AI580" s="1937"/>
      <c r="AJ580" s="1937"/>
      <c r="AK580" s="1937"/>
      <c r="AL580" s="1937"/>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7" t="s">
        <v>1508</v>
      </c>
      <c r="AG586" s="1937"/>
      <c r="AH586" s="1937"/>
      <c r="AI586" s="1937"/>
      <c r="AJ586" s="1937"/>
      <c r="AK586" s="1937"/>
      <c r="AL586" s="1937"/>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2" t="s">
        <v>1290</v>
      </c>
      <c r="P590" s="2022"/>
      <c r="Q590" s="2022"/>
      <c r="R590" s="2022"/>
      <c r="S590" s="2022"/>
      <c r="T590" s="2022"/>
      <c r="U590" s="2022"/>
      <c r="V590" s="2022"/>
      <c r="W590" s="2022"/>
      <c r="X590" s="2022"/>
      <c r="Y590" s="2022"/>
      <c r="Z590" s="2022"/>
      <c r="AA590" s="2022"/>
      <c r="AB590" s="202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7" t="s">
        <v>1461</v>
      </c>
      <c r="AG592" s="1937"/>
      <c r="AH592" s="1937"/>
      <c r="AI592" s="1937"/>
      <c r="AJ592" s="1937"/>
      <c r="AK592" s="1937"/>
      <c r="AL592" s="1937"/>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20" t="s">
        <v>696</v>
      </c>
      <c r="I595" s="2020"/>
      <c r="J595" s="971"/>
      <c r="K595" s="971"/>
      <c r="L595" s="971"/>
      <c r="N595" s="22"/>
      <c r="O595" s="22"/>
      <c r="P595" s="22"/>
      <c r="Q595" s="1195" t="s">
        <v>2537</v>
      </c>
      <c r="R595" s="2023"/>
      <c r="S595" s="2023"/>
      <c r="T595" s="2023"/>
      <c r="U595" s="2023"/>
      <c r="V595" s="2023"/>
      <c r="W595" s="2023"/>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4" t="str">
        <f>IF(AND(H595="(i)",NOT(AP571)),AO588,IF(AND(H595="(iv)",OR(R595=AO584,R595=AO583),NOT(AP572)),AO589,""))</f>
        <v/>
      </c>
      <c r="Z596" s="2024"/>
      <c r="AA596" s="2024"/>
      <c r="AB596" s="2024"/>
      <c r="AC596" s="2024"/>
      <c r="AD596" s="2024"/>
      <c r="AE596" s="2024"/>
      <c r="AF596" s="2024"/>
      <c r="AG596" s="2024"/>
      <c r="AH596" s="2024"/>
      <c r="AI596" s="2024"/>
      <c r="AJ596" s="2024"/>
      <c r="AK596" s="2024"/>
      <c r="AL596" s="2024"/>
      <c r="AM596" s="2025"/>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4"/>
      <c r="Z597" s="2024"/>
      <c r="AA597" s="2024"/>
      <c r="AB597" s="2024"/>
      <c r="AC597" s="2024"/>
      <c r="AD597" s="2024"/>
      <c r="AE597" s="2024"/>
      <c r="AF597" s="2024"/>
      <c r="AG597" s="2024"/>
      <c r="AH597" s="2024"/>
      <c r="AI597" s="2024"/>
      <c r="AJ597" s="2024"/>
      <c r="AK597" s="2024"/>
      <c r="AL597" s="2024"/>
      <c r="AM597" s="2025"/>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1" t="s">
        <v>599</v>
      </c>
      <c r="J603" s="2021"/>
      <c r="K603" s="2021"/>
      <c r="L603" s="2021"/>
      <c r="M603" s="2021"/>
      <c r="N603" s="2021"/>
      <c r="O603" s="2021"/>
      <c r="P603" s="2021"/>
      <c r="Q603" s="2021"/>
      <c r="R603" s="2021"/>
      <c r="S603" s="2021"/>
      <c r="T603" s="2021"/>
      <c r="U603" s="2021"/>
      <c r="V603" s="2021"/>
      <c r="W603" s="2021"/>
      <c r="X603" s="2021"/>
      <c r="Y603" s="2021"/>
      <c r="Z603" s="2021"/>
      <c r="AA603" s="2021"/>
      <c r="AB603" s="2021"/>
      <c r="AC603" s="2021"/>
      <c r="AD603" s="2021"/>
      <c r="AE603" s="2021"/>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64" t="s">
        <v>599</v>
      </c>
      <c r="C605" s="1964"/>
      <c r="D605" s="676"/>
      <c r="E605" s="1991" t="s">
        <v>1512</v>
      </c>
      <c r="F605" s="1991"/>
      <c r="G605" s="1991"/>
      <c r="H605" s="1991"/>
      <c r="I605" s="1991"/>
      <c r="J605" s="1991"/>
      <c r="K605" s="1991"/>
      <c r="L605" s="1991"/>
      <c r="M605" s="1991"/>
      <c r="N605" s="1991"/>
      <c r="O605" s="1991"/>
      <c r="P605" s="1991"/>
      <c r="Q605" s="1991"/>
      <c r="R605" s="1991"/>
      <c r="S605" s="1991"/>
      <c r="T605" s="1991"/>
      <c r="U605" s="1991"/>
      <c r="V605" s="1991"/>
      <c r="W605" s="1991"/>
      <c r="X605" s="1991"/>
      <c r="Y605" s="1991"/>
      <c r="Z605" s="1991"/>
      <c r="AA605" s="1991"/>
      <c r="AB605" s="1991"/>
      <c r="AC605" s="1991"/>
      <c r="AD605" s="1991"/>
      <c r="AE605" s="1991"/>
      <c r="AF605" s="1991"/>
      <c r="AG605" s="1991"/>
      <c r="AH605" s="676"/>
      <c r="AI605" s="676"/>
      <c r="AJ605" s="676"/>
      <c r="AK605" s="676"/>
      <c r="AL605" s="676"/>
      <c r="AN605" s="631"/>
    </row>
    <row r="606" spans="2:47" s="584" customFormat="1" ht="12.75" customHeight="1">
      <c r="B606" s="570"/>
      <c r="C606" s="968"/>
      <c r="D606" s="676"/>
      <c r="E606" s="1991"/>
      <c r="F606" s="1991"/>
      <c r="G606" s="1991"/>
      <c r="H606" s="1991"/>
      <c r="I606" s="1991"/>
      <c r="J606" s="1991"/>
      <c r="K606" s="1991"/>
      <c r="L606" s="1991"/>
      <c r="M606" s="1991"/>
      <c r="N606" s="1991"/>
      <c r="O606" s="1991"/>
      <c r="P606" s="1991"/>
      <c r="Q606" s="1991"/>
      <c r="R606" s="1991"/>
      <c r="S606" s="1991"/>
      <c r="T606" s="1991"/>
      <c r="U606" s="1991"/>
      <c r="V606" s="1991"/>
      <c r="W606" s="1991"/>
      <c r="X606" s="1991"/>
      <c r="Y606" s="1991"/>
      <c r="Z606" s="1991"/>
      <c r="AA606" s="1991"/>
      <c r="AB606" s="1991"/>
      <c r="AC606" s="1991"/>
      <c r="AD606" s="1991"/>
      <c r="AE606" s="1991"/>
      <c r="AF606" s="1991"/>
      <c r="AG606" s="1991"/>
      <c r="AH606" s="676"/>
      <c r="AI606" s="676"/>
      <c r="AJ606" s="676"/>
      <c r="AK606" s="676"/>
      <c r="AL606" s="676"/>
      <c r="AN606" s="631"/>
    </row>
    <row r="607" spans="2:47" s="584" customFormat="1" ht="12.75" customHeight="1">
      <c r="B607" s="570"/>
      <c r="C607" s="968"/>
      <c r="D607" s="676"/>
      <c r="E607" s="1991"/>
      <c r="F607" s="1991"/>
      <c r="G607" s="1991"/>
      <c r="H607" s="1991"/>
      <c r="I607" s="1991"/>
      <c r="J607" s="1991"/>
      <c r="K607" s="1991"/>
      <c r="L607" s="1991"/>
      <c r="M607" s="1991"/>
      <c r="N607" s="1991"/>
      <c r="O607" s="1991"/>
      <c r="P607" s="1991"/>
      <c r="Q607" s="1991"/>
      <c r="R607" s="1991"/>
      <c r="S607" s="1991"/>
      <c r="T607" s="1991"/>
      <c r="U607" s="1991"/>
      <c r="V607" s="1991"/>
      <c r="W607" s="1991"/>
      <c r="X607" s="1991"/>
      <c r="Y607" s="1991"/>
      <c r="Z607" s="1991"/>
      <c r="AA607" s="1991"/>
      <c r="AB607" s="1991"/>
      <c r="AC607" s="1991"/>
      <c r="AD607" s="1991"/>
      <c r="AE607" s="1991"/>
      <c r="AF607" s="1991"/>
      <c r="AG607" s="1991"/>
      <c r="AH607" s="676"/>
      <c r="AI607" s="676"/>
      <c r="AJ607" s="676"/>
      <c r="AK607" s="676"/>
      <c r="AL607" s="676"/>
      <c r="AN607" s="631"/>
    </row>
    <row r="608" spans="2:47" s="584" customFormat="1" ht="12.75" customHeight="1">
      <c r="B608" s="570"/>
      <c r="C608" s="968"/>
      <c r="D608" s="676"/>
      <c r="E608" s="1991"/>
      <c r="F608" s="1991"/>
      <c r="G608" s="1991"/>
      <c r="H608" s="1991"/>
      <c r="I608" s="1991"/>
      <c r="J608" s="1991"/>
      <c r="K608" s="1991"/>
      <c r="L608" s="1991"/>
      <c r="M608" s="1991"/>
      <c r="N608" s="1991"/>
      <c r="O608" s="1991"/>
      <c r="P608" s="1991"/>
      <c r="Q608" s="1991"/>
      <c r="R608" s="1991"/>
      <c r="S608" s="1991"/>
      <c r="T608" s="1991"/>
      <c r="U608" s="1991"/>
      <c r="V608" s="1991"/>
      <c r="W608" s="1991"/>
      <c r="X608" s="1991"/>
      <c r="Y608" s="1991"/>
      <c r="Z608" s="1991"/>
      <c r="AA608" s="1991"/>
      <c r="AB608" s="1991"/>
      <c r="AC608" s="1991"/>
      <c r="AD608" s="1991"/>
      <c r="AE608" s="1991"/>
      <c r="AF608" s="1991"/>
      <c r="AG608" s="199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71">
        <f>VLOOKUP($H$595,$AO$575:$AP$580,2,FALSE)+IF(R595=AO583,0,VLOOKUP($I$603,$AO$602:$AP$604,2,FALSE))</f>
        <v>7</v>
      </c>
      <c r="AK610" s="197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9" t="s">
        <v>1882</v>
      </c>
      <c r="F614" s="2019"/>
      <c r="G614" s="2019"/>
      <c r="H614" s="2019"/>
      <c r="I614" s="2019"/>
      <c r="J614" s="2019"/>
      <c r="K614" s="2019"/>
      <c r="L614" s="2019"/>
      <c r="M614" s="2019"/>
      <c r="N614" s="2019"/>
      <c r="O614" s="2019"/>
      <c r="P614" s="2019"/>
      <c r="Q614" s="2019"/>
      <c r="R614" s="2019"/>
      <c r="S614" s="2019"/>
      <c r="T614" s="2019"/>
      <c r="U614" s="2019"/>
      <c r="V614" s="2019"/>
      <c r="W614" s="2019"/>
      <c r="X614" s="2019"/>
      <c r="Y614" s="2019"/>
      <c r="Z614" s="2019"/>
      <c r="AA614" s="2019"/>
      <c r="AB614" s="2019"/>
      <c r="AC614" s="2019"/>
      <c r="AD614" s="2019"/>
      <c r="AE614" s="573"/>
      <c r="AF614" s="1937" t="s">
        <v>1461</v>
      </c>
      <c r="AG614" s="1937"/>
      <c r="AH614" s="1937"/>
      <c r="AI614" s="1937"/>
      <c r="AJ614" s="1937"/>
      <c r="AK614" s="1937"/>
      <c r="AL614" s="1937"/>
      <c r="AM614" s="584"/>
      <c r="AN614" s="712"/>
    </row>
    <row r="615" spans="1:42" s="584" customFormat="1" ht="12.75" customHeight="1">
      <c r="A615" s="713"/>
      <c r="B615" s="570"/>
      <c r="C615" s="968"/>
      <c r="D615" s="697"/>
      <c r="E615" s="2019"/>
      <c r="F615" s="2019"/>
      <c r="G615" s="2019"/>
      <c r="H615" s="2019"/>
      <c r="I615" s="2019"/>
      <c r="J615" s="2019"/>
      <c r="K615" s="2019"/>
      <c r="L615" s="2019"/>
      <c r="M615" s="2019"/>
      <c r="N615" s="2019"/>
      <c r="O615" s="2019"/>
      <c r="P615" s="2019"/>
      <c r="Q615" s="2019"/>
      <c r="R615" s="2019"/>
      <c r="S615" s="2019"/>
      <c r="T615" s="2019"/>
      <c r="U615" s="2019"/>
      <c r="V615" s="2019"/>
      <c r="W615" s="2019"/>
      <c r="X615" s="2019"/>
      <c r="Y615" s="2019"/>
      <c r="Z615" s="2019"/>
      <c r="AA615" s="2019"/>
      <c r="AB615" s="2019"/>
      <c r="AC615" s="2019"/>
      <c r="AD615" s="2019"/>
      <c r="AE615" s="570"/>
      <c r="AF615" s="570"/>
      <c r="AG615" s="570"/>
      <c r="AH615" s="570"/>
      <c r="AI615" s="570"/>
      <c r="AJ615" s="570"/>
      <c r="AK615" s="570"/>
      <c r="AL615" s="570"/>
      <c r="AN615" s="631"/>
    </row>
    <row r="616" spans="1:42" s="584" customFormat="1" ht="12.75" customHeight="1">
      <c r="B616" s="570"/>
      <c r="C616" s="966"/>
      <c r="D616" s="697"/>
      <c r="E616" s="2019"/>
      <c r="F616" s="2019"/>
      <c r="G616" s="2019"/>
      <c r="H616" s="2019"/>
      <c r="I616" s="2019"/>
      <c r="J616" s="2019"/>
      <c r="K616" s="2019"/>
      <c r="L616" s="2019"/>
      <c r="M616" s="2019"/>
      <c r="N616" s="2019"/>
      <c r="O616" s="2019"/>
      <c r="P616" s="2019"/>
      <c r="Q616" s="2019"/>
      <c r="R616" s="2019"/>
      <c r="S616" s="2019"/>
      <c r="T616" s="2019"/>
      <c r="U616" s="2019"/>
      <c r="V616" s="2019"/>
      <c r="W616" s="2019"/>
      <c r="X616" s="2019"/>
      <c r="Y616" s="2019"/>
      <c r="Z616" s="2019"/>
      <c r="AA616" s="2019"/>
      <c r="AB616" s="2019"/>
      <c r="AC616" s="2019"/>
      <c r="AD616" s="2019"/>
      <c r="AE616" s="570"/>
      <c r="AF616" s="570"/>
      <c r="AG616" s="570"/>
      <c r="AH616" s="570"/>
      <c r="AI616" s="570"/>
      <c r="AJ616" s="570"/>
      <c r="AK616" s="570"/>
      <c r="AL616" s="570"/>
      <c r="AN616" s="631"/>
    </row>
    <row r="617" spans="1:42" s="584" customFormat="1" ht="12.75" customHeight="1">
      <c r="B617" s="570"/>
      <c r="C617" s="966"/>
      <c r="D617" s="697"/>
      <c r="E617" s="2019"/>
      <c r="F617" s="2019"/>
      <c r="G617" s="2019"/>
      <c r="H617" s="2019"/>
      <c r="I617" s="2019"/>
      <c r="J617" s="2019"/>
      <c r="K617" s="2019"/>
      <c r="L617" s="2019"/>
      <c r="M617" s="2019"/>
      <c r="N617" s="2019"/>
      <c r="O617" s="2019"/>
      <c r="P617" s="2019"/>
      <c r="Q617" s="2019"/>
      <c r="R617" s="2019"/>
      <c r="S617" s="2019"/>
      <c r="T617" s="2019"/>
      <c r="U617" s="2019"/>
      <c r="V617" s="2019"/>
      <c r="W617" s="2019"/>
      <c r="X617" s="2019"/>
      <c r="Y617" s="2019"/>
      <c r="Z617" s="2019"/>
      <c r="AA617" s="2019"/>
      <c r="AB617" s="2019"/>
      <c r="AC617" s="2019"/>
      <c r="AD617" s="2019"/>
      <c r="AE617" s="570"/>
      <c r="AF617" s="570"/>
      <c r="AG617" s="570"/>
      <c r="AH617" s="570"/>
      <c r="AI617" s="570"/>
      <c r="AJ617" s="570"/>
      <c r="AK617" s="570"/>
      <c r="AL617" s="570"/>
      <c r="AN617" s="631"/>
    </row>
    <row r="618" spans="1:42" s="584" customFormat="1" ht="12.75" customHeight="1">
      <c r="B618" s="570"/>
      <c r="C618" s="966"/>
      <c r="D618" s="697"/>
      <c r="E618" s="2019"/>
      <c r="F618" s="2019"/>
      <c r="G618" s="2019"/>
      <c r="H618" s="2019"/>
      <c r="I618" s="2019"/>
      <c r="J618" s="2019"/>
      <c r="K618" s="2019"/>
      <c r="L618" s="2019"/>
      <c r="M618" s="2019"/>
      <c r="N618" s="2019"/>
      <c r="O618" s="2019"/>
      <c r="P618" s="2019"/>
      <c r="Q618" s="2019"/>
      <c r="R618" s="2019"/>
      <c r="S618" s="2019"/>
      <c r="T618" s="2019"/>
      <c r="U618" s="2019"/>
      <c r="V618" s="2019"/>
      <c r="W618" s="2019"/>
      <c r="X618" s="2019"/>
      <c r="Y618" s="2019"/>
      <c r="Z618" s="2019"/>
      <c r="AA618" s="2019"/>
      <c r="AB618" s="2019"/>
      <c r="AC618" s="2019"/>
      <c r="AD618" s="2019"/>
      <c r="AE618" s="570"/>
      <c r="AF618" s="570"/>
      <c r="AG618" s="570"/>
      <c r="AH618" s="570"/>
      <c r="AI618" s="570"/>
      <c r="AJ618" s="570"/>
      <c r="AK618" s="570"/>
      <c r="AL618" s="570"/>
      <c r="AN618" s="631"/>
    </row>
    <row r="619" spans="1:42" s="584" customFormat="1" ht="12.75" customHeight="1">
      <c r="B619" s="570"/>
      <c r="C619" s="966"/>
      <c r="D619" s="697"/>
      <c r="E619" s="2019"/>
      <c r="F619" s="2019"/>
      <c r="G619" s="2019"/>
      <c r="H619" s="2019"/>
      <c r="I619" s="2019"/>
      <c r="J619" s="2019"/>
      <c r="K619" s="2019"/>
      <c r="L619" s="2019"/>
      <c r="M619" s="2019"/>
      <c r="N619" s="2019"/>
      <c r="O619" s="2019"/>
      <c r="P619" s="2019"/>
      <c r="Q619" s="2019"/>
      <c r="R619" s="2019"/>
      <c r="S619" s="2019"/>
      <c r="T619" s="2019"/>
      <c r="U619" s="2019"/>
      <c r="V619" s="2019"/>
      <c r="W619" s="2019"/>
      <c r="X619" s="2019"/>
      <c r="Y619" s="2019"/>
      <c r="Z619" s="2019"/>
      <c r="AA619" s="2019"/>
      <c r="AB619" s="2019"/>
      <c r="AC619" s="2019"/>
      <c r="AD619" s="2019"/>
      <c r="AE619" s="570"/>
      <c r="AF619" s="570"/>
      <c r="AG619" s="570"/>
      <c r="AH619" s="570"/>
      <c r="AI619" s="570"/>
      <c r="AJ619" s="570"/>
      <c r="AK619" s="570"/>
      <c r="AL619" s="570"/>
      <c r="AN619" s="631"/>
    </row>
    <row r="620" spans="1:42" s="584" customFormat="1" ht="12.75" customHeight="1">
      <c r="A620" s="671"/>
      <c r="B620" s="650"/>
      <c r="C620" s="975"/>
      <c r="D620" s="697"/>
      <c r="E620" s="2019"/>
      <c r="F620" s="2019"/>
      <c r="G620" s="2019"/>
      <c r="H620" s="2019"/>
      <c r="I620" s="2019"/>
      <c r="J620" s="2019"/>
      <c r="K620" s="2019"/>
      <c r="L620" s="2019"/>
      <c r="M620" s="2019"/>
      <c r="N620" s="2019"/>
      <c r="O620" s="2019"/>
      <c r="P620" s="2019"/>
      <c r="Q620" s="2019"/>
      <c r="R620" s="2019"/>
      <c r="S620" s="2019"/>
      <c r="T620" s="2019"/>
      <c r="U620" s="2019"/>
      <c r="V620" s="2019"/>
      <c r="W620" s="2019"/>
      <c r="X620" s="2019"/>
      <c r="Y620" s="2019"/>
      <c r="Z620" s="2019"/>
      <c r="AA620" s="2019"/>
      <c r="AB620" s="2019"/>
      <c r="AC620" s="2019"/>
      <c r="AD620" s="2019"/>
      <c r="AE620" s="650"/>
      <c r="AF620" s="650"/>
      <c r="AG620" s="650"/>
      <c r="AH620" s="650"/>
      <c r="AI620" s="650"/>
      <c r="AJ620" s="650"/>
      <c r="AK620" s="570"/>
      <c r="AL620" s="570"/>
      <c r="AN620" s="631"/>
    </row>
    <row r="621" spans="1:42" s="584" customFormat="1" ht="12.75" customHeight="1">
      <c r="B621" s="650"/>
      <c r="C621" s="975"/>
      <c r="D621" s="697"/>
      <c r="E621" s="2019"/>
      <c r="F621" s="2019"/>
      <c r="G621" s="2019"/>
      <c r="H621" s="2019"/>
      <c r="I621" s="2019"/>
      <c r="J621" s="2019"/>
      <c r="K621" s="2019"/>
      <c r="L621" s="2019"/>
      <c r="M621" s="2019"/>
      <c r="N621" s="2019"/>
      <c r="O621" s="2019"/>
      <c r="P621" s="2019"/>
      <c r="Q621" s="2019"/>
      <c r="R621" s="2019"/>
      <c r="S621" s="2019"/>
      <c r="T621" s="2019"/>
      <c r="U621" s="2019"/>
      <c r="V621" s="2019"/>
      <c r="W621" s="2019"/>
      <c r="X621" s="2019"/>
      <c r="Y621" s="2019"/>
      <c r="Z621" s="2019"/>
      <c r="AA621" s="2019"/>
      <c r="AB621" s="2019"/>
      <c r="AC621" s="2019"/>
      <c r="AD621" s="201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64" t="s">
        <v>599</v>
      </c>
      <c r="Y623" s="196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7" t="s">
        <v>1517</v>
      </c>
      <c r="AG625" s="1937"/>
      <c r="AH625" s="1937"/>
      <c r="AI625" s="1937"/>
      <c r="AJ625" s="1937"/>
      <c r="AK625" s="1937"/>
      <c r="AL625" s="193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20" t="s">
        <v>696</v>
      </c>
      <c r="I627" s="202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71">
        <f>VLOOKUP($H$627,$AO$594:$AP$596,2,FALSE)</f>
        <v>3</v>
      </c>
      <c r="AK629" s="1973"/>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1" t="s">
        <v>2414</v>
      </c>
      <c r="F633" s="1991"/>
      <c r="G633" s="1991"/>
      <c r="H633" s="1991"/>
      <c r="I633" s="1991"/>
      <c r="J633" s="1991"/>
      <c r="K633" s="1991"/>
      <c r="L633" s="1991"/>
      <c r="M633" s="1991"/>
      <c r="N633" s="1991"/>
      <c r="O633" s="1991"/>
      <c r="P633" s="1991"/>
      <c r="Q633" s="1991"/>
      <c r="R633" s="1991"/>
      <c r="S633" s="1991"/>
      <c r="T633" s="1991"/>
      <c r="U633" s="1991"/>
      <c r="V633" s="1991"/>
      <c r="W633" s="1991"/>
      <c r="X633" s="1991"/>
      <c r="Y633" s="1991"/>
      <c r="Z633" s="1991"/>
      <c r="AA633" s="1991"/>
      <c r="AB633" s="1991"/>
      <c r="AC633" s="1991"/>
      <c r="AD633" s="1991"/>
      <c r="AE633" s="570"/>
      <c r="AF633" s="1937" t="s">
        <v>1461</v>
      </c>
      <c r="AG633" s="1937"/>
      <c r="AH633" s="1937"/>
      <c r="AI633" s="1937"/>
      <c r="AJ633" s="1937"/>
      <c r="AK633" s="1937"/>
      <c r="AL633" s="1937"/>
      <c r="AN633" s="631"/>
    </row>
    <row r="634" spans="1:42" s="584" customFormat="1" ht="12.75" customHeight="1">
      <c r="B634" s="570"/>
      <c r="C634" s="570"/>
      <c r="D634" s="697"/>
      <c r="E634" s="1991"/>
      <c r="F634" s="1991"/>
      <c r="G634" s="1991"/>
      <c r="H634" s="1991"/>
      <c r="I634" s="1991"/>
      <c r="J634" s="1991"/>
      <c r="K634" s="1991"/>
      <c r="L634" s="1991"/>
      <c r="M634" s="1991"/>
      <c r="N634" s="1991"/>
      <c r="O634" s="1991"/>
      <c r="P634" s="1991"/>
      <c r="Q634" s="1991"/>
      <c r="R634" s="1991"/>
      <c r="S634" s="1991"/>
      <c r="T634" s="1991"/>
      <c r="U634" s="1991"/>
      <c r="V634" s="1991"/>
      <c r="W634" s="1991"/>
      <c r="X634" s="1991"/>
      <c r="Y634" s="1991"/>
      <c r="Z634" s="1991"/>
      <c r="AA634" s="1991"/>
      <c r="AB634" s="1991"/>
      <c r="AC634" s="1991"/>
      <c r="AD634" s="199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7" t="s">
        <v>1517</v>
      </c>
      <c r="AG636" s="1937"/>
      <c r="AH636" s="1937"/>
      <c r="AI636" s="1937"/>
      <c r="AJ636" s="1937"/>
      <c r="AK636" s="1937"/>
      <c r="AL636" s="1937"/>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20" t="s">
        <v>696</v>
      </c>
      <c r="I639" s="202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71">
        <f>VLOOKUP(H639,AT594:AU596,2,FALSE)</f>
        <v>3</v>
      </c>
      <c r="AK641" s="197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1" t="s">
        <v>1527</v>
      </c>
      <c r="F646" s="1991"/>
      <c r="G646" s="1991"/>
      <c r="H646" s="1991"/>
      <c r="I646" s="1991"/>
      <c r="J646" s="1991"/>
      <c r="K646" s="1991"/>
      <c r="L646" s="1991"/>
      <c r="M646" s="1991"/>
      <c r="N646" s="1991"/>
      <c r="O646" s="1991"/>
      <c r="P646" s="1991"/>
      <c r="Q646" s="1991"/>
      <c r="R646" s="1991"/>
      <c r="S646" s="1991"/>
      <c r="T646" s="1991"/>
      <c r="U646" s="1991"/>
      <c r="V646" s="1991"/>
      <c r="W646" s="1991"/>
      <c r="X646" s="1991"/>
      <c r="Y646" s="1991"/>
      <c r="Z646" s="1991"/>
      <c r="AA646" s="1991"/>
      <c r="AB646" s="1991"/>
      <c r="AC646" s="1991"/>
      <c r="AD646" s="570"/>
      <c r="AE646" s="570"/>
      <c r="AF646" s="1937" t="s">
        <v>1487</v>
      </c>
      <c r="AG646" s="1937"/>
      <c r="AH646" s="1937"/>
      <c r="AI646" s="1937"/>
      <c r="AJ646" s="1937"/>
      <c r="AK646" s="1937"/>
      <c r="AL646" s="1937"/>
      <c r="AN646" s="631"/>
    </row>
    <row r="647" spans="1:42" s="584" customFormat="1" ht="12.75" customHeight="1">
      <c r="B647" s="570"/>
      <c r="C647" s="573"/>
      <c r="D647" s="570"/>
      <c r="E647" s="1991"/>
      <c r="F647" s="1991"/>
      <c r="G647" s="1991"/>
      <c r="H647" s="1991"/>
      <c r="I647" s="1991"/>
      <c r="J647" s="1991"/>
      <c r="K647" s="1991"/>
      <c r="L647" s="1991"/>
      <c r="M647" s="1991"/>
      <c r="N647" s="1991"/>
      <c r="O647" s="1991"/>
      <c r="P647" s="1991"/>
      <c r="Q647" s="1991"/>
      <c r="R647" s="1991"/>
      <c r="S647" s="1991"/>
      <c r="T647" s="1991"/>
      <c r="U647" s="1991"/>
      <c r="V647" s="1991"/>
      <c r="W647" s="1991"/>
      <c r="X647" s="1991"/>
      <c r="Y647" s="1991"/>
      <c r="Z647" s="1991"/>
      <c r="AA647" s="1991"/>
      <c r="AB647" s="1991"/>
      <c r="AC647" s="1991"/>
      <c r="AD647" s="570"/>
      <c r="AE647" s="570"/>
      <c r="AF647" s="570"/>
      <c r="AG647" s="570"/>
      <c r="AH647" s="570"/>
      <c r="AI647" s="570"/>
      <c r="AJ647" s="570"/>
      <c r="AK647" s="570"/>
      <c r="AL647" s="570"/>
      <c r="AN647" s="631"/>
    </row>
    <row r="648" spans="1:42" s="584" customFormat="1" ht="12.75" customHeight="1">
      <c r="B648" s="570"/>
      <c r="C648" s="573"/>
      <c r="D648" s="697"/>
      <c r="E648" s="1991"/>
      <c r="F648" s="1991"/>
      <c r="G648" s="1991"/>
      <c r="H648" s="1991"/>
      <c r="I648" s="1991"/>
      <c r="J648" s="1991"/>
      <c r="K648" s="1991"/>
      <c r="L648" s="1991"/>
      <c r="M648" s="1991"/>
      <c r="N648" s="1991"/>
      <c r="O648" s="1991"/>
      <c r="P648" s="1991"/>
      <c r="Q648" s="1991"/>
      <c r="R648" s="1991"/>
      <c r="S648" s="1991"/>
      <c r="T648" s="1991"/>
      <c r="U648" s="1991"/>
      <c r="V648" s="1991"/>
      <c r="W648" s="1991"/>
      <c r="X648" s="1991"/>
      <c r="Y648" s="1991"/>
      <c r="Z648" s="1991"/>
      <c r="AA648" s="1991"/>
      <c r="AB648" s="1991"/>
      <c r="AC648" s="199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1" t="s">
        <v>1528</v>
      </c>
      <c r="F650" s="1991"/>
      <c r="G650" s="1991"/>
      <c r="H650" s="1991"/>
      <c r="I650" s="1991"/>
      <c r="J650" s="1991"/>
      <c r="K650" s="1991"/>
      <c r="L650" s="1991"/>
      <c r="M650" s="1991"/>
      <c r="N650" s="1991"/>
      <c r="O650" s="1991"/>
      <c r="P650" s="1991"/>
      <c r="Q650" s="1991"/>
      <c r="R650" s="1991"/>
      <c r="S650" s="1991"/>
      <c r="T650" s="1991"/>
      <c r="U650" s="1991"/>
      <c r="V650" s="1991"/>
      <c r="W650" s="1991"/>
      <c r="X650" s="1991"/>
      <c r="Y650" s="1991"/>
      <c r="Z650" s="1991"/>
      <c r="AA650" s="1991"/>
      <c r="AB650" s="1991"/>
      <c r="AC650" s="1991"/>
      <c r="AD650" s="570"/>
      <c r="AE650" s="570"/>
      <c r="AF650" s="1937" t="s">
        <v>1508</v>
      </c>
      <c r="AG650" s="1937"/>
      <c r="AH650" s="1937"/>
      <c r="AI650" s="1937"/>
      <c r="AJ650" s="1937"/>
      <c r="AK650" s="1937"/>
      <c r="AL650" s="1937"/>
      <c r="AN650" s="631"/>
    </row>
    <row r="651" spans="1:42" s="584" customFormat="1" ht="12.75" customHeight="1">
      <c r="B651" s="570"/>
      <c r="C651" s="573"/>
      <c r="D651" s="570"/>
      <c r="E651" s="1991"/>
      <c r="F651" s="1991"/>
      <c r="G651" s="1991"/>
      <c r="H651" s="1991"/>
      <c r="I651" s="1991"/>
      <c r="J651" s="1991"/>
      <c r="K651" s="1991"/>
      <c r="L651" s="1991"/>
      <c r="M651" s="1991"/>
      <c r="N651" s="1991"/>
      <c r="O651" s="1991"/>
      <c r="P651" s="1991"/>
      <c r="Q651" s="1991"/>
      <c r="R651" s="1991"/>
      <c r="S651" s="1991"/>
      <c r="T651" s="1991"/>
      <c r="U651" s="1991"/>
      <c r="V651" s="1991"/>
      <c r="W651" s="1991"/>
      <c r="X651" s="1991"/>
      <c r="Y651" s="1991"/>
      <c r="Z651" s="1991"/>
      <c r="AA651" s="1991"/>
      <c r="AB651" s="1991"/>
      <c r="AC651" s="1991"/>
      <c r="AD651" s="570"/>
      <c r="AE651" s="570"/>
      <c r="AF651" s="570"/>
      <c r="AG651" s="570"/>
      <c r="AH651" s="570"/>
      <c r="AI651" s="570"/>
      <c r="AJ651" s="570"/>
      <c r="AK651" s="570"/>
      <c r="AL651" s="570"/>
      <c r="AN651" s="631"/>
    </row>
    <row r="652" spans="1:42" s="584" customFormat="1" ht="15" customHeight="1">
      <c r="B652" s="570"/>
      <c r="C652" s="573"/>
      <c r="D652" s="697"/>
      <c r="E652" s="1991"/>
      <c r="F652" s="1991"/>
      <c r="G652" s="1991"/>
      <c r="H652" s="1991"/>
      <c r="I652" s="1991"/>
      <c r="J652" s="1991"/>
      <c r="K652" s="1991"/>
      <c r="L652" s="1991"/>
      <c r="M652" s="1991"/>
      <c r="N652" s="1991"/>
      <c r="O652" s="1991"/>
      <c r="P652" s="1991"/>
      <c r="Q652" s="1991"/>
      <c r="R652" s="1991"/>
      <c r="S652" s="1991"/>
      <c r="T652" s="1991"/>
      <c r="U652" s="1991"/>
      <c r="V652" s="1991"/>
      <c r="W652" s="1991"/>
      <c r="X652" s="1991"/>
      <c r="Y652" s="1991"/>
      <c r="Z652" s="1991"/>
      <c r="AA652" s="1991"/>
      <c r="AB652" s="1991"/>
      <c r="AC652" s="199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1" t="s">
        <v>1529</v>
      </c>
      <c r="F654" s="1991"/>
      <c r="G654" s="1991"/>
      <c r="H654" s="1991"/>
      <c r="I654" s="1991"/>
      <c r="J654" s="1991"/>
      <c r="K654" s="1991"/>
      <c r="L654" s="1991"/>
      <c r="M654" s="1991"/>
      <c r="N654" s="1991"/>
      <c r="O654" s="1991"/>
      <c r="P654" s="1991"/>
      <c r="Q654" s="1991"/>
      <c r="R654" s="1991"/>
      <c r="S654" s="1991"/>
      <c r="T654" s="1991"/>
      <c r="U654" s="1991"/>
      <c r="V654" s="1991"/>
      <c r="W654" s="1991"/>
      <c r="X654" s="1991"/>
      <c r="Y654" s="1991"/>
      <c r="Z654" s="1991"/>
      <c r="AA654" s="1991"/>
      <c r="AB654" s="1991"/>
      <c r="AC654" s="1991"/>
      <c r="AD654" s="570"/>
      <c r="AE654" s="570"/>
      <c r="AF654" s="1937" t="s">
        <v>1461</v>
      </c>
      <c r="AG654" s="1937"/>
      <c r="AH654" s="1937"/>
      <c r="AI654" s="1937"/>
      <c r="AJ654" s="1937"/>
      <c r="AK654" s="1937"/>
      <c r="AL654" s="1937"/>
      <c r="AN654" s="631"/>
    </row>
    <row r="655" spans="1:42" s="584" customFormat="1" ht="12.75" customHeight="1">
      <c r="B655" s="570"/>
      <c r="C655" s="966"/>
      <c r="D655" s="570"/>
      <c r="E655" s="1991"/>
      <c r="F655" s="1991"/>
      <c r="G655" s="1991"/>
      <c r="H655" s="1991"/>
      <c r="I655" s="1991"/>
      <c r="J655" s="1991"/>
      <c r="K655" s="1991"/>
      <c r="L655" s="1991"/>
      <c r="M655" s="1991"/>
      <c r="N655" s="1991"/>
      <c r="O655" s="1991"/>
      <c r="P655" s="1991"/>
      <c r="Q655" s="1991"/>
      <c r="R655" s="1991"/>
      <c r="S655" s="1991"/>
      <c r="T655" s="1991"/>
      <c r="U655" s="1991"/>
      <c r="V655" s="1991"/>
      <c r="W655" s="1991"/>
      <c r="X655" s="1991"/>
      <c r="Y655" s="1991"/>
      <c r="Z655" s="1991"/>
      <c r="AA655" s="1991"/>
      <c r="AB655" s="1991"/>
      <c r="AC655" s="1991"/>
      <c r="AD655" s="570"/>
      <c r="AE655" s="1937"/>
      <c r="AF655" s="1937"/>
      <c r="AG655" s="1937"/>
      <c r="AH655" s="1937"/>
      <c r="AI655" s="1937"/>
      <c r="AJ655" s="1937"/>
      <c r="AK655" s="1937"/>
      <c r="AL655" s="628"/>
      <c r="AN655" s="631"/>
      <c r="AO655" s="584" t="s">
        <v>599</v>
      </c>
      <c r="AP655" s="707">
        <v>0</v>
      </c>
    </row>
    <row r="656" spans="1:42" s="584" customFormat="1" ht="12.75" customHeight="1">
      <c r="A656" s="713"/>
      <c r="B656" s="570"/>
      <c r="C656" s="570"/>
      <c r="D656" s="697"/>
      <c r="E656" s="1991"/>
      <c r="F656" s="1991"/>
      <c r="G656" s="1991"/>
      <c r="H656" s="1991"/>
      <c r="I656" s="1991"/>
      <c r="J656" s="1991"/>
      <c r="K656" s="1991"/>
      <c r="L656" s="1991"/>
      <c r="M656" s="1991"/>
      <c r="N656" s="1991"/>
      <c r="O656" s="1991"/>
      <c r="P656" s="1991"/>
      <c r="Q656" s="1991"/>
      <c r="R656" s="1991"/>
      <c r="S656" s="1991"/>
      <c r="T656" s="1991"/>
      <c r="U656" s="1991"/>
      <c r="V656" s="1991"/>
      <c r="W656" s="1991"/>
      <c r="X656" s="1991"/>
      <c r="Y656" s="1991"/>
      <c r="Z656" s="1991"/>
      <c r="AA656" s="1991"/>
      <c r="AB656" s="1991"/>
      <c r="AC656" s="1991"/>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91" t="s">
        <v>1530</v>
      </c>
      <c r="F658" s="1991"/>
      <c r="G658" s="1991"/>
      <c r="H658" s="1991"/>
      <c r="I658" s="1991"/>
      <c r="J658" s="1991"/>
      <c r="K658" s="1991"/>
      <c r="L658" s="1991"/>
      <c r="M658" s="1991"/>
      <c r="N658" s="1991"/>
      <c r="O658" s="1991"/>
      <c r="P658" s="1991"/>
      <c r="Q658" s="1991"/>
      <c r="R658" s="1991"/>
      <c r="S658" s="1991"/>
      <c r="T658" s="1991"/>
      <c r="U658" s="1991"/>
      <c r="V658" s="1991"/>
      <c r="W658" s="1991"/>
      <c r="X658" s="1991"/>
      <c r="Y658" s="1991"/>
      <c r="Z658" s="1991"/>
      <c r="AA658" s="1991"/>
      <c r="AB658" s="1991"/>
      <c r="AC658" s="1991"/>
      <c r="AD658" s="570"/>
      <c r="AE658" s="570"/>
      <c r="AF658" s="1937" t="s">
        <v>1508</v>
      </c>
      <c r="AG658" s="1937"/>
      <c r="AH658" s="1937"/>
      <c r="AI658" s="1937"/>
      <c r="AJ658" s="1937"/>
      <c r="AK658" s="1937"/>
      <c r="AL658" s="1937"/>
      <c r="AN658" s="631"/>
    </row>
    <row r="659" spans="1:42" s="584" customFormat="1" ht="12.75" customHeight="1">
      <c r="A659" s="704"/>
      <c r="B659" s="570"/>
      <c r="C659" s="982"/>
      <c r="D659" s="697"/>
      <c r="E659" s="1991"/>
      <c r="F659" s="1991"/>
      <c r="G659" s="1991"/>
      <c r="H659" s="1991"/>
      <c r="I659" s="1991"/>
      <c r="J659" s="1991"/>
      <c r="K659" s="1991"/>
      <c r="L659" s="1991"/>
      <c r="M659" s="1991"/>
      <c r="N659" s="1991"/>
      <c r="O659" s="1991"/>
      <c r="P659" s="1991"/>
      <c r="Q659" s="1991"/>
      <c r="R659" s="1991"/>
      <c r="S659" s="1991"/>
      <c r="T659" s="1991"/>
      <c r="U659" s="1991"/>
      <c r="V659" s="1991"/>
      <c r="W659" s="1991"/>
      <c r="X659" s="1991"/>
      <c r="Y659" s="1991"/>
      <c r="Z659" s="1991"/>
      <c r="AA659" s="1991"/>
      <c r="AB659" s="1991"/>
      <c r="AC659" s="199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1"/>
      <c r="F660" s="1991"/>
      <c r="G660" s="1991"/>
      <c r="H660" s="1991"/>
      <c r="I660" s="1991"/>
      <c r="J660" s="1991"/>
      <c r="K660" s="1991"/>
      <c r="L660" s="1991"/>
      <c r="M660" s="1991"/>
      <c r="N660" s="1991"/>
      <c r="O660" s="1991"/>
      <c r="P660" s="1991"/>
      <c r="Q660" s="1991"/>
      <c r="R660" s="1991"/>
      <c r="S660" s="1991"/>
      <c r="T660" s="1991"/>
      <c r="U660" s="1991"/>
      <c r="V660" s="1991"/>
      <c r="W660" s="1991"/>
      <c r="X660" s="1991"/>
      <c r="Y660" s="1991"/>
      <c r="Z660" s="1991"/>
      <c r="AA660" s="1991"/>
      <c r="AB660" s="1991"/>
      <c r="AC660" s="199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91" t="s">
        <v>1531</v>
      </c>
      <c r="F662" s="1991"/>
      <c r="G662" s="1991"/>
      <c r="H662" s="1991"/>
      <c r="I662" s="1991"/>
      <c r="J662" s="1991"/>
      <c r="K662" s="1991"/>
      <c r="L662" s="1991"/>
      <c r="M662" s="1991"/>
      <c r="N662" s="1991"/>
      <c r="O662" s="1991"/>
      <c r="P662" s="1991"/>
      <c r="Q662" s="1991"/>
      <c r="R662" s="1991"/>
      <c r="S662" s="1991"/>
      <c r="T662" s="1991"/>
      <c r="U662" s="1991"/>
      <c r="V662" s="1991"/>
      <c r="W662" s="1991"/>
      <c r="X662" s="1991"/>
      <c r="Y662" s="1991"/>
      <c r="Z662" s="1991"/>
      <c r="AA662" s="1991"/>
      <c r="AB662" s="1991"/>
      <c r="AC662" s="1991"/>
      <c r="AD662" s="570"/>
      <c r="AE662" s="570"/>
      <c r="AF662" s="1937" t="s">
        <v>1461</v>
      </c>
      <c r="AG662" s="1937"/>
      <c r="AH662" s="1937"/>
      <c r="AI662" s="1937"/>
      <c r="AJ662" s="1937"/>
      <c r="AK662" s="1937"/>
      <c r="AL662" s="1937"/>
      <c r="AM662" s="630"/>
      <c r="AN662" s="631"/>
    </row>
    <row r="663" spans="1:42" s="584" customFormat="1" ht="12.75" customHeight="1">
      <c r="B663" s="570"/>
      <c r="C663" s="966"/>
      <c r="D663" s="697"/>
      <c r="E663" s="1991"/>
      <c r="F663" s="1991"/>
      <c r="G663" s="1991"/>
      <c r="H663" s="1991"/>
      <c r="I663" s="1991"/>
      <c r="J663" s="1991"/>
      <c r="K663" s="1991"/>
      <c r="L663" s="1991"/>
      <c r="M663" s="1991"/>
      <c r="N663" s="1991"/>
      <c r="O663" s="1991"/>
      <c r="P663" s="1991"/>
      <c r="Q663" s="1991"/>
      <c r="R663" s="1991"/>
      <c r="S663" s="1991"/>
      <c r="T663" s="1991"/>
      <c r="U663" s="1991"/>
      <c r="V663" s="1991"/>
      <c r="W663" s="1991"/>
      <c r="X663" s="1991"/>
      <c r="Y663" s="1991"/>
      <c r="Z663" s="1991"/>
      <c r="AA663" s="1991"/>
      <c r="AB663" s="1991"/>
      <c r="AC663" s="1991"/>
      <c r="AD663" s="570"/>
      <c r="AE663" s="570"/>
      <c r="AF663" s="570"/>
      <c r="AG663" s="570"/>
      <c r="AH663" s="570"/>
      <c r="AI663" s="570"/>
      <c r="AJ663" s="570"/>
      <c r="AK663" s="570"/>
      <c r="AL663" s="570"/>
      <c r="AM663" s="630"/>
      <c r="AN663" s="631"/>
    </row>
    <row r="664" spans="1:42" s="584" customFormat="1" ht="12.75" customHeight="1">
      <c r="B664" s="570"/>
      <c r="C664" s="966"/>
      <c r="D664" s="697"/>
      <c r="E664" s="1991"/>
      <c r="F664" s="1991"/>
      <c r="G664" s="1991"/>
      <c r="H664" s="1991"/>
      <c r="I664" s="1991"/>
      <c r="J664" s="1991"/>
      <c r="K664" s="1991"/>
      <c r="L664" s="1991"/>
      <c r="M664" s="1991"/>
      <c r="N664" s="1991"/>
      <c r="O664" s="1991"/>
      <c r="P664" s="1991"/>
      <c r="Q664" s="1991"/>
      <c r="R664" s="1991"/>
      <c r="S664" s="1991"/>
      <c r="T664" s="1991"/>
      <c r="U664" s="1991"/>
      <c r="V664" s="1991"/>
      <c r="W664" s="1991"/>
      <c r="X664" s="1991"/>
      <c r="Y664" s="1991"/>
      <c r="Z664" s="1991"/>
      <c r="AA664" s="1991"/>
      <c r="AB664" s="1991"/>
      <c r="AC664" s="199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91" t="s">
        <v>1532</v>
      </c>
      <c r="F666" s="1991"/>
      <c r="G666" s="1991"/>
      <c r="H666" s="1991"/>
      <c r="I666" s="1991"/>
      <c r="J666" s="1991"/>
      <c r="K666" s="1991"/>
      <c r="L666" s="1991"/>
      <c r="M666" s="1991"/>
      <c r="N666" s="1991"/>
      <c r="O666" s="1991"/>
      <c r="P666" s="1991"/>
      <c r="Q666" s="1991"/>
      <c r="R666" s="1991"/>
      <c r="S666" s="1991"/>
      <c r="T666" s="1991"/>
      <c r="U666" s="1991"/>
      <c r="V666" s="1991"/>
      <c r="W666" s="1991"/>
      <c r="X666" s="1991"/>
      <c r="Y666" s="1991"/>
      <c r="Z666" s="1991"/>
      <c r="AA666" s="1991"/>
      <c r="AB666" s="1991"/>
      <c r="AC666" s="1991"/>
      <c r="AD666" s="570"/>
      <c r="AE666" s="570"/>
      <c r="AF666" s="1937" t="s">
        <v>1517</v>
      </c>
      <c r="AG666" s="1937"/>
      <c r="AH666" s="1937"/>
      <c r="AI666" s="1937"/>
      <c r="AJ666" s="1937"/>
      <c r="AK666" s="1937"/>
      <c r="AL666" s="1937"/>
      <c r="AM666" s="630"/>
      <c r="AN666" s="631"/>
    </row>
    <row r="667" spans="1:42" s="584" customFormat="1" ht="12.75" customHeight="1">
      <c r="A667" s="713"/>
      <c r="B667" s="570"/>
      <c r="C667" s="966"/>
      <c r="D667" s="697"/>
      <c r="E667" s="1991"/>
      <c r="F667" s="1991"/>
      <c r="G667" s="1991"/>
      <c r="H667" s="1991"/>
      <c r="I667" s="1991"/>
      <c r="J667" s="1991"/>
      <c r="K667" s="1991"/>
      <c r="L667" s="1991"/>
      <c r="M667" s="1991"/>
      <c r="N667" s="1991"/>
      <c r="O667" s="1991"/>
      <c r="P667" s="1991"/>
      <c r="Q667" s="1991"/>
      <c r="R667" s="1991"/>
      <c r="S667" s="1991"/>
      <c r="T667" s="1991"/>
      <c r="U667" s="1991"/>
      <c r="V667" s="1991"/>
      <c r="W667" s="1991"/>
      <c r="X667" s="1991"/>
      <c r="Y667" s="1991"/>
      <c r="Z667" s="1991"/>
      <c r="AA667" s="1991"/>
      <c r="AB667" s="1991"/>
      <c r="AC667" s="199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1"/>
      <c r="F668" s="1991"/>
      <c r="G668" s="1991"/>
      <c r="H668" s="1991"/>
      <c r="I668" s="1991"/>
      <c r="J668" s="1991"/>
      <c r="K668" s="1991"/>
      <c r="L668" s="1991"/>
      <c r="M668" s="1991"/>
      <c r="N668" s="1991"/>
      <c r="O668" s="1991"/>
      <c r="P668" s="1991"/>
      <c r="Q668" s="1991"/>
      <c r="R668" s="1991"/>
      <c r="S668" s="1991"/>
      <c r="T668" s="1991"/>
      <c r="U668" s="1991"/>
      <c r="V668" s="1991"/>
      <c r="W668" s="1991"/>
      <c r="X668" s="1991"/>
      <c r="Y668" s="1991"/>
      <c r="Z668" s="1991"/>
      <c r="AA668" s="1991"/>
      <c r="AB668" s="1991"/>
      <c r="AC668" s="199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91" t="s">
        <v>1533</v>
      </c>
      <c r="F670" s="1991"/>
      <c r="G670" s="1991"/>
      <c r="H670" s="1991"/>
      <c r="I670" s="1991"/>
      <c r="J670" s="1991"/>
      <c r="K670" s="1991"/>
      <c r="L670" s="1991"/>
      <c r="M670" s="1991"/>
      <c r="N670" s="1991"/>
      <c r="O670" s="1991"/>
      <c r="P670" s="1991"/>
      <c r="Q670" s="1991"/>
      <c r="R670" s="1991"/>
      <c r="S670" s="1991"/>
      <c r="T670" s="1991"/>
      <c r="U670" s="1991"/>
      <c r="V670" s="1991"/>
      <c r="W670" s="1991"/>
      <c r="X670" s="1991"/>
      <c r="Y670" s="1991"/>
      <c r="Z670" s="1991"/>
      <c r="AA670" s="1991"/>
      <c r="AB670" s="1991"/>
      <c r="AC670" s="1991"/>
      <c r="AD670" s="570"/>
      <c r="AE670" s="570"/>
      <c r="AF670" s="1937" t="s">
        <v>1534</v>
      </c>
      <c r="AG670" s="1937"/>
      <c r="AH670" s="1937"/>
      <c r="AI670" s="1937"/>
      <c r="AJ670" s="1937"/>
      <c r="AK670" s="1937"/>
      <c r="AL670" s="1937"/>
      <c r="AM670" s="630"/>
      <c r="AN670" s="631"/>
      <c r="AO670" s="645" t="s">
        <v>696</v>
      </c>
      <c r="AP670" s="584">
        <v>3</v>
      </c>
    </row>
    <row r="671" spans="1:42" s="584" customFormat="1" ht="12.75" customHeight="1">
      <c r="A671" s="713"/>
      <c r="B671" s="570"/>
      <c r="C671" s="966"/>
      <c r="D671" s="697"/>
      <c r="E671" s="1991"/>
      <c r="F671" s="1991"/>
      <c r="G671" s="1991"/>
      <c r="H671" s="1991"/>
      <c r="I671" s="1991"/>
      <c r="J671" s="1991"/>
      <c r="K671" s="1991"/>
      <c r="L671" s="1991"/>
      <c r="M671" s="1991"/>
      <c r="N671" s="1991"/>
      <c r="O671" s="1991"/>
      <c r="P671" s="1991"/>
      <c r="Q671" s="1991"/>
      <c r="R671" s="1991"/>
      <c r="S671" s="1991"/>
      <c r="T671" s="1991"/>
      <c r="U671" s="1991"/>
      <c r="V671" s="1991"/>
      <c r="W671" s="1991"/>
      <c r="X671" s="1991"/>
      <c r="Y671" s="1991"/>
      <c r="Z671" s="1991"/>
      <c r="AA671" s="1991"/>
      <c r="AB671" s="1991"/>
      <c r="AC671" s="1991"/>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1"/>
      <c r="F672" s="1991"/>
      <c r="G672" s="1991"/>
      <c r="H672" s="1991"/>
      <c r="I672" s="1991"/>
      <c r="J672" s="1991"/>
      <c r="K672" s="1991"/>
      <c r="L672" s="1991"/>
      <c r="M672" s="1991"/>
      <c r="N672" s="1991"/>
      <c r="O672" s="1991"/>
      <c r="P672" s="1991"/>
      <c r="Q672" s="1991"/>
      <c r="R672" s="1991"/>
      <c r="S672" s="1991"/>
      <c r="T672" s="1991"/>
      <c r="U672" s="1991"/>
      <c r="V672" s="1991"/>
      <c r="W672" s="1991"/>
      <c r="X672" s="1991"/>
      <c r="Y672" s="1991"/>
      <c r="Z672" s="1991"/>
      <c r="AA672" s="1991"/>
      <c r="AB672" s="1991"/>
      <c r="AC672" s="199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20" t="s">
        <v>696</v>
      </c>
      <c r="I674" s="202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71">
        <f>VLOOKUP($H$674,$AO$622:$AP$629,2,FALSE)</f>
        <v>5</v>
      </c>
      <c r="AK676" s="197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97</v>
      </c>
    </row>
    <row r="680" spans="1:51" s="584" customFormat="1" ht="12.75" customHeight="1">
      <c r="A680" s="713"/>
      <c r="B680" s="570"/>
      <c r="C680" s="983"/>
      <c r="D680" s="697" t="s">
        <v>696</v>
      </c>
      <c r="E680" s="2027" t="s">
        <v>2550</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37" t="s">
        <v>1461</v>
      </c>
      <c r="AG680" s="1937"/>
      <c r="AH680" s="1937"/>
      <c r="AI680" s="1937"/>
      <c r="AJ680" s="1937"/>
      <c r="AK680" s="1937"/>
      <c r="AL680" s="1937"/>
      <c r="AN680" s="631"/>
      <c r="AW680" s="22" t="s">
        <v>2545</v>
      </c>
      <c r="AX680" s="584">
        <f>Application!CC632</f>
        <v>34</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91" t="s">
        <v>2451</v>
      </c>
      <c r="F683" s="1991"/>
      <c r="G683" s="1991"/>
      <c r="H683" s="1991"/>
      <c r="I683" s="1991"/>
      <c r="J683" s="1991"/>
      <c r="K683" s="1991"/>
      <c r="L683" s="1991"/>
      <c r="M683" s="1991"/>
      <c r="N683" s="1991"/>
      <c r="O683" s="1991"/>
      <c r="P683" s="1991"/>
      <c r="Q683" s="1991"/>
      <c r="R683" s="1991"/>
      <c r="S683" s="1991"/>
      <c r="T683" s="1991"/>
      <c r="U683" s="1991"/>
      <c r="V683" s="1991"/>
      <c r="W683" s="1991"/>
      <c r="X683" s="1991"/>
      <c r="Y683" s="1991"/>
      <c r="Z683" s="1991"/>
      <c r="AA683" s="1991"/>
      <c r="AB683" s="1991"/>
      <c r="AC683" s="570"/>
      <c r="AD683" s="570"/>
      <c r="AE683" s="570"/>
      <c r="AF683" s="1937" t="s">
        <v>1461</v>
      </c>
      <c r="AG683" s="1937"/>
      <c r="AH683" s="1937"/>
      <c r="AI683" s="1937"/>
      <c r="AJ683" s="1937"/>
      <c r="AK683" s="1937"/>
      <c r="AL683" s="1937"/>
      <c r="AN683" s="631"/>
      <c r="AW683" s="22" t="s">
        <v>2548</v>
      </c>
      <c r="AX683" s="584">
        <f>AX680+AX681+AX682</f>
        <v>34</v>
      </c>
    </row>
    <row r="684" spans="1:51" s="584" customFormat="1" ht="12.75" customHeight="1">
      <c r="B684" s="570"/>
      <c r="C684" s="975"/>
      <c r="D684" s="697"/>
      <c r="E684" s="1991"/>
      <c r="F684" s="1991"/>
      <c r="G684" s="1991"/>
      <c r="H684" s="1991"/>
      <c r="I684" s="1991"/>
      <c r="J684" s="1991"/>
      <c r="K684" s="1991"/>
      <c r="L684" s="1991"/>
      <c r="M684" s="1991"/>
      <c r="N684" s="1991"/>
      <c r="O684" s="1991"/>
      <c r="P684" s="1991"/>
      <c r="Q684" s="1991"/>
      <c r="R684" s="1991"/>
      <c r="S684" s="1991"/>
      <c r="T684" s="1991"/>
      <c r="U684" s="1991"/>
      <c r="V684" s="1991"/>
      <c r="W684" s="1991"/>
      <c r="X684" s="1991"/>
      <c r="Y684" s="1991"/>
      <c r="Z684" s="1991"/>
      <c r="AA684" s="1991"/>
      <c r="AB684" s="1991"/>
      <c r="AC684" s="570"/>
      <c r="AD684" s="570"/>
      <c r="AE684" s="650"/>
      <c r="AF684" s="570"/>
      <c r="AG684" s="570"/>
      <c r="AH684" s="570"/>
      <c r="AI684" s="570"/>
      <c r="AJ684" s="570"/>
      <c r="AK684" s="570"/>
      <c r="AL684" s="570"/>
      <c r="AN684" s="631"/>
      <c r="AO684" s="2026" t="b">
        <f>IF(Application!D211="Special Needs",IF(AY684&gt;=0.25,TRUE,FALSE),IF(AX684&gt;=0.25,TRUE,FALSE))</f>
        <v>1</v>
      </c>
      <c r="AP684" s="2026"/>
      <c r="AW684" s="22" t="s">
        <v>2549</v>
      </c>
      <c r="AX684" s="584">
        <f>IFERROR(AX683/AX679,0)</f>
        <v>0.35051546391752575</v>
      </c>
      <c r="AY684" s="584">
        <f>IFERROR(AX683/(AX679-AX678),0)</f>
        <v>0.35051546391752575</v>
      </c>
    </row>
    <row r="685" spans="1:51" s="584" customFormat="1" ht="12.75" customHeight="1">
      <c r="B685" s="570"/>
      <c r="C685" s="975"/>
      <c r="E685" s="1991"/>
      <c r="F685" s="1991"/>
      <c r="G685" s="1991"/>
      <c r="H685" s="1991"/>
      <c r="I685" s="1991"/>
      <c r="J685" s="1991"/>
      <c r="K685" s="1991"/>
      <c r="L685" s="1991"/>
      <c r="M685" s="1991"/>
      <c r="N685" s="1991"/>
      <c r="O685" s="1991"/>
      <c r="P685" s="1991"/>
      <c r="Q685" s="1991"/>
      <c r="R685" s="1991"/>
      <c r="S685" s="1991"/>
      <c r="T685" s="1991"/>
      <c r="U685" s="1991"/>
      <c r="V685" s="1991"/>
      <c r="W685" s="1991"/>
      <c r="X685" s="1991"/>
      <c r="Y685" s="1991"/>
      <c r="Z685" s="1991"/>
      <c r="AA685" s="1991"/>
      <c r="AB685" s="199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1"/>
      <c r="F686" s="1991"/>
      <c r="G686" s="1991"/>
      <c r="H686" s="1991"/>
      <c r="I686" s="1991"/>
      <c r="J686" s="1991"/>
      <c r="K686" s="1991"/>
      <c r="L686" s="1991"/>
      <c r="M686" s="1991"/>
      <c r="N686" s="1991"/>
      <c r="O686" s="1991"/>
      <c r="P686" s="1991"/>
      <c r="Q686" s="1991"/>
      <c r="R686" s="1991"/>
      <c r="S686" s="1991"/>
      <c r="T686" s="1991"/>
      <c r="U686" s="1991"/>
      <c r="V686" s="1991"/>
      <c r="W686" s="1991"/>
      <c r="X686" s="1991"/>
      <c r="Y686" s="1991"/>
      <c r="Z686" s="1991"/>
      <c r="AA686" s="1991"/>
      <c r="AB686" s="1991"/>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91" t="s">
        <v>2452</v>
      </c>
      <c r="F688" s="1991"/>
      <c r="G688" s="1991"/>
      <c r="H688" s="1991"/>
      <c r="I688" s="1991"/>
      <c r="J688" s="1991"/>
      <c r="K688" s="1991"/>
      <c r="L688" s="1991"/>
      <c r="M688" s="1991"/>
      <c r="N688" s="1991"/>
      <c r="O688" s="1991"/>
      <c r="P688" s="1991"/>
      <c r="Q688" s="1991"/>
      <c r="R688" s="1991"/>
      <c r="S688" s="1991"/>
      <c r="T688" s="1991"/>
      <c r="U688" s="1991"/>
      <c r="V688" s="1991"/>
      <c r="W688" s="1991"/>
      <c r="X688" s="1991"/>
      <c r="Y688" s="1991"/>
      <c r="Z688" s="1991"/>
      <c r="AA688" s="1991"/>
      <c r="AB688" s="1991"/>
      <c r="AC688" s="570"/>
      <c r="AD688" s="570"/>
      <c r="AE688" s="570"/>
      <c r="AF688" s="1937" t="s">
        <v>1517</v>
      </c>
      <c r="AG688" s="1937"/>
      <c r="AH688" s="1937"/>
      <c r="AI688" s="1937"/>
      <c r="AJ688" s="1937"/>
      <c r="AK688" s="1937"/>
      <c r="AL688" s="1937"/>
      <c r="AN688" s="631"/>
      <c r="AO688" s="645" t="s">
        <v>517</v>
      </c>
      <c r="AP688" s="584">
        <v>1</v>
      </c>
    </row>
    <row r="689" spans="1:42" s="584" customFormat="1" ht="12" customHeight="1">
      <c r="B689" s="570"/>
      <c r="C689" s="966"/>
      <c r="E689" s="1991"/>
      <c r="F689" s="1991"/>
      <c r="G689" s="1991"/>
      <c r="H689" s="1991"/>
      <c r="I689" s="1991"/>
      <c r="J689" s="1991"/>
      <c r="K689" s="1991"/>
      <c r="L689" s="1991"/>
      <c r="M689" s="1991"/>
      <c r="N689" s="1991"/>
      <c r="O689" s="1991"/>
      <c r="P689" s="1991"/>
      <c r="Q689" s="1991"/>
      <c r="R689" s="1991"/>
      <c r="S689" s="1991"/>
      <c r="T689" s="1991"/>
      <c r="U689" s="1991"/>
      <c r="V689" s="1991"/>
      <c r="W689" s="1991"/>
      <c r="X689" s="1991"/>
      <c r="Y689" s="1991"/>
      <c r="Z689" s="1991"/>
      <c r="AA689" s="1991"/>
      <c r="AB689" s="1991"/>
      <c r="AC689" s="570"/>
      <c r="AD689" s="570"/>
      <c r="AE689" s="650"/>
      <c r="AF689" s="570"/>
      <c r="AG689" s="570"/>
      <c r="AH689" s="570"/>
      <c r="AI689" s="570"/>
      <c r="AJ689" s="570"/>
      <c r="AK689" s="570"/>
      <c r="AL689" s="570"/>
      <c r="AN689" s="631"/>
    </row>
    <row r="690" spans="1:42" s="584" customFormat="1" ht="12" customHeight="1">
      <c r="B690" s="570"/>
      <c r="C690" s="966"/>
      <c r="D690" s="570"/>
      <c r="E690" s="1991"/>
      <c r="F690" s="1991"/>
      <c r="G690" s="1991"/>
      <c r="H690" s="1991"/>
      <c r="I690" s="1991"/>
      <c r="J690" s="1991"/>
      <c r="K690" s="1991"/>
      <c r="L690" s="1991"/>
      <c r="M690" s="1991"/>
      <c r="N690" s="1991"/>
      <c r="O690" s="1991"/>
      <c r="P690" s="1991"/>
      <c r="Q690" s="1991"/>
      <c r="R690" s="1991"/>
      <c r="S690" s="1991"/>
      <c r="T690" s="1991"/>
      <c r="U690" s="1991"/>
      <c r="V690" s="1991"/>
      <c r="W690" s="1991"/>
      <c r="X690" s="1991"/>
      <c r="Y690" s="1991"/>
      <c r="Z690" s="1991"/>
      <c r="AA690" s="1991"/>
      <c r="AB690" s="1991"/>
      <c r="AC690" s="570"/>
      <c r="AD690" s="570"/>
      <c r="AE690" s="650"/>
      <c r="AF690" s="570"/>
      <c r="AG690" s="570"/>
      <c r="AH690" s="570"/>
      <c r="AI690" s="570"/>
      <c r="AJ690" s="570"/>
      <c r="AK690" s="570"/>
      <c r="AL690" s="570"/>
      <c r="AN690" s="631"/>
    </row>
    <row r="691" spans="1:42" s="584" customFormat="1" ht="12" customHeight="1">
      <c r="B691" s="570"/>
      <c r="C691" s="966"/>
      <c r="D691" s="570"/>
      <c r="E691" s="1991"/>
      <c r="F691" s="1991"/>
      <c r="G691" s="1991"/>
      <c r="H691" s="1991"/>
      <c r="I691" s="1991"/>
      <c r="J691" s="1991"/>
      <c r="K691" s="1991"/>
      <c r="L691" s="1991"/>
      <c r="M691" s="1991"/>
      <c r="N691" s="1991"/>
      <c r="O691" s="1991"/>
      <c r="P691" s="1991"/>
      <c r="Q691" s="1991"/>
      <c r="R691" s="1991"/>
      <c r="S691" s="1991"/>
      <c r="T691" s="1991"/>
      <c r="U691" s="1991"/>
      <c r="V691" s="1991"/>
      <c r="W691" s="1991"/>
      <c r="X691" s="1991"/>
      <c r="Y691" s="1991"/>
      <c r="Z691" s="1991"/>
      <c r="AA691" s="1991"/>
      <c r="AB691" s="1991"/>
      <c r="AC691" s="570"/>
      <c r="AD691" s="570"/>
      <c r="AE691" s="650"/>
      <c r="AF691" s="570"/>
      <c r="AG691" s="570"/>
      <c r="AH691" s="570"/>
      <c r="AI691" s="570"/>
      <c r="AJ691" s="570"/>
      <c r="AK691" s="570"/>
      <c r="AL691" s="570"/>
      <c r="AN691" s="631"/>
    </row>
    <row r="692" spans="1:42" s="604" customFormat="1" ht="13.15" customHeight="1">
      <c r="A692" s="584"/>
      <c r="B692" s="570"/>
      <c r="C692" s="966"/>
      <c r="D692" s="570"/>
      <c r="E692" s="1991"/>
      <c r="F692" s="1991"/>
      <c r="G692" s="1991"/>
      <c r="H692" s="1991"/>
      <c r="I692" s="1991"/>
      <c r="J692" s="1991"/>
      <c r="K692" s="1991"/>
      <c r="L692" s="1991"/>
      <c r="M692" s="1991"/>
      <c r="N692" s="1991"/>
      <c r="O692" s="1991"/>
      <c r="P692" s="1991"/>
      <c r="Q692" s="1991"/>
      <c r="R692" s="1991"/>
      <c r="S692" s="1991"/>
      <c r="T692" s="1991"/>
      <c r="U692" s="1991"/>
      <c r="V692" s="1991"/>
      <c r="W692" s="1991"/>
      <c r="X692" s="1991"/>
      <c r="Y692" s="1991"/>
      <c r="Z692" s="1991"/>
      <c r="AA692" s="1991"/>
      <c r="AB692" s="1991"/>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1" t="s">
        <v>1881</v>
      </c>
      <c r="F694" s="1991"/>
      <c r="G694" s="1991"/>
      <c r="H694" s="1991"/>
      <c r="I694" s="1991"/>
      <c r="J694" s="1991"/>
      <c r="K694" s="1991"/>
      <c r="L694" s="1991"/>
      <c r="M694" s="1991"/>
      <c r="N694" s="1991"/>
      <c r="O694" s="1991"/>
      <c r="P694" s="1991"/>
      <c r="Q694" s="1991"/>
      <c r="R694" s="1991"/>
      <c r="S694" s="1991"/>
      <c r="T694" s="1991"/>
      <c r="U694" s="1991"/>
      <c r="V694" s="1991"/>
      <c r="W694" s="1991"/>
      <c r="X694" s="1991"/>
      <c r="Y694" s="1991"/>
      <c r="Z694" s="1991"/>
      <c r="AA694" s="1991"/>
      <c r="AB694" s="1991"/>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91"/>
      <c r="F695" s="1991"/>
      <c r="G695" s="1991"/>
      <c r="H695" s="1991"/>
      <c r="I695" s="1991"/>
      <c r="J695" s="1991"/>
      <c r="K695" s="1991"/>
      <c r="L695" s="1991"/>
      <c r="M695" s="1991"/>
      <c r="N695" s="1991"/>
      <c r="O695" s="1991"/>
      <c r="P695" s="1991"/>
      <c r="Q695" s="1991"/>
      <c r="R695" s="1991"/>
      <c r="S695" s="1991"/>
      <c r="T695" s="1991"/>
      <c r="U695" s="1991"/>
      <c r="V695" s="1991"/>
      <c r="W695" s="1991"/>
      <c r="X695" s="1991"/>
      <c r="Y695" s="1991"/>
      <c r="Z695" s="1991"/>
      <c r="AA695" s="1991"/>
      <c r="AB695" s="1991"/>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91"/>
      <c r="F696" s="1991"/>
      <c r="G696" s="1991"/>
      <c r="H696" s="1991"/>
      <c r="I696" s="1991"/>
      <c r="J696" s="1991"/>
      <c r="K696" s="1991"/>
      <c r="L696" s="1991"/>
      <c r="M696" s="1991"/>
      <c r="N696" s="1991"/>
      <c r="O696" s="1991"/>
      <c r="P696" s="1991"/>
      <c r="Q696" s="1991"/>
      <c r="R696" s="1991"/>
      <c r="S696" s="1991"/>
      <c r="T696" s="1991"/>
      <c r="U696" s="1991"/>
      <c r="V696" s="1991"/>
      <c r="W696" s="1991"/>
      <c r="X696" s="1991"/>
      <c r="Y696" s="1991"/>
      <c r="Z696" s="1991"/>
      <c r="AA696" s="1991"/>
      <c r="AB696" s="199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20" t="s">
        <v>517</v>
      </c>
      <c r="I698" s="202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71">
        <f>VLOOKUP($H$698,$AO$692:$AP$695,2,FALSE)</f>
        <v>3</v>
      </c>
      <c r="AK700" s="1973"/>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8" t="s">
        <v>1883</v>
      </c>
      <c r="F704" s="2028"/>
      <c r="G704" s="2028"/>
      <c r="H704" s="2028"/>
      <c r="I704" s="2028"/>
      <c r="J704" s="2028"/>
      <c r="K704" s="2028"/>
      <c r="L704" s="2028"/>
      <c r="M704" s="2028"/>
      <c r="N704" s="2028"/>
      <c r="O704" s="2028"/>
      <c r="P704" s="2028"/>
      <c r="Q704" s="2028"/>
      <c r="R704" s="2028"/>
      <c r="S704" s="2028"/>
      <c r="T704" s="2028"/>
      <c r="U704" s="2028"/>
      <c r="V704" s="2028"/>
      <c r="W704" s="2028"/>
      <c r="X704" s="2028"/>
      <c r="Y704" s="2028"/>
      <c r="Z704" s="2028"/>
      <c r="AA704" s="2028"/>
      <c r="AB704" s="2028"/>
      <c r="AC704" s="570"/>
      <c r="AD704" s="570"/>
      <c r="AE704" s="570"/>
      <c r="AF704" s="1937" t="s">
        <v>1461</v>
      </c>
      <c r="AG704" s="1937"/>
      <c r="AH704" s="1937"/>
      <c r="AI704" s="1937"/>
      <c r="AJ704" s="1937"/>
      <c r="AK704" s="1937"/>
      <c r="AL704" s="1937"/>
      <c r="AM704" s="584"/>
      <c r="AN704" s="718"/>
      <c r="AP704" s="604" t="s">
        <v>1541</v>
      </c>
    </row>
    <row r="705" spans="1:52" s="604" customFormat="1" ht="11.65" customHeight="1">
      <c r="A705" s="584"/>
      <c r="B705" s="570"/>
      <c r="C705" s="968"/>
      <c r="D705" s="697"/>
      <c r="E705" s="2028"/>
      <c r="F705" s="2028"/>
      <c r="G705" s="2028"/>
      <c r="H705" s="2028"/>
      <c r="I705" s="2028"/>
      <c r="J705" s="2028"/>
      <c r="K705" s="2028"/>
      <c r="L705" s="2028"/>
      <c r="M705" s="2028"/>
      <c r="N705" s="2028"/>
      <c r="O705" s="2028"/>
      <c r="P705" s="2028"/>
      <c r="Q705" s="2028"/>
      <c r="R705" s="2028"/>
      <c r="S705" s="2028"/>
      <c r="T705" s="2028"/>
      <c r="U705" s="2028"/>
      <c r="V705" s="2028"/>
      <c r="W705" s="2028"/>
      <c r="X705" s="2028"/>
      <c r="Y705" s="2028"/>
      <c r="Z705" s="2028"/>
      <c r="AA705" s="2028"/>
      <c r="AB705" s="2028"/>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8"/>
      <c r="F706" s="2028"/>
      <c r="G706" s="2028"/>
      <c r="H706" s="2028"/>
      <c r="I706" s="2028"/>
      <c r="J706" s="2028"/>
      <c r="K706" s="2028"/>
      <c r="L706" s="2028"/>
      <c r="M706" s="2028"/>
      <c r="N706" s="2028"/>
      <c r="O706" s="2028"/>
      <c r="P706" s="2028"/>
      <c r="Q706" s="2028"/>
      <c r="R706" s="2028"/>
      <c r="S706" s="2028"/>
      <c r="T706" s="2028"/>
      <c r="U706" s="2028"/>
      <c r="V706" s="2028"/>
      <c r="W706" s="2028"/>
      <c r="X706" s="2028"/>
      <c r="Y706" s="2028"/>
      <c r="Z706" s="2028"/>
      <c r="AA706" s="2028"/>
      <c r="AB706" s="2028"/>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9" t="s">
        <v>1544</v>
      </c>
      <c r="F708" s="2029"/>
      <c r="G708" s="2029"/>
      <c r="H708" s="2029"/>
      <c r="I708" s="2029"/>
      <c r="J708" s="2029"/>
      <c r="K708" s="2029"/>
      <c r="L708" s="2029"/>
      <c r="M708" s="2029"/>
      <c r="N708" s="2029"/>
      <c r="O708" s="2029"/>
      <c r="P708" s="2029"/>
      <c r="Q708" s="2029"/>
      <c r="R708" s="2029"/>
      <c r="S708" s="2029"/>
      <c r="T708" s="2029"/>
      <c r="U708" s="2029"/>
      <c r="V708" s="2029"/>
      <c r="W708" s="2029"/>
      <c r="X708" s="2029"/>
      <c r="Y708" s="2029"/>
      <c r="Z708" s="2029"/>
      <c r="AA708" s="2029"/>
      <c r="AB708" s="2029"/>
      <c r="AC708" s="570"/>
      <c r="AD708" s="570"/>
      <c r="AE708" s="570"/>
      <c r="AF708" s="1937" t="s">
        <v>1517</v>
      </c>
      <c r="AG708" s="1937"/>
      <c r="AH708" s="1937"/>
      <c r="AI708" s="1937"/>
      <c r="AJ708" s="1937"/>
      <c r="AK708" s="1937"/>
      <c r="AL708" s="1937"/>
      <c r="AM708" s="584"/>
      <c r="AN708" s="719"/>
    </row>
    <row r="709" spans="1:52" s="604" customFormat="1" ht="12.75" customHeight="1">
      <c r="A709" s="584"/>
      <c r="B709" s="570"/>
      <c r="C709" s="968"/>
      <c r="D709" s="570"/>
      <c r="E709" s="2029"/>
      <c r="F709" s="2029"/>
      <c r="G709" s="2029"/>
      <c r="H709" s="2029"/>
      <c r="I709" s="2029"/>
      <c r="J709" s="2029"/>
      <c r="K709" s="2029"/>
      <c r="L709" s="2029"/>
      <c r="M709" s="2029"/>
      <c r="N709" s="2029"/>
      <c r="O709" s="2029"/>
      <c r="P709" s="2029"/>
      <c r="Q709" s="2029"/>
      <c r="R709" s="2029"/>
      <c r="S709" s="2029"/>
      <c r="T709" s="2029"/>
      <c r="U709" s="2029"/>
      <c r="V709" s="2029"/>
      <c r="W709" s="2029"/>
      <c r="X709" s="2029"/>
      <c r="Y709" s="2029"/>
      <c r="Z709" s="2029"/>
      <c r="AA709" s="2029"/>
      <c r="AB709" s="2029"/>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9"/>
      <c r="F710" s="2029"/>
      <c r="G710" s="2029"/>
      <c r="H710" s="2029"/>
      <c r="I710" s="2029"/>
      <c r="J710" s="2029"/>
      <c r="K710" s="2029"/>
      <c r="L710" s="2029"/>
      <c r="M710" s="2029"/>
      <c r="N710" s="2029"/>
      <c r="O710" s="2029"/>
      <c r="P710" s="2029"/>
      <c r="Q710" s="2029"/>
      <c r="R710" s="2029"/>
      <c r="S710" s="2029"/>
      <c r="T710" s="2029"/>
      <c r="U710" s="2029"/>
      <c r="V710" s="2029"/>
      <c r="W710" s="2029"/>
      <c r="X710" s="2029"/>
      <c r="Y710" s="2029"/>
      <c r="Z710" s="2029"/>
      <c r="AA710" s="2029"/>
      <c r="AB710" s="2029"/>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20" t="s">
        <v>599</v>
      </c>
      <c r="I712" s="202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71">
        <f>VLOOKUP($H$712,$AP$709:$AQ$711,2,FALSE)</f>
        <v>0</v>
      </c>
      <c r="AK714" s="1973"/>
      <c r="AL714" s="629"/>
      <c r="AM714" s="584"/>
      <c r="AN714" s="718"/>
      <c r="AP714" s="1971"/>
      <c r="AQ714" s="197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696</v>
      </c>
      <c r="E718" s="1991" t="s">
        <v>1884</v>
      </c>
      <c r="F718" s="1991"/>
      <c r="G718" s="1991"/>
      <c r="H718" s="1991"/>
      <c r="I718" s="1991"/>
      <c r="J718" s="1991"/>
      <c r="K718" s="1991"/>
      <c r="L718" s="1991"/>
      <c r="M718" s="1991"/>
      <c r="N718" s="1991"/>
      <c r="O718" s="1991"/>
      <c r="P718" s="1991"/>
      <c r="Q718" s="1991"/>
      <c r="R718" s="1991"/>
      <c r="S718" s="1991"/>
      <c r="T718" s="1991"/>
      <c r="U718" s="1991"/>
      <c r="V718" s="1991"/>
      <c r="W718" s="1991"/>
      <c r="X718" s="1991"/>
      <c r="Y718" s="1991"/>
      <c r="Z718" s="1991"/>
      <c r="AA718" s="1991"/>
      <c r="AB718" s="1991"/>
      <c r="AC718" s="570"/>
      <c r="AD718" s="570"/>
      <c r="AE718" s="570"/>
      <c r="AF718" s="1937" t="s">
        <v>1461</v>
      </c>
      <c r="AG718" s="1937"/>
      <c r="AH718" s="1937"/>
      <c r="AI718" s="1937"/>
      <c r="AJ718" s="1937"/>
      <c r="AK718" s="1937"/>
      <c r="AL718" s="1937"/>
      <c r="AM718" s="584"/>
      <c r="AN718" s="718"/>
      <c r="AT718" s="14"/>
      <c r="AU718" s="14"/>
      <c r="AV718" s="14"/>
      <c r="AW718" s="14"/>
      <c r="AX718" s="14"/>
      <c r="AY718" s="14"/>
      <c r="AZ718" s="14"/>
    </row>
    <row r="719" spans="1:52" s="604" customFormat="1" ht="13">
      <c r="A719" s="584"/>
      <c r="B719" s="570"/>
      <c r="C719" s="968"/>
      <c r="D719" s="697"/>
      <c r="E719" s="1991"/>
      <c r="F719" s="1991"/>
      <c r="G719" s="1991"/>
      <c r="H719" s="1991"/>
      <c r="I719" s="1991"/>
      <c r="J719" s="1991"/>
      <c r="K719" s="1991"/>
      <c r="L719" s="1991"/>
      <c r="M719" s="1991"/>
      <c r="N719" s="1991"/>
      <c r="O719" s="1991"/>
      <c r="P719" s="1991"/>
      <c r="Q719" s="1991"/>
      <c r="R719" s="1991"/>
      <c r="S719" s="1991"/>
      <c r="T719" s="1991"/>
      <c r="U719" s="1991"/>
      <c r="V719" s="1991"/>
      <c r="W719" s="1991"/>
      <c r="X719" s="1991"/>
      <c r="Y719" s="1991"/>
      <c r="Z719" s="1991"/>
      <c r="AA719" s="1991"/>
      <c r="AB719" s="199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1" t="s">
        <v>1548</v>
      </c>
      <c r="F721" s="1991"/>
      <c r="G721" s="1991"/>
      <c r="H721" s="1991"/>
      <c r="I721" s="1991"/>
      <c r="J721" s="1991"/>
      <c r="K721" s="1991"/>
      <c r="L721" s="1991"/>
      <c r="M721" s="1991"/>
      <c r="N721" s="1991"/>
      <c r="O721" s="1991"/>
      <c r="P721" s="1991"/>
      <c r="Q721" s="1991"/>
      <c r="R721" s="1991"/>
      <c r="S721" s="1991"/>
      <c r="T721" s="1991"/>
      <c r="U721" s="1991"/>
      <c r="V721" s="1991"/>
      <c r="W721" s="1991"/>
      <c r="X721" s="1991"/>
      <c r="Y721" s="1991"/>
      <c r="Z721" s="1991"/>
      <c r="AA721" s="1991"/>
      <c r="AB721" s="1991"/>
      <c r="AC721" s="570"/>
      <c r="AD721" s="570"/>
      <c r="AE721" s="570"/>
      <c r="AF721" s="1937" t="s">
        <v>1517</v>
      </c>
      <c r="AG721" s="1937"/>
      <c r="AH721" s="1937"/>
      <c r="AI721" s="1937"/>
      <c r="AJ721" s="1937"/>
      <c r="AK721" s="1937"/>
      <c r="AL721" s="1937"/>
      <c r="AM721" s="584"/>
      <c r="AN721" s="718"/>
      <c r="AT721" s="14"/>
      <c r="AU721" s="14"/>
      <c r="AV721" s="14"/>
      <c r="AW721" s="14"/>
      <c r="AX721" s="14"/>
      <c r="AY721" s="14"/>
      <c r="AZ721" s="14"/>
    </row>
    <row r="722" spans="1:81" s="604" customFormat="1" ht="13">
      <c r="A722" s="584"/>
      <c r="B722" s="570"/>
      <c r="C722" s="968"/>
      <c r="D722" s="570"/>
      <c r="E722" s="1991"/>
      <c r="F722" s="1991"/>
      <c r="G722" s="1991"/>
      <c r="H722" s="1991"/>
      <c r="I722" s="1991"/>
      <c r="J722" s="1991"/>
      <c r="K722" s="1991"/>
      <c r="L722" s="1991"/>
      <c r="M722" s="1991"/>
      <c r="N722" s="1991"/>
      <c r="O722" s="1991"/>
      <c r="P722" s="1991"/>
      <c r="Q722" s="1991"/>
      <c r="R722" s="1991"/>
      <c r="S722" s="1991"/>
      <c r="T722" s="1991"/>
      <c r="U722" s="1991"/>
      <c r="V722" s="1991"/>
      <c r="W722" s="1991"/>
      <c r="X722" s="1991"/>
      <c r="Y722" s="1991"/>
      <c r="Z722" s="1991"/>
      <c r="AA722" s="1991"/>
      <c r="AB722" s="199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20" t="s">
        <v>599</v>
      </c>
      <c r="I724" s="202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71">
        <f>VLOOKUP($H$724,$AO$655:$AP$657,2,FALSE)</f>
        <v>0</v>
      </c>
      <c r="AK726" s="197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696</v>
      </c>
      <c r="E730" s="1991" t="s">
        <v>1551</v>
      </c>
      <c r="F730" s="1991"/>
      <c r="G730" s="1991"/>
      <c r="H730" s="1991"/>
      <c r="I730" s="1991"/>
      <c r="J730" s="1991"/>
      <c r="K730" s="1991"/>
      <c r="L730" s="1991"/>
      <c r="M730" s="1991"/>
      <c r="N730" s="1991"/>
      <c r="O730" s="1991"/>
      <c r="P730" s="1991"/>
      <c r="Q730" s="1991"/>
      <c r="R730" s="1991"/>
      <c r="S730" s="1991"/>
      <c r="T730" s="1991"/>
      <c r="U730" s="1991"/>
      <c r="V730" s="1991"/>
      <c r="W730" s="1991"/>
      <c r="X730" s="1991"/>
      <c r="Y730" s="1991"/>
      <c r="Z730" s="1991"/>
      <c r="AA730" s="1991"/>
      <c r="AB730" s="1991"/>
      <c r="AC730" s="570"/>
      <c r="AD730" s="570"/>
      <c r="AE730" s="570"/>
      <c r="AF730" s="1937" t="s">
        <v>1461</v>
      </c>
      <c r="AG730" s="1937"/>
      <c r="AH730" s="1937"/>
      <c r="AI730" s="1937"/>
      <c r="AJ730" s="1937"/>
      <c r="AK730" s="1937"/>
      <c r="AL730" s="1937"/>
      <c r="AM730" s="584"/>
      <c r="AN730" s="718"/>
      <c r="AT730" s="14"/>
      <c r="AU730" s="14"/>
      <c r="AV730" s="14"/>
      <c r="AW730" s="14"/>
      <c r="AX730" s="14"/>
      <c r="AY730" s="14"/>
      <c r="AZ730" s="14"/>
    </row>
    <row r="731" spans="1:81" s="604" customFormat="1" ht="13">
      <c r="A731" s="584"/>
      <c r="B731" s="570"/>
      <c r="C731" s="966"/>
      <c r="D731" s="697"/>
      <c r="E731" s="1991"/>
      <c r="F731" s="1991"/>
      <c r="G731" s="1991"/>
      <c r="H731" s="1991"/>
      <c r="I731" s="1991"/>
      <c r="J731" s="1991"/>
      <c r="K731" s="1991"/>
      <c r="L731" s="1991"/>
      <c r="M731" s="1991"/>
      <c r="N731" s="1991"/>
      <c r="O731" s="1991"/>
      <c r="P731" s="1991"/>
      <c r="Q731" s="1991"/>
      <c r="R731" s="1991"/>
      <c r="S731" s="1991"/>
      <c r="T731" s="1991"/>
      <c r="U731" s="1991"/>
      <c r="V731" s="1991"/>
      <c r="W731" s="1991"/>
      <c r="X731" s="1991"/>
      <c r="Y731" s="1991"/>
      <c r="Z731" s="1991"/>
      <c r="AA731" s="1991"/>
      <c r="AB731" s="199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91"/>
      <c r="F732" s="1991"/>
      <c r="G732" s="1991"/>
      <c r="H732" s="1991"/>
      <c r="I732" s="1991"/>
      <c r="J732" s="1991"/>
      <c r="K732" s="1991"/>
      <c r="L732" s="1991"/>
      <c r="M732" s="1991"/>
      <c r="N732" s="1991"/>
      <c r="O732" s="1991"/>
      <c r="P732" s="1991"/>
      <c r="Q732" s="1991"/>
      <c r="R732" s="1991"/>
      <c r="S732" s="1991"/>
      <c r="T732" s="1991"/>
      <c r="U732" s="1991"/>
      <c r="V732" s="1991"/>
      <c r="W732" s="1991"/>
      <c r="X732" s="1991"/>
      <c r="Y732" s="1991"/>
      <c r="Z732" s="1991"/>
      <c r="AA732" s="1991"/>
      <c r="AB732" s="199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1"/>
      <c r="F733" s="1991"/>
      <c r="G733" s="1991"/>
      <c r="H733" s="1991"/>
      <c r="I733" s="1991"/>
      <c r="J733" s="1991"/>
      <c r="K733" s="1991"/>
      <c r="L733" s="1991"/>
      <c r="M733" s="1991"/>
      <c r="N733" s="1991"/>
      <c r="O733" s="1991"/>
      <c r="P733" s="1991"/>
      <c r="Q733" s="1991"/>
      <c r="R733" s="1991"/>
      <c r="S733" s="1991"/>
      <c r="T733" s="1991"/>
      <c r="U733" s="1991"/>
      <c r="V733" s="1991"/>
      <c r="W733" s="1991"/>
      <c r="X733" s="1991"/>
      <c r="Y733" s="1991"/>
      <c r="Z733" s="1991"/>
      <c r="AA733" s="1991"/>
      <c r="AB733" s="199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1991" t="s">
        <v>1552</v>
      </c>
      <c r="F735" s="1991"/>
      <c r="G735" s="1991"/>
      <c r="H735" s="1991"/>
      <c r="I735" s="1991"/>
      <c r="J735" s="1991"/>
      <c r="K735" s="1991"/>
      <c r="L735" s="1991"/>
      <c r="M735" s="1991"/>
      <c r="N735" s="1991"/>
      <c r="O735" s="1991"/>
      <c r="P735" s="1991"/>
      <c r="Q735" s="1991"/>
      <c r="R735" s="1991"/>
      <c r="S735" s="1991"/>
      <c r="T735" s="1991"/>
      <c r="U735" s="1991"/>
      <c r="V735" s="1991"/>
      <c r="W735" s="1991"/>
      <c r="X735" s="1991"/>
      <c r="Y735" s="1991"/>
      <c r="Z735" s="1991"/>
      <c r="AA735" s="1991"/>
      <c r="AB735" s="609"/>
      <c r="AC735" s="570"/>
      <c r="AD735" s="570"/>
      <c r="AE735" s="570"/>
      <c r="AF735" s="1937" t="s">
        <v>1517</v>
      </c>
      <c r="AG735" s="1937"/>
      <c r="AH735" s="1937"/>
      <c r="AI735" s="1937"/>
      <c r="AJ735" s="1937"/>
      <c r="AK735" s="1937"/>
      <c r="AL735" s="1937"/>
      <c r="AM735" s="584"/>
      <c r="AN735" s="718"/>
      <c r="AO735" s="30"/>
      <c r="AP735" s="14"/>
    </row>
    <row r="736" spans="1:81" s="604" customFormat="1" ht="13">
      <c r="A736" s="584"/>
      <c r="B736" s="570"/>
      <c r="C736" s="966"/>
      <c r="D736" s="697"/>
      <c r="E736" s="1991"/>
      <c r="F736" s="1991"/>
      <c r="G736" s="1991"/>
      <c r="H736" s="1991"/>
      <c r="I736" s="1991"/>
      <c r="J736" s="1991"/>
      <c r="K736" s="1991"/>
      <c r="L736" s="1991"/>
      <c r="M736" s="1991"/>
      <c r="N736" s="1991"/>
      <c r="O736" s="1991"/>
      <c r="P736" s="1991"/>
      <c r="Q736" s="1991"/>
      <c r="R736" s="1991"/>
      <c r="S736" s="1991"/>
      <c r="T736" s="1991"/>
      <c r="U736" s="1991"/>
      <c r="V736" s="1991"/>
      <c r="W736" s="1991"/>
      <c r="X736" s="1991"/>
      <c r="Y736" s="1991"/>
      <c r="Z736" s="1991"/>
      <c r="AA736" s="1991"/>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91"/>
      <c r="F737" s="1991"/>
      <c r="G737" s="1991"/>
      <c r="H737" s="1991"/>
      <c r="I737" s="1991"/>
      <c r="J737" s="1991"/>
      <c r="K737" s="1991"/>
      <c r="L737" s="1991"/>
      <c r="M737" s="1991"/>
      <c r="N737" s="1991"/>
      <c r="O737" s="1991"/>
      <c r="P737" s="1991"/>
      <c r="Q737" s="1991"/>
      <c r="R737" s="1991"/>
      <c r="S737" s="1991"/>
      <c r="T737" s="1991"/>
      <c r="U737" s="1991"/>
      <c r="V737" s="1991"/>
      <c r="W737" s="1991"/>
      <c r="X737" s="1991"/>
      <c r="Y737" s="1991"/>
      <c r="Z737" s="1991"/>
      <c r="AA737" s="1991"/>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91"/>
      <c r="F738" s="1991"/>
      <c r="G738" s="1991"/>
      <c r="H738" s="1991"/>
      <c r="I738" s="1991"/>
      <c r="J738" s="1991"/>
      <c r="K738" s="1991"/>
      <c r="L738" s="1991"/>
      <c r="M738" s="1991"/>
      <c r="N738" s="1991"/>
      <c r="O738" s="1991"/>
      <c r="P738" s="1991"/>
      <c r="Q738" s="1991"/>
      <c r="R738" s="1991"/>
      <c r="S738" s="1991"/>
      <c r="T738" s="1991"/>
      <c r="U738" s="1991"/>
      <c r="V738" s="1991"/>
      <c r="W738" s="1991"/>
      <c r="X738" s="1991"/>
      <c r="Y738" s="1991"/>
      <c r="Z738" s="1991"/>
      <c r="AA738" s="1991"/>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20" t="s">
        <v>517</v>
      </c>
      <c r="I740" s="202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71">
        <f>VLOOKUP($H$740,$AO$669:$AP$671,2,FALSE)</f>
        <v>2</v>
      </c>
      <c r="AK742" s="197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696</v>
      </c>
      <c r="E746" s="1991" t="s">
        <v>1554</v>
      </c>
      <c r="F746" s="1991"/>
      <c r="G746" s="1991"/>
      <c r="H746" s="1991"/>
      <c r="I746" s="1991"/>
      <c r="J746" s="1991"/>
      <c r="K746" s="1991"/>
      <c r="L746" s="1991"/>
      <c r="M746" s="1991"/>
      <c r="N746" s="1991"/>
      <c r="O746" s="1991"/>
      <c r="P746" s="1991"/>
      <c r="Q746" s="1991"/>
      <c r="R746" s="1991"/>
      <c r="S746" s="1991"/>
      <c r="T746" s="1991"/>
      <c r="U746" s="1991"/>
      <c r="V746" s="1991"/>
      <c r="W746" s="1991"/>
      <c r="X746" s="1991"/>
      <c r="Y746" s="1991"/>
      <c r="Z746" s="1991"/>
      <c r="AA746" s="1991"/>
      <c r="AB746" s="1991"/>
      <c r="AC746" s="570"/>
      <c r="AD746" s="570"/>
      <c r="AE746" s="570"/>
      <c r="AF746" s="1937" t="s">
        <v>1517</v>
      </c>
      <c r="AG746" s="1937"/>
      <c r="AH746" s="1937"/>
      <c r="AI746" s="1937"/>
      <c r="AJ746" s="1937"/>
      <c r="AK746" s="1937"/>
      <c r="AL746" s="193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91"/>
      <c r="F747" s="1991"/>
      <c r="G747" s="1991"/>
      <c r="H747" s="1991"/>
      <c r="I747" s="1991"/>
      <c r="J747" s="1991"/>
      <c r="K747" s="1991"/>
      <c r="L747" s="1991"/>
      <c r="M747" s="1991"/>
      <c r="N747" s="1991"/>
      <c r="O747" s="1991"/>
      <c r="P747" s="1991"/>
      <c r="Q747" s="1991"/>
      <c r="R747" s="1991"/>
      <c r="S747" s="1991"/>
      <c r="T747" s="1991"/>
      <c r="U747" s="1991"/>
      <c r="V747" s="1991"/>
      <c r="W747" s="1991"/>
      <c r="X747" s="1991"/>
      <c r="Y747" s="1991"/>
      <c r="Z747" s="1991"/>
      <c r="AA747" s="1991"/>
      <c r="AB747" s="199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1991" t="s">
        <v>1555</v>
      </c>
      <c r="F749" s="1991"/>
      <c r="G749" s="1991"/>
      <c r="H749" s="1991"/>
      <c r="I749" s="1991"/>
      <c r="J749" s="1991"/>
      <c r="K749" s="1991"/>
      <c r="L749" s="1991"/>
      <c r="M749" s="1991"/>
      <c r="N749" s="1991"/>
      <c r="O749" s="1991"/>
      <c r="P749" s="1991"/>
      <c r="Q749" s="1991"/>
      <c r="R749" s="1991"/>
      <c r="S749" s="1991"/>
      <c r="T749" s="1991"/>
      <c r="U749" s="1991"/>
      <c r="V749" s="1991"/>
      <c r="W749" s="1991"/>
      <c r="X749" s="1991"/>
      <c r="Y749" s="1991"/>
      <c r="Z749" s="1991"/>
      <c r="AA749" s="1991"/>
      <c r="AB749" s="1991"/>
      <c r="AC749" s="570"/>
      <c r="AD749" s="570"/>
      <c r="AE749" s="570"/>
      <c r="AF749" s="1937" t="s">
        <v>1534</v>
      </c>
      <c r="AG749" s="1937"/>
      <c r="AH749" s="1937"/>
      <c r="AI749" s="1937"/>
      <c r="AJ749" s="1937"/>
      <c r="AK749" s="1937"/>
      <c r="AL749" s="193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1"/>
      <c r="F750" s="1991"/>
      <c r="G750" s="1991"/>
      <c r="H750" s="1991"/>
      <c r="I750" s="1991"/>
      <c r="J750" s="1991"/>
      <c r="K750" s="1991"/>
      <c r="L750" s="1991"/>
      <c r="M750" s="1991"/>
      <c r="N750" s="1991"/>
      <c r="O750" s="1991"/>
      <c r="P750" s="1991"/>
      <c r="Q750" s="1991"/>
      <c r="R750" s="1991"/>
      <c r="S750" s="1991"/>
      <c r="T750" s="1991"/>
      <c r="U750" s="1991"/>
      <c r="V750" s="1991"/>
      <c r="W750" s="1991"/>
      <c r="X750" s="1991"/>
      <c r="Y750" s="1991"/>
      <c r="Z750" s="1991"/>
      <c r="AA750" s="1991"/>
      <c r="AB750" s="199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20" t="s">
        <v>696</v>
      </c>
      <c r="I752" s="202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71">
        <f>VLOOKUP($H$752,$AO$686:$AP$688,2,FALSE)</f>
        <v>2</v>
      </c>
      <c r="AK754" s="197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9" customHeight="1">
      <c r="A758" s="584"/>
      <c r="B758" s="650"/>
      <c r="C758" s="975"/>
      <c r="D758" s="697" t="s">
        <v>696</v>
      </c>
      <c r="E758" s="1991" t="s">
        <v>1880</v>
      </c>
      <c r="F758" s="1991"/>
      <c r="G758" s="1991"/>
      <c r="H758" s="1991"/>
      <c r="I758" s="1991"/>
      <c r="J758" s="1991"/>
      <c r="K758" s="1991"/>
      <c r="L758" s="1991"/>
      <c r="M758" s="1991"/>
      <c r="N758" s="1991"/>
      <c r="O758" s="1991"/>
      <c r="P758" s="1991"/>
      <c r="Q758" s="1991"/>
      <c r="R758" s="1991"/>
      <c r="S758" s="1991"/>
      <c r="T758" s="1991"/>
      <c r="U758" s="1991"/>
      <c r="V758" s="1991"/>
      <c r="W758" s="1991"/>
      <c r="X758" s="1991"/>
      <c r="Y758" s="1991"/>
      <c r="Z758" s="1991"/>
      <c r="AA758" s="1991"/>
      <c r="AB758" s="1991"/>
      <c r="AC758" s="1991"/>
      <c r="AD758" s="1991"/>
      <c r="AE758" s="570"/>
      <c r="AF758" s="1937" t="s">
        <v>1517</v>
      </c>
      <c r="AG758" s="1937"/>
      <c r="AH758" s="1937"/>
      <c r="AI758" s="1937"/>
      <c r="AJ758" s="1937"/>
      <c r="AK758" s="1937"/>
      <c r="AL758" s="1937"/>
      <c r="AM758" s="647"/>
      <c r="AN758" s="718"/>
      <c r="AO758" s="584" t="s">
        <v>599</v>
      </c>
      <c r="AP758" s="707">
        <v>0</v>
      </c>
    </row>
    <row r="759" spans="1:74" s="604" customFormat="1" ht="13.9" customHeight="1">
      <c r="A759" s="584"/>
      <c r="B759" s="650"/>
      <c r="C759" s="975"/>
      <c r="D759" s="697"/>
      <c r="E759" s="1991"/>
      <c r="F759" s="1991"/>
      <c r="G759" s="1991"/>
      <c r="H759" s="1991"/>
      <c r="I759" s="1991"/>
      <c r="J759" s="1991"/>
      <c r="K759" s="1991"/>
      <c r="L759" s="1991"/>
      <c r="M759" s="1991"/>
      <c r="N759" s="1991"/>
      <c r="O759" s="1991"/>
      <c r="P759" s="1991"/>
      <c r="Q759" s="1991"/>
      <c r="R759" s="1991"/>
      <c r="S759" s="1991"/>
      <c r="T759" s="1991"/>
      <c r="U759" s="1991"/>
      <c r="V759" s="1991"/>
      <c r="W759" s="1991"/>
      <c r="X759" s="1991"/>
      <c r="Y759" s="1991"/>
      <c r="Z759" s="1991"/>
      <c r="AA759" s="1991"/>
      <c r="AB759" s="1991"/>
      <c r="AC759" s="1991"/>
      <c r="AD759" s="1991"/>
      <c r="AE759" s="570"/>
      <c r="AF759" s="628"/>
      <c r="AG759" s="628"/>
      <c r="AH759" s="628"/>
      <c r="AI759" s="628"/>
      <c r="AJ759" s="628"/>
      <c r="AK759" s="628"/>
      <c r="AL759" s="628"/>
      <c r="AM759" s="647"/>
      <c r="AN759" s="718"/>
      <c r="AO759" s="645" t="s">
        <v>696</v>
      </c>
      <c r="AP759" s="584">
        <v>2</v>
      </c>
    </row>
    <row r="760" spans="1:74" s="604" customFormat="1" ht="13">
      <c r="A760" s="584"/>
      <c r="B760" s="650"/>
      <c r="C760" s="975"/>
      <c r="D760" s="697"/>
      <c r="E760" s="1991"/>
      <c r="F760" s="1991"/>
      <c r="G760" s="1991"/>
      <c r="H760" s="1991"/>
      <c r="I760" s="1991"/>
      <c r="J760" s="1991"/>
      <c r="K760" s="1991"/>
      <c r="L760" s="1991"/>
      <c r="M760" s="1991"/>
      <c r="N760" s="1991"/>
      <c r="O760" s="1991"/>
      <c r="P760" s="1991"/>
      <c r="Q760" s="1991"/>
      <c r="R760" s="1991"/>
      <c r="S760" s="1991"/>
      <c r="T760" s="1991"/>
      <c r="U760" s="1991"/>
      <c r="V760" s="1991"/>
      <c r="W760" s="1991"/>
      <c r="X760" s="1991"/>
      <c r="Y760" s="1991"/>
      <c r="Z760" s="1991"/>
      <c r="AA760" s="1991"/>
      <c r="AB760" s="1991"/>
      <c r="AC760" s="1991"/>
      <c r="AD760" s="1991"/>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399999999999999" customHeight="1">
      <c r="A761" s="584"/>
      <c r="B761" s="650"/>
      <c r="C761" s="975"/>
      <c r="D761" s="697"/>
      <c r="E761" s="1991"/>
      <c r="F761" s="1991"/>
      <c r="G761" s="1991"/>
      <c r="H761" s="1991"/>
      <c r="I761" s="1991"/>
      <c r="J761" s="1991"/>
      <c r="K761" s="1991"/>
      <c r="L761" s="1991"/>
      <c r="M761" s="1991"/>
      <c r="N761" s="1991"/>
      <c r="O761" s="1991"/>
      <c r="P761" s="1991"/>
      <c r="Q761" s="1991"/>
      <c r="R761" s="1991"/>
      <c r="S761" s="1991"/>
      <c r="T761" s="1991"/>
      <c r="U761" s="1991"/>
      <c r="V761" s="1991"/>
      <c r="W761" s="1991"/>
      <c r="X761" s="1991"/>
      <c r="Y761" s="1991"/>
      <c r="Z761" s="1991"/>
      <c r="AA761" s="1991"/>
      <c r="AB761" s="1991"/>
      <c r="AC761" s="1991"/>
      <c r="AD761" s="199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0" t="s">
        <v>1885</v>
      </c>
      <c r="F763" s="2030"/>
      <c r="G763" s="2030"/>
      <c r="H763" s="2030"/>
      <c r="I763" s="2030"/>
      <c r="J763" s="2030"/>
      <c r="K763" s="2030"/>
      <c r="L763" s="2030"/>
      <c r="M763" s="2030"/>
      <c r="N763" s="2030"/>
      <c r="O763" s="2030"/>
      <c r="P763" s="2030"/>
      <c r="Q763" s="2030"/>
      <c r="R763" s="2030"/>
      <c r="S763" s="2030"/>
      <c r="T763" s="2030"/>
      <c r="U763" s="2030"/>
      <c r="V763" s="2030"/>
      <c r="W763" s="2030"/>
      <c r="X763" s="2030"/>
      <c r="Y763" s="2030"/>
      <c r="Z763" s="2030"/>
      <c r="AA763" s="2030"/>
      <c r="AB763" s="2030"/>
      <c r="AC763" s="2030"/>
      <c r="AD763" s="2030"/>
      <c r="AE763" s="570"/>
      <c r="AF763" s="1937" t="s">
        <v>1461</v>
      </c>
      <c r="AG763" s="1937"/>
      <c r="AH763" s="1937"/>
      <c r="AI763" s="1937"/>
      <c r="AJ763" s="1937"/>
      <c r="AK763" s="1937"/>
      <c r="AL763" s="1937"/>
      <c r="AM763" s="647"/>
      <c r="AN763" s="631"/>
    </row>
    <row r="764" spans="1:74" s="584" customFormat="1" ht="12.75" customHeight="1">
      <c r="B764" s="650"/>
      <c r="C764" s="975"/>
      <c r="D764" s="697"/>
      <c r="E764" s="2030"/>
      <c r="F764" s="2030"/>
      <c r="G764" s="2030"/>
      <c r="H764" s="2030"/>
      <c r="I764" s="2030"/>
      <c r="J764" s="2030"/>
      <c r="K764" s="2030"/>
      <c r="L764" s="2030"/>
      <c r="M764" s="2030"/>
      <c r="N764" s="2030"/>
      <c r="O764" s="2030"/>
      <c r="P764" s="2030"/>
      <c r="Q764" s="2030"/>
      <c r="R764" s="2030"/>
      <c r="S764" s="2030"/>
      <c r="T764" s="2030"/>
      <c r="U764" s="2030"/>
      <c r="V764" s="2030"/>
      <c r="W764" s="2030"/>
      <c r="X764" s="2030"/>
      <c r="Y764" s="2030"/>
      <c r="Z764" s="2030"/>
      <c r="AA764" s="2030"/>
      <c r="AB764" s="2030"/>
      <c r="AC764" s="2030"/>
      <c r="AD764" s="2030"/>
      <c r="AE764" s="628"/>
      <c r="AF764" s="628"/>
      <c r="AG764" s="628"/>
      <c r="AH764" s="628"/>
      <c r="AI764" s="628"/>
      <c r="AJ764" s="628"/>
      <c r="AK764" s="628"/>
      <c r="AL764" s="628"/>
      <c r="AM764" s="647"/>
      <c r="AN764" s="631"/>
    </row>
    <row r="765" spans="1:74" s="584" customFormat="1" ht="12.75" customHeight="1">
      <c r="B765" s="650"/>
      <c r="C765" s="975"/>
      <c r="D765" s="697"/>
      <c r="E765" s="2030"/>
      <c r="F765" s="2030"/>
      <c r="G765" s="2030"/>
      <c r="H765" s="2030"/>
      <c r="I765" s="2030"/>
      <c r="J765" s="2030"/>
      <c r="K765" s="2030"/>
      <c r="L765" s="2030"/>
      <c r="M765" s="2030"/>
      <c r="N765" s="2030"/>
      <c r="O765" s="2030"/>
      <c r="P765" s="2030"/>
      <c r="Q765" s="2030"/>
      <c r="R765" s="2030"/>
      <c r="S765" s="2030"/>
      <c r="T765" s="2030"/>
      <c r="U765" s="2030"/>
      <c r="V765" s="2030"/>
      <c r="W765" s="2030"/>
      <c r="X765" s="2030"/>
      <c r="Y765" s="2030"/>
      <c r="Z765" s="2030"/>
      <c r="AA765" s="2030"/>
      <c r="AB765" s="2030"/>
      <c r="AC765" s="2030"/>
      <c r="AD765" s="2030"/>
      <c r="AE765" s="628"/>
      <c r="AF765" s="628"/>
      <c r="AG765" s="628"/>
      <c r="AH765" s="628"/>
      <c r="AI765" s="628"/>
      <c r="AJ765" s="628"/>
      <c r="AK765" s="628"/>
      <c r="AL765" s="628"/>
      <c r="AM765" s="647"/>
      <c r="AN765" s="631"/>
    </row>
    <row r="766" spans="1:74" s="584" customFormat="1" ht="12.75" customHeight="1">
      <c r="B766" s="650"/>
      <c r="C766" s="975"/>
      <c r="D766" s="697"/>
      <c r="E766" s="2030"/>
      <c r="F766" s="2030"/>
      <c r="G766" s="2030"/>
      <c r="H766" s="2030"/>
      <c r="I766" s="2030"/>
      <c r="J766" s="2030"/>
      <c r="K766" s="2030"/>
      <c r="L766" s="2030"/>
      <c r="M766" s="2030"/>
      <c r="N766" s="2030"/>
      <c r="O766" s="2030"/>
      <c r="P766" s="2030"/>
      <c r="Q766" s="2030"/>
      <c r="R766" s="2030"/>
      <c r="S766" s="2030"/>
      <c r="T766" s="2030"/>
      <c r="U766" s="2030"/>
      <c r="V766" s="2030"/>
      <c r="W766" s="2030"/>
      <c r="X766" s="2030"/>
      <c r="Y766" s="2030"/>
      <c r="Z766" s="2030"/>
      <c r="AA766" s="2030"/>
      <c r="AB766" s="2030"/>
      <c r="AC766" s="2030"/>
      <c r="AD766" s="203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20" t="s">
        <v>599</v>
      </c>
      <c r="I768" s="202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71">
        <f>VLOOKUP($H$768,$AO$758:$AP$760,2,FALSE)</f>
        <v>0</v>
      </c>
      <c r="AK770" s="1973"/>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9" customHeight="1">
      <c r="A774" s="584"/>
      <c r="B774" s="650"/>
      <c r="C774" s="975"/>
      <c r="D774" s="697" t="s">
        <v>696</v>
      </c>
      <c r="E774" s="1991" t="s">
        <v>2345</v>
      </c>
      <c r="F774" s="1991"/>
      <c r="G774" s="1991"/>
      <c r="H774" s="1991"/>
      <c r="I774" s="1991"/>
      <c r="J774" s="1991"/>
      <c r="K774" s="1991"/>
      <c r="L774" s="1991"/>
      <c r="M774" s="1991"/>
      <c r="N774" s="1991"/>
      <c r="O774" s="1991"/>
      <c r="P774" s="1991"/>
      <c r="Q774" s="1991"/>
      <c r="R774" s="1991"/>
      <c r="S774" s="1991"/>
      <c r="T774" s="1991"/>
      <c r="U774" s="1991"/>
      <c r="V774" s="1991"/>
      <c r="W774" s="1991"/>
      <c r="X774" s="1991"/>
      <c r="Y774" s="1991"/>
      <c r="Z774" s="1991"/>
      <c r="AA774" s="1991"/>
      <c r="AB774" s="1991"/>
      <c r="AC774" s="1991"/>
      <c r="AD774" s="1991"/>
      <c r="AE774" s="570"/>
      <c r="AF774" s="1937" t="s">
        <v>1461</v>
      </c>
      <c r="AG774" s="1937"/>
      <c r="AH774" s="1937"/>
      <c r="AI774" s="1937"/>
      <c r="AJ774" s="1937"/>
      <c r="AK774" s="1937"/>
      <c r="AL774" s="1937"/>
      <c r="AM774" s="647"/>
      <c r="AN774" s="718"/>
      <c r="AO774" s="645" t="s">
        <v>553</v>
      </c>
      <c r="AP774" s="584">
        <v>3</v>
      </c>
      <c r="AT774" s="708"/>
      <c r="AU774" s="708"/>
      <c r="AV774" s="708"/>
      <c r="AW774" s="708"/>
      <c r="AX774" s="708"/>
      <c r="AY774" s="708"/>
      <c r="AZ774" s="708"/>
    </row>
    <row r="775" spans="1:81" s="604" customFormat="1" ht="13.9" customHeight="1">
      <c r="A775" s="584"/>
      <c r="B775" s="650"/>
      <c r="C775" s="975"/>
      <c r="D775" s="697"/>
      <c r="E775" s="1991"/>
      <c r="F775" s="1991"/>
      <c r="G775" s="1991"/>
      <c r="H775" s="1991"/>
      <c r="I775" s="1991"/>
      <c r="J775" s="1991"/>
      <c r="K775" s="1991"/>
      <c r="L775" s="1991"/>
      <c r="M775" s="1991"/>
      <c r="N775" s="1991"/>
      <c r="O775" s="1991"/>
      <c r="P775" s="1991"/>
      <c r="Q775" s="1991"/>
      <c r="R775" s="1991"/>
      <c r="S775" s="1991"/>
      <c r="T775" s="1991"/>
      <c r="U775" s="1991"/>
      <c r="V775" s="1991"/>
      <c r="W775" s="1991"/>
      <c r="X775" s="1991"/>
      <c r="Y775" s="1991"/>
      <c r="Z775" s="1991"/>
      <c r="AA775" s="1991"/>
      <c r="AB775" s="1991"/>
      <c r="AC775" s="1991"/>
      <c r="AD775" s="199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91"/>
      <c r="F776" s="1991"/>
      <c r="G776" s="1991"/>
      <c r="H776" s="1991"/>
      <c r="I776" s="1991"/>
      <c r="J776" s="1991"/>
      <c r="K776" s="1991"/>
      <c r="L776" s="1991"/>
      <c r="M776" s="1991"/>
      <c r="N776" s="1991"/>
      <c r="O776" s="1991"/>
      <c r="P776" s="1991"/>
      <c r="Q776" s="1991"/>
      <c r="R776" s="1991"/>
      <c r="S776" s="1991"/>
      <c r="T776" s="1991"/>
      <c r="U776" s="1991"/>
      <c r="V776" s="1991"/>
      <c r="W776" s="1991"/>
      <c r="X776" s="1991"/>
      <c r="Y776" s="1991"/>
      <c r="Z776" s="1991"/>
      <c r="AA776" s="1991"/>
      <c r="AB776" s="1991"/>
      <c r="AC776" s="1991"/>
      <c r="AD776" s="199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91"/>
      <c r="F777" s="1991"/>
      <c r="G777" s="1991"/>
      <c r="H777" s="1991"/>
      <c r="I777" s="1991"/>
      <c r="J777" s="1991"/>
      <c r="K777" s="1991"/>
      <c r="L777" s="1991"/>
      <c r="M777" s="1991"/>
      <c r="N777" s="1991"/>
      <c r="O777" s="1991"/>
      <c r="P777" s="1991"/>
      <c r="Q777" s="1991"/>
      <c r="R777" s="1991"/>
      <c r="S777" s="1991"/>
      <c r="T777" s="1991"/>
      <c r="U777" s="1991"/>
      <c r="V777" s="1991"/>
      <c r="W777" s="1991"/>
      <c r="X777" s="1991"/>
      <c r="Y777" s="1991"/>
      <c r="Z777" s="1991"/>
      <c r="AA777" s="1991"/>
      <c r="AB777" s="1991"/>
      <c r="AC777" s="1991"/>
      <c r="AD777" s="199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1509</v>
      </c>
      <c r="E779" s="971"/>
      <c r="F779" s="971"/>
      <c r="G779" s="971"/>
      <c r="H779" s="2020" t="s">
        <v>553</v>
      </c>
      <c r="I779" s="202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71">
        <f>VLOOKUP($H$779,$AO$773:$AP$774,2,FALSE)</f>
        <v>3</v>
      </c>
      <c r="AK781" s="197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71">
        <f>IF(($AJ$610+$AJ$629+$AJ$641+$AJ$676+$AJ$700+$AJ$714+$AJ$726+$AJ$742+$AJ$754+$AJ$770+AJ781)&gt;10,10,($AJ$610+$AJ$629+$AJ$641+$AJ$676+$AJ$700+$AJ$714+$AJ$726+$AJ$742+$AJ$754+$AJ$770+AJ781))</f>
        <v>10</v>
      </c>
      <c r="AL783" s="1972"/>
      <c r="AM783" s="197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1" t="s">
        <v>1678</v>
      </c>
      <c r="B786" s="2082"/>
      <c r="C786" s="2082"/>
      <c r="D786" s="2082"/>
      <c r="E786" s="2082"/>
      <c r="F786" s="2082"/>
      <c r="G786" s="2082"/>
      <c r="H786" s="2082"/>
      <c r="I786" s="2082"/>
      <c r="J786" s="2082"/>
      <c r="K786" s="2082"/>
      <c r="L786" s="2082"/>
      <c r="M786" s="2082"/>
      <c r="N786" s="2082"/>
      <c r="O786" s="2082"/>
      <c r="P786" s="2082"/>
      <c r="Q786" s="2082"/>
      <c r="R786" s="2082"/>
      <c r="S786" s="2082"/>
      <c r="T786" s="2082"/>
      <c r="U786" s="2082"/>
      <c r="V786" s="2082"/>
      <c r="W786" s="2082"/>
      <c r="X786" s="2082"/>
      <c r="Y786" s="2082"/>
      <c r="Z786" s="2082"/>
      <c r="AA786" s="2082"/>
      <c r="AB786" s="2082"/>
      <c r="AC786" s="2082"/>
      <c r="AD786" s="2082"/>
      <c r="AE786" s="2082"/>
      <c r="AF786" s="2082"/>
      <c r="AG786" s="2082"/>
      <c r="AH786" s="2082"/>
      <c r="AI786" s="2082"/>
      <c r="AJ786" s="2082"/>
      <c r="AK786" s="2082"/>
      <c r="AL786" s="2082"/>
      <c r="AM786" s="2082"/>
    </row>
    <row r="787" spans="1:43">
      <c r="A787" s="2083"/>
      <c r="B787" s="2083"/>
      <c r="C787" s="2083"/>
      <c r="D787" s="2083"/>
      <c r="E787" s="2083"/>
      <c r="F787" s="2083"/>
      <c r="G787" s="2083"/>
      <c r="H787" s="2083"/>
      <c r="I787" s="2083"/>
      <c r="J787" s="2083"/>
      <c r="K787" s="2083"/>
      <c r="L787" s="2083"/>
      <c r="M787" s="2083"/>
      <c r="N787" s="2083"/>
      <c r="O787" s="2083"/>
      <c r="P787" s="2083"/>
      <c r="Q787" s="2083"/>
      <c r="R787" s="2083"/>
      <c r="S787" s="2083"/>
      <c r="T787" s="2083"/>
      <c r="U787" s="2083"/>
      <c r="V787" s="2083"/>
      <c r="W787" s="2083"/>
      <c r="X787" s="2083"/>
      <c r="Y787" s="2083"/>
      <c r="Z787" s="2083"/>
      <c r="AA787" s="2083"/>
      <c r="AB787" s="2083"/>
      <c r="AC787" s="2083"/>
      <c r="AD787" s="2083"/>
      <c r="AE787" s="2083"/>
      <c r="AF787" s="2083"/>
      <c r="AG787" s="2083"/>
      <c r="AH787" s="2083"/>
      <c r="AI787" s="2083"/>
      <c r="AJ787" s="2083"/>
      <c r="AK787" s="2083"/>
      <c r="AL787" s="2083"/>
      <c r="AM787" s="2083"/>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12"/>
      <c r="B789" s="2012"/>
      <c r="C789" s="2012"/>
      <c r="D789" s="2012"/>
      <c r="E789" s="2012"/>
      <c r="F789" s="2012"/>
      <c r="G789" s="2012"/>
      <c r="H789" s="2012"/>
      <c r="I789" s="2012"/>
      <c r="J789" s="2012"/>
      <c r="K789" s="2012"/>
      <c r="L789" s="2012"/>
      <c r="M789" s="2012"/>
      <c r="N789" s="2012"/>
      <c r="O789" s="2012"/>
      <c r="P789" s="2012"/>
      <c r="Q789" s="2012"/>
      <c r="R789" s="2012"/>
      <c r="S789" s="2012"/>
      <c r="T789" s="2012"/>
      <c r="U789" s="2012"/>
      <c r="V789" s="2012"/>
      <c r="W789" s="2012"/>
      <c r="X789" s="2012"/>
      <c r="Y789" s="2012"/>
      <c r="Z789" s="2012"/>
      <c r="AA789" s="2012"/>
      <c r="AB789" s="2012"/>
      <c r="AC789" s="2012"/>
      <c r="AD789" s="2012"/>
      <c r="AE789" s="2012"/>
      <c r="AF789" s="2012"/>
      <c r="AG789" s="2012"/>
      <c r="AH789" s="2012"/>
      <c r="AI789" s="2012"/>
      <c r="AJ789" s="2012"/>
      <c r="AK789" s="2012"/>
      <c r="AL789" s="2012"/>
      <c r="AM789" s="2012"/>
      <c r="AP789" s="850"/>
      <c r="AQ789" s="850"/>
    </row>
    <row r="790" spans="1:43" ht="13">
      <c r="A790" s="2012"/>
      <c r="B790" s="2012"/>
      <c r="C790" s="2012"/>
      <c r="D790" s="2012"/>
      <c r="E790" s="2012"/>
      <c r="F790" s="2012"/>
      <c r="G790" s="2012"/>
      <c r="H790" s="2012"/>
      <c r="I790" s="2012"/>
      <c r="J790" s="2012"/>
      <c r="K790" s="2012"/>
      <c r="L790" s="2012"/>
      <c r="M790" s="2012"/>
      <c r="N790" s="2012"/>
      <c r="O790" s="2012"/>
      <c r="P790" s="2012"/>
      <c r="Q790" s="2012"/>
      <c r="R790" s="2012"/>
      <c r="S790" s="2012"/>
      <c r="T790" s="2012"/>
      <c r="U790" s="2012"/>
      <c r="V790" s="2012"/>
      <c r="W790" s="2012"/>
      <c r="X790" s="2012"/>
      <c r="Y790" s="2012"/>
      <c r="Z790" s="2012"/>
      <c r="AA790" s="2012"/>
      <c r="AB790" s="2012"/>
      <c r="AC790" s="2012"/>
      <c r="AD790" s="2012"/>
      <c r="AE790" s="2012"/>
      <c r="AF790" s="2012"/>
      <c r="AG790" s="2012"/>
      <c r="AH790" s="2012"/>
      <c r="AI790" s="2012"/>
      <c r="AJ790" s="2012"/>
      <c r="AK790" s="2012"/>
      <c r="AL790" s="2012"/>
      <c r="AM790" s="2012"/>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84" t="s">
        <v>1679</v>
      </c>
      <c r="U791" s="2085"/>
      <c r="V791" s="2085"/>
      <c r="W791" s="2085"/>
      <c r="X791" s="2085"/>
      <c r="Y791" s="2086"/>
      <c r="Z791" s="2084" t="s">
        <v>1680</v>
      </c>
      <c r="AA791" s="2085"/>
      <c r="AB791" s="2085"/>
      <c r="AC791" s="2085"/>
      <c r="AD791" s="2085"/>
      <c r="AE791" s="2086"/>
      <c r="AF791" s="2084" t="s">
        <v>1681</v>
      </c>
      <c r="AG791" s="2085"/>
      <c r="AH791" s="2085"/>
      <c r="AI791" s="2085"/>
      <c r="AJ791" s="2085"/>
      <c r="AK791" s="2086"/>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7"/>
      <c r="U792" s="2088"/>
      <c r="V792" s="2088"/>
      <c r="W792" s="2088"/>
      <c r="X792" s="2088"/>
      <c r="Y792" s="2089"/>
      <c r="Z792" s="2087"/>
      <c r="AA792" s="2088"/>
      <c r="AB792" s="2088"/>
      <c r="AC792" s="2088"/>
      <c r="AD792" s="2088"/>
      <c r="AE792" s="2089"/>
      <c r="AF792" s="2087"/>
      <c r="AG792" s="2088"/>
      <c r="AH792" s="2088"/>
      <c r="AI792" s="2088"/>
      <c r="AJ792" s="2088"/>
      <c r="AK792" s="2089"/>
      <c r="AL792" s="852"/>
      <c r="AM792" s="630"/>
      <c r="AO792" s="850"/>
      <c r="AP792" s="850"/>
      <c r="AQ792" s="850"/>
    </row>
    <row r="793" spans="1:43" ht="13">
      <c r="A793" s="853" t="s">
        <v>766</v>
      </c>
      <c r="B793" s="2064" t="s">
        <v>1413</v>
      </c>
      <c r="C793" s="2064"/>
      <c r="D793" s="2064"/>
      <c r="E793" s="2064"/>
      <c r="F793" s="2064"/>
      <c r="G793" s="2064"/>
      <c r="H793" s="2064"/>
      <c r="I793" s="2064"/>
      <c r="J793" s="2064"/>
      <c r="K793" s="2064"/>
      <c r="L793" s="2064"/>
      <c r="M793" s="2064"/>
      <c r="N793" s="2064"/>
      <c r="O793" s="2064"/>
      <c r="P793" s="2064"/>
      <c r="Q793" s="2064"/>
      <c r="R793" s="2064"/>
      <c r="S793" s="2065"/>
      <c r="T793" s="2066">
        <f>AK56</f>
        <v>0</v>
      </c>
      <c r="U793" s="2067"/>
      <c r="V793" s="2067"/>
      <c r="W793" s="2067"/>
      <c r="X793" s="2067"/>
      <c r="Y793" s="2068"/>
      <c r="Z793" s="2069">
        <v>20</v>
      </c>
      <c r="AA793" s="2067"/>
      <c r="AB793" s="2067"/>
      <c r="AC793" s="2067"/>
      <c r="AD793" s="2067"/>
      <c r="AE793" s="2068"/>
      <c r="AF793" s="2033">
        <f>IF(T793&gt;Z793,Z793,T793)</f>
        <v>0</v>
      </c>
      <c r="AG793" s="2033"/>
      <c r="AH793" s="2033"/>
      <c r="AI793" s="2033"/>
      <c r="AJ793" s="2033"/>
      <c r="AK793" s="2033"/>
      <c r="AL793" s="852"/>
      <c r="AM793" s="630"/>
      <c r="AO793" s="850"/>
      <c r="AP793" s="850"/>
      <c r="AQ793" s="850"/>
    </row>
    <row r="794" spans="1:43" ht="13">
      <c r="A794" s="853" t="s">
        <v>1651</v>
      </c>
      <c r="B794" s="2064" t="s">
        <v>1422</v>
      </c>
      <c r="C794" s="2064"/>
      <c r="D794" s="2064"/>
      <c r="E794" s="2064"/>
      <c r="F794" s="2064"/>
      <c r="G794" s="2064"/>
      <c r="H794" s="2064"/>
      <c r="I794" s="2064"/>
      <c r="J794" s="2064"/>
      <c r="K794" s="2064"/>
      <c r="L794" s="2064"/>
      <c r="M794" s="2064"/>
      <c r="N794" s="2064"/>
      <c r="O794" s="2064"/>
      <c r="P794" s="2064"/>
      <c r="Q794" s="2064"/>
      <c r="R794" s="2064"/>
      <c r="S794" s="2065"/>
      <c r="T794" s="2066">
        <f>AK78</f>
        <v>10</v>
      </c>
      <c r="U794" s="2067"/>
      <c r="V794" s="2067"/>
      <c r="W794" s="2067"/>
      <c r="X794" s="2067"/>
      <c r="Y794" s="2068"/>
      <c r="Z794" s="2069">
        <v>10</v>
      </c>
      <c r="AA794" s="2067"/>
      <c r="AB794" s="2067"/>
      <c r="AC794" s="2067"/>
      <c r="AD794" s="2067"/>
      <c r="AE794" s="2068"/>
      <c r="AF794" s="2033">
        <f>IF(T794&gt;Z794,Z794,T794)</f>
        <v>10</v>
      </c>
      <c r="AG794" s="2033"/>
      <c r="AH794" s="2033"/>
      <c r="AI794" s="2033"/>
      <c r="AJ794" s="2033"/>
      <c r="AK794" s="2033"/>
      <c r="AL794" s="852"/>
      <c r="AM794" s="630"/>
      <c r="AO794" s="850"/>
      <c r="AP794" s="850"/>
      <c r="AQ794" s="850"/>
    </row>
    <row r="795" spans="1:43" ht="13">
      <c r="A795" s="853" t="s">
        <v>1660</v>
      </c>
      <c r="B795" s="2064" t="s">
        <v>1432</v>
      </c>
      <c r="C795" s="2064"/>
      <c r="D795" s="2064"/>
      <c r="E795" s="2064"/>
      <c r="F795" s="2064"/>
      <c r="G795" s="2064"/>
      <c r="H795" s="2064"/>
      <c r="I795" s="2064"/>
      <c r="J795" s="2064"/>
      <c r="K795" s="2064"/>
      <c r="L795" s="2064"/>
      <c r="M795" s="2064"/>
      <c r="N795" s="2064"/>
      <c r="O795" s="2064"/>
      <c r="P795" s="2064"/>
      <c r="Q795" s="2064"/>
      <c r="R795" s="2064"/>
      <c r="S795" s="2065"/>
      <c r="T795" s="2066">
        <f ca="1">AK103</f>
        <v>20</v>
      </c>
      <c r="U795" s="2067"/>
      <c r="V795" s="2067"/>
      <c r="W795" s="2067"/>
      <c r="X795" s="2067"/>
      <c r="Y795" s="2068"/>
      <c r="Z795" s="2069">
        <v>20</v>
      </c>
      <c r="AA795" s="2067"/>
      <c r="AB795" s="2067"/>
      <c r="AC795" s="2067"/>
      <c r="AD795" s="2067"/>
      <c r="AE795" s="2068"/>
      <c r="AF795" s="2033">
        <f ca="1">IF(T795&gt;Z795,Z795,T795)</f>
        <v>20</v>
      </c>
      <c r="AG795" s="2033"/>
      <c r="AH795" s="2033"/>
      <c r="AI795" s="2033"/>
      <c r="AJ795" s="2033"/>
      <c r="AK795" s="2033"/>
      <c r="AL795" s="852"/>
      <c r="AM795" s="630"/>
      <c r="AO795" s="850"/>
      <c r="AP795" s="850"/>
      <c r="AQ795" s="850"/>
    </row>
    <row r="796" spans="1:43" ht="13">
      <c r="A796" s="853" t="s">
        <v>1682</v>
      </c>
      <c r="B796" s="2064" t="s">
        <v>1442</v>
      </c>
      <c r="C796" s="2064"/>
      <c r="D796" s="2064"/>
      <c r="E796" s="2064"/>
      <c r="F796" s="2064"/>
      <c r="G796" s="2064"/>
      <c r="H796" s="2064"/>
      <c r="I796" s="2064"/>
      <c r="J796" s="2064"/>
      <c r="K796" s="2064"/>
      <c r="L796" s="2064"/>
      <c r="M796" s="2064"/>
      <c r="N796" s="2064"/>
      <c r="O796" s="2064"/>
      <c r="P796" s="2064"/>
      <c r="Q796" s="2064"/>
      <c r="R796" s="2064"/>
      <c r="S796" s="2065"/>
      <c r="T796" s="2066">
        <f>AK137</f>
        <v>10</v>
      </c>
      <c r="U796" s="2067"/>
      <c r="V796" s="2067"/>
      <c r="W796" s="2067"/>
      <c r="X796" s="2067"/>
      <c r="Y796" s="2068"/>
      <c r="Z796" s="2069">
        <v>10</v>
      </c>
      <c r="AA796" s="2067"/>
      <c r="AB796" s="2067"/>
      <c r="AC796" s="2067"/>
      <c r="AD796" s="2067"/>
      <c r="AE796" s="2068"/>
      <c r="AF796" s="2033">
        <f>IF(T796&gt;Z796,Z796,T796)</f>
        <v>10</v>
      </c>
      <c r="AG796" s="2033"/>
      <c r="AH796" s="2033"/>
      <c r="AI796" s="2033"/>
      <c r="AJ796" s="2033"/>
      <c r="AK796" s="2033"/>
      <c r="AL796" s="852"/>
      <c r="AM796" s="630"/>
      <c r="AO796" s="850"/>
      <c r="AP796" s="850"/>
      <c r="AQ796" s="850"/>
    </row>
    <row r="797" spans="1:43" ht="13">
      <c r="A797" s="854" t="s">
        <v>1683</v>
      </c>
      <c r="B797" s="2064" t="s">
        <v>1684</v>
      </c>
      <c r="C797" s="2064"/>
      <c r="D797" s="2064"/>
      <c r="E797" s="2064"/>
      <c r="F797" s="2064"/>
      <c r="G797" s="2064"/>
      <c r="H797" s="2064"/>
      <c r="I797" s="2064"/>
      <c r="J797" s="2064"/>
      <c r="K797" s="2064"/>
      <c r="L797" s="2064"/>
      <c r="M797" s="2064"/>
      <c r="N797" s="2064"/>
      <c r="O797" s="2064"/>
      <c r="P797" s="2064"/>
      <c r="Q797" s="2064"/>
      <c r="R797" s="2064"/>
      <c r="S797" s="2065"/>
      <c r="T797" s="2090">
        <f>SUM(T798:Y799)</f>
        <v>10</v>
      </c>
      <c r="U797" s="2090"/>
      <c r="V797" s="2090"/>
      <c r="W797" s="2090"/>
      <c r="X797" s="2090"/>
      <c r="Y797" s="2090"/>
      <c r="Z797" s="2033">
        <v>10</v>
      </c>
      <c r="AA797" s="2033"/>
      <c r="AB797" s="2033"/>
      <c r="AC797" s="2033"/>
      <c r="AD797" s="2033"/>
      <c r="AE797" s="2033"/>
      <c r="AF797" s="2033">
        <f>IF(T797&gt;Z797,Z797,T797)</f>
        <v>10</v>
      </c>
      <c r="AG797" s="2033"/>
      <c r="AH797" s="2033"/>
      <c r="AI797" s="2033"/>
      <c r="AJ797" s="2033"/>
      <c r="AK797" s="2033"/>
      <c r="AL797" s="852"/>
      <c r="AM797" s="630"/>
    </row>
    <row r="798" spans="1:43" ht="13">
      <c r="A798" s="569"/>
      <c r="B798" s="635"/>
      <c r="C798" s="2091" t="s">
        <v>1685</v>
      </c>
      <c r="D798" s="2091"/>
      <c r="E798" s="2091"/>
      <c r="F798" s="2091"/>
      <c r="G798" s="2091"/>
      <c r="H798" s="2091"/>
      <c r="I798" s="2091"/>
      <c r="J798" s="2091"/>
      <c r="K798" s="2091"/>
      <c r="L798" s="2091"/>
      <c r="M798" s="2091"/>
      <c r="N798" s="2091"/>
      <c r="O798" s="2091"/>
      <c r="P798" s="2091"/>
      <c r="Q798" s="2091"/>
      <c r="R798" s="2091"/>
      <c r="S798" s="2092"/>
      <c r="T798" s="1966">
        <f>AJ155</f>
        <v>7</v>
      </c>
      <c r="U798" s="1966"/>
      <c r="V798" s="1966"/>
      <c r="W798" s="1966"/>
      <c r="X798" s="1966"/>
      <c r="Y798" s="1966"/>
      <c r="Z798" s="1967">
        <v>7</v>
      </c>
      <c r="AA798" s="1967"/>
      <c r="AB798" s="1967"/>
      <c r="AC798" s="1967"/>
      <c r="AD798" s="1967"/>
      <c r="AE798" s="1967"/>
      <c r="AF798" s="2093"/>
      <c r="AG798" s="2093"/>
      <c r="AH798" s="2093"/>
      <c r="AI798" s="2093"/>
      <c r="AJ798" s="2093"/>
      <c r="AK798" s="2093"/>
      <c r="AL798" s="852"/>
      <c r="AM798" s="630"/>
    </row>
    <row r="799" spans="1:43" ht="13">
      <c r="A799" s="634"/>
      <c r="B799" s="635"/>
      <c r="C799" s="2091" t="s">
        <v>1686</v>
      </c>
      <c r="D799" s="2091"/>
      <c r="E799" s="2091"/>
      <c r="F799" s="2091"/>
      <c r="G799" s="2091"/>
      <c r="H799" s="2091"/>
      <c r="I799" s="2091"/>
      <c r="J799" s="2091"/>
      <c r="K799" s="2091"/>
      <c r="L799" s="2091"/>
      <c r="M799" s="2091"/>
      <c r="N799" s="2091"/>
      <c r="O799" s="2091"/>
      <c r="P799" s="2091"/>
      <c r="Q799" s="2091"/>
      <c r="R799" s="2091"/>
      <c r="S799" s="2092"/>
      <c r="T799" s="1966">
        <f>AJ169</f>
        <v>3</v>
      </c>
      <c r="U799" s="1966"/>
      <c r="V799" s="1966"/>
      <c r="W799" s="1966"/>
      <c r="X799" s="1966"/>
      <c r="Y799" s="1966"/>
      <c r="Z799" s="1967">
        <v>3</v>
      </c>
      <c r="AA799" s="1967"/>
      <c r="AB799" s="1967"/>
      <c r="AC799" s="1967"/>
      <c r="AD799" s="1967"/>
      <c r="AE799" s="1967"/>
      <c r="AF799" s="2093"/>
      <c r="AG799" s="2093"/>
      <c r="AH799" s="2093"/>
      <c r="AI799" s="2093"/>
      <c r="AJ799" s="2093"/>
      <c r="AK799" s="2093"/>
      <c r="AL799" s="852"/>
      <c r="AM799" s="630"/>
      <c r="AO799" s="584"/>
    </row>
    <row r="800" spans="1:43" ht="13">
      <c r="A800" s="854" t="s">
        <v>1470</v>
      </c>
      <c r="B800" s="2064" t="s">
        <v>1687</v>
      </c>
      <c r="C800" s="2064"/>
      <c r="D800" s="2064"/>
      <c r="E800" s="2064"/>
      <c r="F800" s="2064"/>
      <c r="G800" s="2064"/>
      <c r="H800" s="2064"/>
      <c r="I800" s="2064"/>
      <c r="J800" s="2064"/>
      <c r="K800" s="2064"/>
      <c r="L800" s="2064"/>
      <c r="M800" s="2064"/>
      <c r="N800" s="2064"/>
      <c r="O800" s="2064"/>
      <c r="P800" s="2064"/>
      <c r="Q800" s="2064"/>
      <c r="R800" s="2064"/>
      <c r="S800" s="2065"/>
      <c r="T800" s="2090">
        <f>AK180</f>
        <v>10</v>
      </c>
      <c r="U800" s="2090"/>
      <c r="V800" s="2090"/>
      <c r="W800" s="2090"/>
      <c r="X800" s="2090"/>
      <c r="Y800" s="2090"/>
      <c r="Z800" s="2033">
        <v>10</v>
      </c>
      <c r="AA800" s="2033"/>
      <c r="AB800" s="2033"/>
      <c r="AC800" s="2033"/>
      <c r="AD800" s="2033"/>
      <c r="AE800" s="2033"/>
      <c r="AF800" s="2033">
        <f>IF(T800&gt;Z800,Z800,T800)</f>
        <v>10</v>
      </c>
      <c r="AG800" s="2033"/>
      <c r="AH800" s="2033"/>
      <c r="AI800" s="2033"/>
      <c r="AJ800" s="2033"/>
      <c r="AK800" s="2033"/>
      <c r="AL800" s="852"/>
      <c r="AM800" s="630"/>
    </row>
    <row r="801" spans="1:81" ht="13">
      <c r="A801" s="853" t="s">
        <v>1479</v>
      </c>
      <c r="B801" s="2064" t="s">
        <v>1480</v>
      </c>
      <c r="C801" s="2064"/>
      <c r="D801" s="2064"/>
      <c r="E801" s="2064"/>
      <c r="F801" s="2064"/>
      <c r="G801" s="2064"/>
      <c r="H801" s="2064"/>
      <c r="I801" s="2064"/>
      <c r="J801" s="2064"/>
      <c r="K801" s="2064"/>
      <c r="L801" s="2064"/>
      <c r="M801" s="2064"/>
      <c r="N801" s="2064"/>
      <c r="O801" s="2064"/>
      <c r="P801" s="2064"/>
      <c r="Q801" s="2064"/>
      <c r="R801" s="2064"/>
      <c r="S801" s="2065"/>
      <c r="T801" s="2090">
        <f>AK262</f>
        <v>8</v>
      </c>
      <c r="U801" s="2090"/>
      <c r="V801" s="2090"/>
      <c r="W801" s="2090"/>
      <c r="X801" s="2090"/>
      <c r="Y801" s="2090"/>
      <c r="Z801" s="2069">
        <v>8</v>
      </c>
      <c r="AA801" s="2067"/>
      <c r="AB801" s="2067"/>
      <c r="AC801" s="2067"/>
      <c r="AD801" s="2067"/>
      <c r="AE801" s="2068"/>
      <c r="AF801" s="2033">
        <f>IF(T801&gt;Z801,Z801,T801)</f>
        <v>8</v>
      </c>
      <c r="AG801" s="2033"/>
      <c r="AH801" s="2033"/>
      <c r="AI801" s="2033"/>
      <c r="AJ801" s="2033"/>
      <c r="AK801" s="2033"/>
      <c r="AL801" s="852"/>
      <c r="AM801" s="630"/>
    </row>
    <row r="802" spans="1:81" s="568" customFormat="1" ht="13" hidden="1">
      <c r="A802" s="854" t="s">
        <v>597</v>
      </c>
      <c r="B802" s="2064" t="s">
        <v>1688</v>
      </c>
      <c r="C802" s="2064"/>
      <c r="D802" s="2064"/>
      <c r="E802" s="2064"/>
      <c r="F802" s="2064"/>
      <c r="G802" s="2064"/>
      <c r="H802" s="2064"/>
      <c r="I802" s="2064"/>
      <c r="J802" s="2064"/>
      <c r="K802" s="2064"/>
      <c r="L802" s="2064"/>
      <c r="M802" s="2064"/>
      <c r="N802" s="2064"/>
      <c r="O802" s="2064"/>
      <c r="P802" s="2064"/>
      <c r="Q802" s="2064"/>
      <c r="R802" s="2064"/>
      <c r="S802" s="2065"/>
      <c r="T802" s="2090">
        <f>IF(AK524&gt;5,5,AK524)</f>
        <v>0</v>
      </c>
      <c r="U802" s="2090"/>
      <c r="V802" s="2090"/>
      <c r="W802" s="2090"/>
      <c r="X802" s="2090"/>
      <c r="Y802" s="2090"/>
      <c r="Z802" s="2033">
        <v>5</v>
      </c>
      <c r="AA802" s="2033"/>
      <c r="AB802" s="2033"/>
      <c r="AC802" s="2033"/>
      <c r="AD802" s="2033"/>
      <c r="AE802" s="2033"/>
      <c r="AF802" s="2033">
        <f>IF(T802&gt;Z802,5,T802)</f>
        <v>0</v>
      </c>
      <c r="AG802" s="2033"/>
      <c r="AH802" s="2033"/>
      <c r="AI802" s="2033"/>
      <c r="AJ802" s="2033"/>
      <c r="AK802" s="20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1485</v>
      </c>
      <c r="B803" s="2064" t="s">
        <v>1689</v>
      </c>
      <c r="C803" s="2064"/>
      <c r="D803" s="2064"/>
      <c r="E803" s="2064"/>
      <c r="F803" s="2064"/>
      <c r="G803" s="2064"/>
      <c r="H803" s="2064"/>
      <c r="I803" s="2064"/>
      <c r="J803" s="2064"/>
      <c r="K803" s="2064"/>
      <c r="L803" s="2064"/>
      <c r="M803" s="2064"/>
      <c r="N803" s="2064"/>
      <c r="O803" s="2064"/>
      <c r="P803" s="2064"/>
      <c r="Q803" s="2064"/>
      <c r="R803" s="2064"/>
      <c r="S803" s="2065"/>
      <c r="T803" s="2090">
        <f>AK274</f>
        <v>10</v>
      </c>
      <c r="U803" s="2090"/>
      <c r="V803" s="2090"/>
      <c r="W803" s="2090"/>
      <c r="X803" s="2090"/>
      <c r="Y803" s="2090"/>
      <c r="Z803" s="2033">
        <v>10</v>
      </c>
      <c r="AA803" s="2033"/>
      <c r="AB803" s="2033"/>
      <c r="AC803" s="2033"/>
      <c r="AD803" s="2033"/>
      <c r="AE803" s="2033"/>
      <c r="AF803" s="2096">
        <f>IF(T803&gt;Z803,Z803,T803)</f>
        <v>10</v>
      </c>
      <c r="AG803" s="2097"/>
      <c r="AH803" s="2097"/>
      <c r="AI803" s="2097"/>
      <c r="AJ803" s="2097"/>
      <c r="AK803" s="209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1489</v>
      </c>
      <c r="B804" s="2064" t="s">
        <v>1490</v>
      </c>
      <c r="C804" s="2064"/>
      <c r="D804" s="2064"/>
      <c r="E804" s="2064"/>
      <c r="F804" s="2064"/>
      <c r="G804" s="2064"/>
      <c r="H804" s="2064"/>
      <c r="I804" s="2064"/>
      <c r="J804" s="2064"/>
      <c r="K804" s="2064"/>
      <c r="L804" s="2064"/>
      <c r="M804" s="2064"/>
      <c r="N804" s="2064"/>
      <c r="O804" s="2064"/>
      <c r="P804" s="2064"/>
      <c r="Q804" s="2064"/>
      <c r="R804" s="2064"/>
      <c r="S804" s="2065"/>
      <c r="T804" s="2090">
        <f>AK327</f>
        <v>10</v>
      </c>
      <c r="U804" s="2090"/>
      <c r="V804" s="2090"/>
      <c r="W804" s="2090"/>
      <c r="X804" s="2090"/>
      <c r="Y804" s="2090"/>
      <c r="Z804" s="2096">
        <v>10</v>
      </c>
      <c r="AA804" s="2097"/>
      <c r="AB804" s="2097"/>
      <c r="AC804" s="2097"/>
      <c r="AD804" s="2097"/>
      <c r="AE804" s="2098"/>
      <c r="AF804" s="2096">
        <f>IF(T804&gt;Z804,Z804,T804)</f>
        <v>10</v>
      </c>
      <c r="AG804" s="2097"/>
      <c r="AH804" s="2097"/>
      <c r="AI804" s="2097"/>
      <c r="AJ804" s="2097"/>
      <c r="AK804" s="209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6">
        <f>AK327</f>
        <v>10</v>
      </c>
      <c r="U805" s="1966"/>
      <c r="V805" s="1966"/>
      <c r="W805" s="1966"/>
      <c r="X805" s="1966"/>
      <c r="Y805" s="1966"/>
      <c r="Z805" s="1971">
        <v>20</v>
      </c>
      <c r="AA805" s="1972"/>
      <c r="AB805" s="1972"/>
      <c r="AC805" s="1972"/>
      <c r="AD805" s="1972"/>
      <c r="AE805" s="1973"/>
      <c r="AF805" s="2093"/>
      <c r="AG805" s="2093"/>
      <c r="AH805" s="2093"/>
      <c r="AI805" s="2093"/>
      <c r="AJ805" s="2093"/>
      <c r="AK805" s="209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1562</v>
      </c>
      <c r="B806" s="2064" t="s">
        <v>856</v>
      </c>
      <c r="C806" s="2064"/>
      <c r="D806" s="2064"/>
      <c r="E806" s="2064"/>
      <c r="F806" s="2064"/>
      <c r="G806" s="2064"/>
      <c r="H806" s="2064"/>
      <c r="I806" s="2064"/>
      <c r="J806" s="2064"/>
      <c r="K806" s="2064"/>
      <c r="L806" s="2064"/>
      <c r="M806" s="2064"/>
      <c r="N806" s="2064"/>
      <c r="O806" s="2064"/>
      <c r="P806" s="2064"/>
      <c r="Q806" s="2064"/>
      <c r="R806" s="2064"/>
      <c r="S806" s="2065"/>
      <c r="T806" s="2090">
        <f>AK458</f>
        <v>10</v>
      </c>
      <c r="U806" s="2090"/>
      <c r="V806" s="2090"/>
      <c r="W806" s="2090"/>
      <c r="X806" s="2090"/>
      <c r="Y806" s="2090"/>
      <c r="Z806" s="2096">
        <v>10</v>
      </c>
      <c r="AA806" s="2097"/>
      <c r="AB806" s="2097"/>
      <c r="AC806" s="2097"/>
      <c r="AD806" s="2097"/>
      <c r="AE806" s="2098"/>
      <c r="AF806" s="2033">
        <f>IF(T806&gt;Z806,Z806,T806)</f>
        <v>10</v>
      </c>
      <c r="AG806" s="2033"/>
      <c r="AH806" s="2033"/>
      <c r="AI806" s="2033"/>
      <c r="AJ806" s="2033"/>
      <c r="AK806" s="20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1668</v>
      </c>
      <c r="B807" s="2064" t="s">
        <v>1669</v>
      </c>
      <c r="C807" s="2064"/>
      <c r="D807" s="2064"/>
      <c r="E807" s="2064"/>
      <c r="F807" s="2064"/>
      <c r="G807" s="2064"/>
      <c r="H807" s="2064"/>
      <c r="I807" s="2064"/>
      <c r="J807" s="2064"/>
      <c r="K807" s="2064"/>
      <c r="L807" s="2064"/>
      <c r="M807" s="2064"/>
      <c r="N807" s="2064"/>
      <c r="O807" s="2064"/>
      <c r="P807" s="2064"/>
      <c r="Q807" s="2064"/>
      <c r="R807" s="2064"/>
      <c r="S807" s="2065"/>
      <c r="T807" s="2090">
        <f>AK548</f>
        <v>12</v>
      </c>
      <c r="U807" s="2090"/>
      <c r="V807" s="2090"/>
      <c r="W807" s="2090"/>
      <c r="X807" s="2090"/>
      <c r="Y807" s="2090"/>
      <c r="Z807" s="2096">
        <v>12</v>
      </c>
      <c r="AA807" s="2097"/>
      <c r="AB807" s="2097"/>
      <c r="AC807" s="2097"/>
      <c r="AD807" s="2097"/>
      <c r="AE807" s="2098"/>
      <c r="AF807" s="2033">
        <f>IF(T807&gt;Z807,Z807,T807)</f>
        <v>12</v>
      </c>
      <c r="AG807" s="2033"/>
      <c r="AH807" s="2033"/>
      <c r="AI807" s="2033"/>
      <c r="AJ807" s="2033"/>
      <c r="AK807" s="20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2333</v>
      </c>
      <c r="B808" s="2064" t="s">
        <v>1691</v>
      </c>
      <c r="C808" s="2064"/>
      <c r="D808" s="2064"/>
      <c r="E808" s="2064"/>
      <c r="F808" s="2064"/>
      <c r="G808" s="2064"/>
      <c r="H808" s="2064"/>
      <c r="I808" s="2064"/>
      <c r="J808" s="2064"/>
      <c r="K808" s="2064"/>
      <c r="L808" s="2064"/>
      <c r="M808" s="2064"/>
      <c r="N808" s="2064"/>
      <c r="O808" s="2064"/>
      <c r="P808" s="2064"/>
      <c r="Q808" s="2064"/>
      <c r="R808" s="2064"/>
      <c r="S808" s="2065"/>
      <c r="T808" s="2090">
        <f>AK783</f>
        <v>10</v>
      </c>
      <c r="U808" s="2090"/>
      <c r="V808" s="2090"/>
      <c r="W808" s="2090"/>
      <c r="X808" s="2090"/>
      <c r="Y808" s="2090"/>
      <c r="Z808" s="2096">
        <v>10</v>
      </c>
      <c r="AA808" s="2097"/>
      <c r="AB808" s="2097"/>
      <c r="AC808" s="2097"/>
      <c r="AD808" s="2097"/>
      <c r="AE808" s="2098"/>
      <c r="AF808" s="2033">
        <f>IF(T808&gt;Z808,Z808,T808)</f>
        <v>10</v>
      </c>
      <c r="AG808" s="2033"/>
      <c r="AH808" s="2033"/>
      <c r="AI808" s="2033"/>
      <c r="AJ808" s="2033"/>
      <c r="AK808" s="20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94" t="s">
        <v>1692</v>
      </c>
      <c r="B809" s="2064"/>
      <c r="C809" s="2064"/>
      <c r="D809" s="2064"/>
      <c r="E809" s="2064"/>
      <c r="F809" s="2064"/>
      <c r="G809" s="2064"/>
      <c r="H809" s="2064"/>
      <c r="I809" s="2064"/>
      <c r="J809" s="2064"/>
      <c r="K809" s="2064"/>
      <c r="L809" s="2064"/>
      <c r="M809" s="2064"/>
      <c r="N809" s="2064"/>
      <c r="O809" s="2064"/>
      <c r="P809" s="2064"/>
      <c r="Q809" s="2064"/>
      <c r="R809" s="2064"/>
      <c r="S809" s="2065"/>
      <c r="T809" s="2095"/>
      <c r="U809" s="2095"/>
      <c r="V809" s="2095"/>
      <c r="W809" s="2095"/>
      <c r="X809" s="2095"/>
      <c r="Y809" s="2095"/>
      <c r="Z809" s="1967" t="s">
        <v>1693</v>
      </c>
      <c r="AA809" s="1967"/>
      <c r="AB809" s="1967"/>
      <c r="AC809" s="1967"/>
      <c r="AD809" s="1967"/>
      <c r="AE809" s="1967"/>
      <c r="AF809" s="2096">
        <f>IF(T809&gt;0,T809,0)</f>
        <v>0</v>
      </c>
      <c r="AG809" s="2097"/>
      <c r="AH809" s="2097"/>
      <c r="AI809" s="2097"/>
      <c r="AJ809" s="2097"/>
      <c r="AK809" s="209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9" t="s">
        <v>1694</v>
      </c>
      <c r="B810" s="2100"/>
      <c r="C810" s="2100"/>
      <c r="D810" s="2100"/>
      <c r="E810" s="2100"/>
      <c r="F810" s="2100"/>
      <c r="G810" s="2100"/>
      <c r="H810" s="2100"/>
      <c r="I810" s="2100"/>
      <c r="J810" s="2100"/>
      <c r="K810" s="2100"/>
      <c r="L810" s="2100"/>
      <c r="M810" s="2100"/>
      <c r="N810" s="2100"/>
      <c r="O810" s="2100"/>
      <c r="P810" s="2100"/>
      <c r="Q810" s="2100"/>
      <c r="R810" s="2100"/>
      <c r="S810" s="2100"/>
      <c r="T810" s="2100"/>
      <c r="U810" s="2100"/>
      <c r="V810" s="2100"/>
      <c r="W810" s="2100"/>
      <c r="X810" s="2100"/>
      <c r="Y810" s="2100"/>
      <c r="Z810" s="2100"/>
      <c r="AA810" s="2100"/>
      <c r="AB810" s="2100"/>
      <c r="AC810" s="2100"/>
      <c r="AD810" s="2100"/>
      <c r="AE810" s="2101"/>
      <c r="AF810" s="2105">
        <f ca="1">SUM(AF793:AK808)-AF809</f>
        <v>120</v>
      </c>
      <c r="AG810" s="2106"/>
      <c r="AH810" s="2106"/>
      <c r="AI810" s="2106"/>
      <c r="AJ810" s="2106"/>
      <c r="AK810" s="210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102"/>
      <c r="B811" s="2103"/>
      <c r="C811" s="2103"/>
      <c r="D811" s="2103"/>
      <c r="E811" s="2103"/>
      <c r="F811" s="2103"/>
      <c r="G811" s="2103"/>
      <c r="H811" s="2103"/>
      <c r="I811" s="2103"/>
      <c r="J811" s="2103"/>
      <c r="K811" s="2103"/>
      <c r="L811" s="2103"/>
      <c r="M811" s="2103"/>
      <c r="N811" s="2103"/>
      <c r="O811" s="2103"/>
      <c r="P811" s="2103"/>
      <c r="Q811" s="2103"/>
      <c r="R811" s="2103"/>
      <c r="S811" s="2103"/>
      <c r="T811" s="2103"/>
      <c r="U811" s="2103"/>
      <c r="V811" s="2103"/>
      <c r="W811" s="2103"/>
      <c r="X811" s="2103"/>
      <c r="Y811" s="2103"/>
      <c r="Z811" s="2103"/>
      <c r="AA811" s="2103"/>
      <c r="AB811" s="2103"/>
      <c r="AC811" s="2103"/>
      <c r="AD811" s="2103"/>
      <c r="AE811" s="2104"/>
      <c r="AF811" s="2108"/>
      <c r="AG811" s="2109"/>
      <c r="AH811" s="2109"/>
      <c r="AI811" s="2109"/>
      <c r="AJ811" s="2109"/>
      <c r="AK811" s="211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18" workbookViewId="0">
      <selection activeCell="G74" sqref="G74"/>
    </sheetView>
  </sheetViews>
  <sheetFormatPr defaultColWidth="9.1796875" defaultRowHeight="14"/>
  <cols>
    <col min="1" max="1" width="2.453125" style="1079" customWidth="1"/>
    <col min="2" max="9" width="14.7265625" style="1079" customWidth="1"/>
    <col min="10" max="10" width="2.26953125" style="1079" customWidth="1"/>
    <col min="11" max="11" width="11.7265625" style="1080" customWidth="1"/>
    <col min="12" max="12" width="10.7265625" style="1079" customWidth="1"/>
    <col min="13" max="13" width="10.453125" style="1079" customWidth="1"/>
    <col min="14" max="14" width="10.7265625" style="1079" customWidth="1"/>
    <col min="15" max="16384" width="9.1796875" style="1079"/>
  </cols>
  <sheetData>
    <row r="1" spans="1:13" ht="30" customHeight="1">
      <c r="A1" s="2158" t="s">
        <v>1695</v>
      </c>
      <c r="B1" s="2158"/>
      <c r="C1" s="2158"/>
      <c r="D1" s="2158"/>
      <c r="E1" s="2158"/>
      <c r="F1" s="2158"/>
      <c r="G1" s="2158"/>
      <c r="H1" s="2158"/>
      <c r="I1" s="2158"/>
      <c r="J1" s="2158"/>
    </row>
    <row r="2" spans="1:13" ht="15" customHeight="1" thickBot="1">
      <c r="A2" s="1081"/>
      <c r="B2" s="1081"/>
      <c r="I2" s="1082"/>
      <c r="K2" s="1083"/>
    </row>
    <row r="3" spans="1:13" s="1086" customFormat="1" ht="19.899999999999999" customHeight="1">
      <c r="A3" s="1140"/>
      <c r="B3" s="1141"/>
      <c r="C3" s="1142"/>
      <c r="D3" s="1147"/>
      <c r="E3" s="1142"/>
      <c r="F3" s="1143" t="s">
        <v>2298</v>
      </c>
      <c r="G3" s="1142"/>
      <c r="H3" s="1144">
        <f>E16</f>
        <v>36239070</v>
      </c>
      <c r="I3" s="1145"/>
    </row>
    <row r="4" spans="1:13" s="1086" customFormat="1" ht="19.899999999999999" customHeight="1">
      <c r="B4" s="1134"/>
      <c r="D4" s="1148"/>
      <c r="F4" s="1132" t="s">
        <v>2300</v>
      </c>
      <c r="G4" s="1131" t="s">
        <v>2299</v>
      </c>
      <c r="H4" s="1133">
        <f>I16</f>
        <v>45308319.66846405</v>
      </c>
      <c r="I4" s="1135"/>
      <c r="K4" s="1090"/>
    </row>
    <row r="5" spans="1:13" s="1086" customFormat="1" ht="19.899999999999999" customHeight="1" thickBot="1">
      <c r="B5" s="1136"/>
      <c r="C5" s="1137"/>
      <c r="D5" s="1149"/>
      <c r="E5" s="1138"/>
      <c r="F5" s="1149" t="s">
        <v>2240</v>
      </c>
      <c r="G5" s="1150"/>
      <c r="H5" s="1146">
        <f>H3/H4</f>
        <v>0.7998325752350397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2238</v>
      </c>
      <c r="C8" s="2161"/>
      <c r="D8" s="2161"/>
      <c r="E8" s="2162"/>
      <c r="G8" s="2163" t="s">
        <v>2239</v>
      </c>
      <c r="H8" s="2164"/>
      <c r="I8" s="2165"/>
      <c r="K8" s="1092"/>
    </row>
    <row r="9" spans="1:13" ht="15" customHeight="1">
      <c r="A9" s="1081"/>
      <c r="B9" s="2159" t="s">
        <v>2277</v>
      </c>
      <c r="C9" s="2159"/>
      <c r="D9" s="2159"/>
      <c r="E9" s="1094">
        <f>G31</f>
        <v>5987500</v>
      </c>
      <c r="G9" s="2168" t="s">
        <v>2275</v>
      </c>
      <c r="H9" s="2168"/>
      <c r="I9" s="1095">
        <f>Application!AM554</f>
        <v>32184459</v>
      </c>
      <c r="K9" s="1096"/>
      <c r="M9" s="1097"/>
    </row>
    <row r="10" spans="1:13" ht="15" customHeight="1" thickBot="1">
      <c r="A10" s="1081"/>
      <c r="B10" s="2159" t="s">
        <v>2278</v>
      </c>
      <c r="C10" s="2159"/>
      <c r="D10" s="2159"/>
      <c r="E10" s="1095">
        <f>G40</f>
        <v>17617320</v>
      </c>
      <c r="G10" s="2168" t="s">
        <v>2241</v>
      </c>
      <c r="H10" s="2168"/>
      <c r="I10" s="1182">
        <f>'Basis &amp; Credits'!AB78</f>
        <v>15549560</v>
      </c>
      <c r="M10" s="1097"/>
    </row>
    <row r="11" spans="1:13" ht="15" customHeight="1">
      <c r="A11" s="1098"/>
      <c r="B11" s="2159" t="s">
        <v>2279</v>
      </c>
      <c r="C11" s="2159"/>
      <c r="D11" s="2159"/>
      <c r="E11" s="1095">
        <f>G49</f>
        <v>0</v>
      </c>
      <c r="G11" s="2168" t="s">
        <v>2290</v>
      </c>
      <c r="H11" s="2168"/>
      <c r="I11" s="1181">
        <f>I9+I10</f>
        <v>47734019</v>
      </c>
      <c r="M11" s="1097"/>
    </row>
    <row r="12" spans="1:13" ht="15" customHeight="1">
      <c r="A12" s="1084"/>
      <c r="B12" s="2159" t="s">
        <v>2280</v>
      </c>
      <c r="C12" s="2159"/>
      <c r="D12" s="2159"/>
      <c r="E12" s="1095">
        <f>G58</f>
        <v>300000</v>
      </c>
      <c r="G12" s="1183" t="s">
        <v>2315</v>
      </c>
      <c r="H12" s="1184"/>
      <c r="M12" s="1097"/>
    </row>
    <row r="13" spans="1:13" ht="15" customHeight="1">
      <c r="A13" s="1081"/>
      <c r="B13" s="2159" t="s">
        <v>2281</v>
      </c>
      <c r="C13" s="2159"/>
      <c r="D13" s="2159"/>
      <c r="E13" s="1100">
        <f>G83</f>
        <v>8741750</v>
      </c>
      <c r="G13" s="2169" t="s">
        <v>139</v>
      </c>
      <c r="H13" s="2169"/>
      <c r="I13" s="1099">
        <f>15%*(AND(G111="Yes",G113&lt;&gt;""))</f>
        <v>0</v>
      </c>
      <c r="M13" s="1097"/>
    </row>
    <row r="14" spans="1:13" ht="15" customHeight="1">
      <c r="A14" s="1081"/>
      <c r="B14" s="2159" t="s">
        <v>2282</v>
      </c>
      <c r="C14" s="2159"/>
      <c r="D14" s="2159"/>
      <c r="E14" s="1095">
        <f>IF(G96&gt;G106,G96,0)</f>
        <v>3592500</v>
      </c>
      <c r="G14" s="1179" t="s">
        <v>2291</v>
      </c>
      <c r="H14" s="1179"/>
      <c r="I14" s="1099">
        <f>IF(Application!AJ1031&gt;0,10%,IF(Application!AJ1035&gt;0,5%,0))</f>
        <v>0.05</v>
      </c>
      <c r="M14" s="1097"/>
    </row>
    <row r="15" spans="1:13" ht="15" customHeight="1" thickBot="1">
      <c r="A15" s="1081"/>
      <c r="B15" s="2166" t="s">
        <v>2301</v>
      </c>
      <c r="C15" s="2166"/>
      <c r="D15" s="2166"/>
      <c r="E15" s="1151">
        <f>IF(E14&gt;0,0,G106)</f>
        <v>0</v>
      </c>
      <c r="G15" s="2172" t="s">
        <v>2292</v>
      </c>
      <c r="H15" s="2173"/>
      <c r="I15" s="1153">
        <f>G123</f>
        <v>8.1699346405228761E-4</v>
      </c>
      <c r="M15" s="1097"/>
    </row>
    <row r="16" spans="1:13" ht="15" customHeight="1">
      <c r="A16" s="1081"/>
      <c r="B16" s="2167" t="s">
        <v>2237</v>
      </c>
      <c r="C16" s="2167"/>
      <c r="D16" s="2167"/>
      <c r="E16" s="1152">
        <f>SUM(E9:E15)</f>
        <v>36239070</v>
      </c>
      <c r="G16" s="1180" t="s">
        <v>2276</v>
      </c>
      <c r="H16" s="1180"/>
      <c r="I16" s="1154">
        <f>I11-((I11*I13)+(I11*I14)+(I11*I15))</f>
        <v>45308319.66846405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97</v>
      </c>
      <c r="O18" s="1124" t="s">
        <v>590</v>
      </c>
      <c r="P18" s="1079">
        <f>MATCH(Application!T189,Application!BV490:BV547,0)</f>
        <v>37</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70" t="s">
        <v>2294</v>
      </c>
      <c r="D20" s="2170" t="s">
        <v>2295</v>
      </c>
      <c r="E20" s="2170" t="s">
        <v>2296</v>
      </c>
      <c r="F20" s="2170" t="s">
        <v>2297</v>
      </c>
      <c r="G20" s="2170" t="s">
        <v>2293</v>
      </c>
      <c r="H20" s="1108"/>
      <c r="I20" s="1107"/>
      <c r="L20" s="1079">
        <f>IFERROR(MIN(4,MATCH(Application!B718,UnitSizes,0)-1),"")</f>
        <v>1</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1"/>
      <c r="D21" s="2171"/>
      <c r="E21" s="2171"/>
      <c r="F21" s="2171"/>
      <c r="G21" s="2171"/>
      <c r="H21" s="1108"/>
      <c r="I21" s="1107"/>
      <c r="L21" s="1079">
        <f>IFERROR(MIN(4,MATCH(Application!B719,UnitSizes,0)-1),"")</f>
        <v>1</v>
      </c>
      <c r="M21" s="1101">
        <f>Application!G719</f>
        <v>4</v>
      </c>
      <c r="N21" s="1109">
        <f>Application!AC719</f>
        <v>0.5</v>
      </c>
      <c r="O21" s="1109">
        <f>IF(Cdlac[[#This Row],[Quantity]]&gt;0,IF(Cdlac[[#This Row],[Federal]],30%,IF($G$36,40%,Cdlac[[#This Row],[iAMI]])),"")</f>
        <v>0.5</v>
      </c>
      <c r="P21" s="1101" cm="1">
        <f t="array" ref="P21">IF(Cdlac[[#This Row],[Quantity]]&gt;0,INDEX(TcacRents,$P$18,Cdlac[[#This Row],[Bedrooms]]+1)*Cdlac[[#This Row],[AMI]],"")</f>
        <v>1420</v>
      </c>
      <c r="Q21" s="1101" cm="1">
        <f t="array" ref="Q21">IF(Cdlac[[#This Row],[Quantity]]&gt;0,INDEX(HudFmrs,$P$18,Cdlac[[#This Row],[Bedrooms]]+1),"")</f>
        <v>2248</v>
      </c>
      <c r="R21" s="1101">
        <f>IF(Cdlac[[#This Row],[Quantity]]&gt;0,MAX(0,Cdlac[[#This Row],[Fair Market Rent]]-Cdlac[[#This Row],[Restricted Rent]]),"")</f>
        <v>828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20</v>
      </c>
      <c r="N22" s="1109">
        <f>Application!AC720</f>
        <v>0.6</v>
      </c>
      <c r="O22" s="1109">
        <f>IF(Cdlac[[#This Row],[Quantity]]&gt;0,IF(Cdlac[[#This Row],[Federal]],30%,IF($G$36,40%,Cdlac[[#This Row],[iAMI]])),"")</f>
        <v>0.6</v>
      </c>
      <c r="P22" s="1101" cm="1">
        <f t="array" ref="P22">IF(Cdlac[[#This Row],[Quantity]]&gt;0,INDEX(TcacRents,$P$18,Cdlac[[#This Row],[Bedrooms]]+1)*Cdlac[[#This Row],[AMI]],"")</f>
        <v>1704</v>
      </c>
      <c r="Q22" s="1101" cm="1">
        <f t="array" ref="Q22">IF(Cdlac[[#This Row],[Quantity]]&gt;0,INDEX(HudFmrs,$P$18,Cdlac[[#This Row],[Bedrooms]]+1),"")</f>
        <v>2248</v>
      </c>
      <c r="R22" s="1101">
        <f>IF(Cdlac[[#This Row],[Quantity]]&gt;0,MAX(0,Cdlac[[#This Row],[Fair Market Rent]]-Cdlac[[#This Row],[Restricted Rent]]),"")</f>
        <v>544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35</v>
      </c>
      <c r="F23" s="1110">
        <f>E23</f>
        <v>35</v>
      </c>
      <c r="G23" s="1110">
        <f>D23*F23</f>
        <v>35</v>
      </c>
      <c r="L23" s="1079">
        <f>IFERROR(MIN(4,MATCH(Application!B721,UnitSizes,0)-1),"")</f>
        <v>1</v>
      </c>
      <c r="M23" s="1101">
        <f>Application!G721</f>
        <v>4</v>
      </c>
      <c r="N23" s="1109">
        <f>Application!AC721</f>
        <v>0.7</v>
      </c>
      <c r="O23" s="1109">
        <f>IF(Cdlac[[#This Row],[Quantity]]&gt;0,IF(Cdlac[[#This Row],[Federal]],30%,IF($G$36,40%,Cdlac[[#This Row],[iAMI]])),"")</f>
        <v>0.7</v>
      </c>
      <c r="P23" s="1101" cm="1">
        <f t="array" ref="P23">IF(Cdlac[[#This Row],[Quantity]]&gt;0,INDEX(TcacRents,$P$18,Cdlac[[#This Row],[Bedrooms]]+1)*Cdlac[[#This Row],[AMI]],"")</f>
        <v>1987.9999999999998</v>
      </c>
      <c r="Q23" s="1101" cm="1">
        <f t="array" ref="Q23">IF(Cdlac[[#This Row],[Quantity]]&gt;0,INDEX(HudFmrs,$P$18,Cdlac[[#This Row],[Bedrooms]]+1),"")</f>
        <v>2248</v>
      </c>
      <c r="R23" s="1101">
        <f>IF(Cdlac[[#This Row],[Quantity]]&gt;0,MAX(0,Cdlac[[#This Row],[Fair Market Rent]]-Cdlac[[#This Row],[Restricted Rent]]),"")</f>
        <v>260.00000000000023</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28</v>
      </c>
      <c r="F24" s="1113">
        <f>SUM(E24:E26)-SUM(F25:F26)</f>
        <v>33</v>
      </c>
      <c r="G24" s="1110">
        <f>D24*F24</f>
        <v>41.25</v>
      </c>
      <c r="H24" s="1112"/>
      <c r="I24" s="1112"/>
      <c r="L24" s="1079">
        <f>IFERROR(MIN(4,MATCH(Application!B722,UnitSizes,0)-1),"")</f>
        <v>2</v>
      </c>
      <c r="M24" s="1101">
        <f>Application!G722</f>
        <v>4</v>
      </c>
      <c r="N24" s="1109">
        <f>Application!AC722</f>
        <v>0.3</v>
      </c>
      <c r="O24" s="1109">
        <f>IF(Cdlac[[#This Row],[Quantity]]&gt;0,IF(Cdlac[[#This Row],[Federal]],30%,IF($G$36,40%,Cdlac[[#This Row],[iAMI]])),"")</f>
        <v>0.3</v>
      </c>
      <c r="P24" s="1101" cm="1">
        <f t="array" ref="P24">IF(Cdlac[[#This Row],[Quantity]]&gt;0,INDEX(TcacRents,$P$18,Cdlac[[#This Row],[Bedrooms]]+1)*Cdlac[[#This Row],[AMI]],"")</f>
        <v>1023</v>
      </c>
      <c r="Q24" s="1101" cm="1">
        <f t="array" ref="Q24">IF(Cdlac[[#This Row],[Quantity]]&gt;0,INDEX(HudFmrs,$P$18,Cdlac[[#This Row],[Bedrooms]]+1),"")</f>
        <v>2833</v>
      </c>
      <c r="R24" s="1101">
        <f>IF(Cdlac[[#This Row],[Quantity]]&gt;0,MAX(0,Cdlac[[#This Row],[Fair Market Rent]]-Cdlac[[#This Row],[Restricted Rent]]),"")</f>
        <v>1810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34</v>
      </c>
      <c r="F25" s="1113">
        <f>MIN(E25,ROUNDDOWN(E27*30%,0))</f>
        <v>29</v>
      </c>
      <c r="G25" s="1110">
        <f>D25*F25</f>
        <v>43.5</v>
      </c>
      <c r="H25" s="1112"/>
      <c r="I25" s="1112"/>
      <c r="L25" s="1079">
        <f>IFERROR(MIN(4,MATCH(Application!B723,UnitSizes,0)-1),"")</f>
        <v>2</v>
      </c>
      <c r="M25" s="1101">
        <f>Application!G723</f>
        <v>3</v>
      </c>
      <c r="N25" s="1109">
        <f>Application!AC723</f>
        <v>0.5</v>
      </c>
      <c r="O25" s="1109">
        <f>IF(Cdlac[[#This Row],[Quantity]]&gt;0,IF(Cdlac[[#This Row],[Federal]],30%,IF($G$36,40%,Cdlac[[#This Row],[iAMI]])),"")</f>
        <v>0.5</v>
      </c>
      <c r="P25" s="1101" cm="1">
        <f t="array" ref="P25">IF(Cdlac[[#This Row],[Quantity]]&gt;0,INDEX(TcacRents,$P$18,Cdlac[[#This Row],[Bedrooms]]+1)*Cdlac[[#This Row],[AMI]],"")</f>
        <v>1705</v>
      </c>
      <c r="Q25" s="1101" cm="1">
        <f t="array" ref="Q25">IF(Cdlac[[#This Row],[Quantity]]&gt;0,INDEX(HudFmrs,$P$18,Cdlac[[#This Row],[Bedrooms]]+1),"")</f>
        <v>2833</v>
      </c>
      <c r="R25" s="1101">
        <f>IF(Cdlac[[#This Row],[Quantity]]&gt;0,MAX(0,Cdlac[[#This Row],[Fair Market Rent]]-Cdlac[[#This Row],[Restricted Rent]]),"")</f>
        <v>1128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10</v>
      </c>
      <c r="N26" s="1109">
        <f>Application!AC724</f>
        <v>0.6</v>
      </c>
      <c r="O26" s="1109">
        <f>IF(Cdlac[[#This Row],[Quantity]]&gt;0,IF(Cdlac[[#This Row],[Federal]],30%,IF($G$36,40%,Cdlac[[#This Row],[iAMI]])),"")</f>
        <v>0.6</v>
      </c>
      <c r="P26" s="1101" cm="1">
        <f t="array" ref="P26">IF(Cdlac[[#This Row],[Quantity]]&gt;0,INDEX(TcacRents,$P$18,Cdlac[[#This Row],[Bedrooms]]+1)*Cdlac[[#This Row],[AMI]],"")</f>
        <v>2046</v>
      </c>
      <c r="Q26" s="1101" cm="1">
        <f t="array" ref="Q26">IF(Cdlac[[#This Row],[Quantity]]&gt;0,INDEX(HudFmrs,$P$18,Cdlac[[#This Row],[Bedrooms]]+1),"")</f>
        <v>2833</v>
      </c>
      <c r="R26" s="1101">
        <f>IF(Cdlac[[#This Row],[Quantity]]&gt;0,MAX(0,Cdlac[[#This Row],[Fair Market Rent]]-Cdlac[[#This Row],[Restricted Rent]]),"")</f>
        <v>787</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1696</v>
      </c>
      <c r="D27" s="2155"/>
      <c r="E27" s="1129">
        <f>SUM(E22:E26)</f>
        <v>97</v>
      </c>
      <c r="F27" s="1129">
        <f>SUM(F22:F26)</f>
        <v>97</v>
      </c>
      <c r="G27" s="1130">
        <f>SUMPRODUCT(D22:D26,F22:F26)</f>
        <v>119.75</v>
      </c>
      <c r="H27" s="1112"/>
      <c r="I27" s="1112"/>
      <c r="L27" s="1079">
        <f>IFERROR(MIN(4,MATCH(Application!B725,UnitSizes,0)-1),"")</f>
        <v>2</v>
      </c>
      <c r="M27" s="1101">
        <f>Application!G725</f>
        <v>11</v>
      </c>
      <c r="N27" s="1109">
        <f>Application!AC725</f>
        <v>0.7</v>
      </c>
      <c r="O27" s="1109">
        <f>IF(Cdlac[[#This Row],[Quantity]]&gt;0,IF(Cdlac[[#This Row],[Federal]],30%,IF($G$36,40%,Cdlac[[#This Row],[iAMI]])),"")</f>
        <v>0.7</v>
      </c>
      <c r="P27" s="1101" cm="1">
        <f t="array" ref="P27">IF(Cdlac[[#This Row],[Quantity]]&gt;0,INDEX(TcacRents,$P$18,Cdlac[[#This Row],[Bedrooms]]+1)*Cdlac[[#This Row],[AMI]],"")</f>
        <v>2387</v>
      </c>
      <c r="Q27" s="1101" cm="1">
        <f t="array" ref="Q27">IF(Cdlac[[#This Row],[Quantity]]&gt;0,INDEX(HudFmrs,$P$18,Cdlac[[#This Row],[Bedrooms]]+1),"")</f>
        <v>2833</v>
      </c>
      <c r="R27" s="1101">
        <f>IF(Cdlac[[#This Row],[Quantity]]&gt;0,MAX(0,Cdlac[[#This Row],[Fair Market Rent]]-Cdlac[[#This Row],[Restricted Rent]]),"")</f>
        <v>446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1182</v>
      </c>
      <c r="Q28" s="1101" cm="1">
        <f t="array" ref="Q28">IF(Cdlac[[#This Row],[Quantity]]&gt;0,INDEX(HudFmrs,$P$18,Cdlac[[#This Row],[Bedrooms]]+1),"")</f>
        <v>3819</v>
      </c>
      <c r="R28" s="1101">
        <f>IF(Cdlac[[#This Row],[Quantity]]&gt;0,MAX(0,Cdlac[[#This Row],[Fair Market Rent]]-Cdlac[[#This Row],[Restricted Rent]]),"")</f>
        <v>2637</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119.75</v>
      </c>
      <c r="H29" s="1112"/>
      <c r="I29" s="1112"/>
      <c r="L29" s="1079">
        <f>IFERROR(MIN(4,MATCH(Application!B727,UnitSizes,0)-1),"")</f>
        <v>3</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1970</v>
      </c>
      <c r="Q29" s="1101" cm="1">
        <f t="array" ref="Q29">IF(Cdlac[[#This Row],[Quantity]]&gt;0,INDEX(HudFmrs,$P$18,Cdlac[[#This Row],[Bedrooms]]+1),"")</f>
        <v>3819</v>
      </c>
      <c r="R29" s="1101">
        <f>IF(Cdlac[[#This Row],[Quantity]]&gt;0,MAX(0,Cdlac[[#This Row],[Fair Market Rent]]-Cdlac[[#This Row],[Restricted Rent]]),"")</f>
        <v>1849</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3</v>
      </c>
      <c r="M30" s="1101">
        <f>Application!G728</f>
        <v>10</v>
      </c>
      <c r="N30" s="1109">
        <f>Application!AC728</f>
        <v>0.6</v>
      </c>
      <c r="O30" s="1109">
        <f>IF(Cdlac[[#This Row],[Quantity]]&gt;0,IF(Cdlac[[#This Row],[Federal]],30%,IF($G$36,40%,Cdlac[[#This Row],[iAMI]])),"")</f>
        <v>0.6</v>
      </c>
      <c r="P30" s="1101" cm="1">
        <f t="array" ref="P30">IF(Cdlac[[#This Row],[Quantity]]&gt;0,INDEX(TcacRents,$P$18,Cdlac[[#This Row],[Bedrooms]]+1)*Cdlac[[#This Row],[AMI]],"")</f>
        <v>2364</v>
      </c>
      <c r="Q30" s="1101" cm="1">
        <f t="array" ref="Q30">IF(Cdlac[[#This Row],[Quantity]]&gt;0,INDEX(HudFmrs,$P$18,Cdlac[[#This Row],[Bedrooms]]+1),"")</f>
        <v>3819</v>
      </c>
      <c r="R30" s="1101">
        <f>IF(Cdlac[[#This Row],[Quantity]]&gt;0,MAX(0,Cdlac[[#This Row],[Fair Market Rent]]-Cdlac[[#This Row],[Restricted Rent]]),"")</f>
        <v>1455</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5987500</v>
      </c>
      <c r="H31" s="1112"/>
      <c r="I31" s="1112"/>
      <c r="L31" s="1079">
        <f>IFERROR(MIN(4,MATCH(Application!B729,UnitSizes,0)-1),"")</f>
        <v>3</v>
      </c>
      <c r="M31" s="1101">
        <f>Application!G729</f>
        <v>16</v>
      </c>
      <c r="N31" s="1109">
        <f>Application!AC729</f>
        <v>0.7</v>
      </c>
      <c r="O31" s="1109">
        <f>IF(Cdlac[[#This Row],[Quantity]]&gt;0,IF(Cdlac[[#This Row],[Federal]],30%,IF($G$36,40%,Cdlac[[#This Row],[iAMI]])),"")</f>
        <v>0.7</v>
      </c>
      <c r="P31" s="1101" cm="1">
        <f t="array" ref="P31">IF(Cdlac[[#This Row],[Quantity]]&gt;0,INDEX(TcacRents,$P$18,Cdlac[[#This Row],[Bedrooms]]+1)*Cdlac[[#This Row],[AMI]],"")</f>
        <v>2758</v>
      </c>
      <c r="Q31" s="1101" cm="1">
        <f t="array" ref="Q31">IF(Cdlac[[#This Row],[Quantity]]&gt;0,INDEX(HudFmrs,$P$18,Cdlac[[#This Row],[Bedrooms]]+1),"")</f>
        <v>3819</v>
      </c>
      <c r="R31" s="1101">
        <f>IF(Cdlac[[#This Row],[Quantity]]&gt;0,MAX(0,Cdlac[[#This Row],[Fair Market Rent]]-Cdlac[[#This Row],[Restricted Rent]]),"")</f>
        <v>1061</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0.57422680412371141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97874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17617320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48</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15</v>
      </c>
    </row>
    <row r="54" spans="2:14" ht="15" customHeight="1">
      <c r="E54" s="1159" t="s">
        <v>2304</v>
      </c>
      <c r="G54" s="1117">
        <f>ROUNDDOWN(E27*50%,0)</f>
        <v>48</v>
      </c>
    </row>
    <row r="55" spans="2:14" ht="15" customHeight="1">
      <c r="E55" s="1159"/>
      <c r="G55" s="1117"/>
    </row>
    <row r="56" spans="2:14" ht="15" customHeight="1">
      <c r="E56" s="1159" t="s">
        <v>2255</v>
      </c>
      <c r="G56" s="1156">
        <f>MIN(G53:G54)</f>
        <v>15</v>
      </c>
    </row>
    <row r="57" spans="2:14" ht="15" customHeight="1">
      <c r="E57" s="1159" t="s">
        <v>2245</v>
      </c>
      <c r="F57" s="1155" t="s">
        <v>2302</v>
      </c>
      <c r="G57" s="1166">
        <v>20000</v>
      </c>
    </row>
    <row r="58" spans="2:14" ht="15" customHeight="1">
      <c r="E58" s="1160" t="s">
        <v>2284</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6" t="s">
        <v>1514</v>
      </c>
      <c r="N62" s="2157"/>
    </row>
    <row r="63" spans="2:14" ht="15" customHeight="1">
      <c r="E63" s="1124" t="s">
        <v>2245</v>
      </c>
      <c r="F63" s="1155" t="s">
        <v>2302</v>
      </c>
      <c r="G63" s="1114">
        <v>4000</v>
      </c>
      <c r="L63" s="1170" t="str">
        <f>'Points System'!H639</f>
        <v>(i)</v>
      </c>
      <c r="M63" s="2148" t="s">
        <v>2259</v>
      </c>
      <c r="N63" s="2149"/>
    </row>
    <row r="64" spans="2:14" ht="15" customHeight="1">
      <c r="E64" s="1124" t="s">
        <v>2306</v>
      </c>
      <c r="F64" s="1155" t="s">
        <v>2302</v>
      </c>
      <c r="G64" s="1168">
        <f>G27</f>
        <v>119.75</v>
      </c>
      <c r="L64" s="1170" t="str">
        <f>'Points System'!H674</f>
        <v>(i)</v>
      </c>
      <c r="M64" s="2148" t="s">
        <v>2260</v>
      </c>
      <c r="N64" s="2149"/>
    </row>
    <row r="65" spans="2:14" ht="15" customHeight="1">
      <c r="E65" s="1160" t="s">
        <v>2264</v>
      </c>
      <c r="F65" s="1081"/>
      <c r="G65" s="1165">
        <f>G62*G63*G64</f>
        <v>3353000</v>
      </c>
      <c r="L65" s="1170" t="str">
        <f>IF(OR('Points System'!H698="(ii)",'Points System'!H698="(i)"),"(i)","N/A")</f>
        <v>(i)</v>
      </c>
      <c r="M65" s="2148" t="s">
        <v>2261</v>
      </c>
      <c r="N65" s="2149"/>
    </row>
    <row r="66" spans="2:14" ht="15" customHeight="1">
      <c r="C66" s="1115"/>
      <c r="G66" s="1156"/>
      <c r="L66" s="1171" t="str">
        <f>'Points System'!H712</f>
        <v>N/A</v>
      </c>
      <c r="M66" s="2148" t="s">
        <v>1540</v>
      </c>
      <c r="N66" s="2149"/>
    </row>
    <row r="67" spans="2:14" ht="15" customHeight="1">
      <c r="E67" s="1124" t="s">
        <v>2307</v>
      </c>
      <c r="G67" s="1168">
        <f>COUNTIFS(L62:L69,"(i)")</f>
        <v>5</v>
      </c>
      <c r="L67" s="1170" t="str">
        <f>'Points System'!H724</f>
        <v>N/A</v>
      </c>
      <c r="M67" s="2148" t="s">
        <v>2262</v>
      </c>
      <c r="N67" s="2149"/>
    </row>
    <row r="68" spans="2:14" ht="15" customHeight="1">
      <c r="E68" s="1124" t="s">
        <v>2245</v>
      </c>
      <c r="F68" s="1155" t="s">
        <v>2302</v>
      </c>
      <c r="G68" s="1166">
        <v>4000</v>
      </c>
      <c r="L68" s="1170" t="str">
        <f>'Points System'!H740</f>
        <v>(ii)</v>
      </c>
      <c r="M68" s="2148" t="s">
        <v>2263</v>
      </c>
      <c r="N68" s="2149"/>
    </row>
    <row r="69" spans="2:14" ht="15" customHeight="1" thickBot="1">
      <c r="E69" s="1160" t="s">
        <v>2265</v>
      </c>
      <c r="F69" s="1081"/>
      <c r="G69" s="1165">
        <f>G64*G67*G68</f>
        <v>2395000</v>
      </c>
      <c r="L69" s="1172" t="str">
        <f>'Points System'!H752</f>
        <v>(i)</v>
      </c>
      <c r="M69" s="2150" t="s">
        <v>1543</v>
      </c>
      <c r="N69" s="2151"/>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t="s">
        <v>553</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119.75</v>
      </c>
    </row>
    <row r="80" spans="2:14" ht="15" customHeight="1">
      <c r="E80" s="1124" t="s">
        <v>2245</v>
      </c>
      <c r="F80" s="1155" t="s">
        <v>2302</v>
      </c>
      <c r="G80" s="1166">
        <v>25000</v>
      </c>
    </row>
    <row r="81" spans="2:14" ht="15" customHeight="1">
      <c r="E81" s="1160" t="s">
        <v>2266</v>
      </c>
      <c r="F81" s="1081"/>
      <c r="G81" s="1165">
        <f>G77*G80*G64</f>
        <v>2993750</v>
      </c>
    </row>
    <row r="82" spans="2:14" ht="15" customHeight="1">
      <c r="C82" s="1115"/>
      <c r="E82" s="1115"/>
    </row>
    <row r="83" spans="2:14" ht="15" customHeight="1">
      <c r="E83" s="1160" t="s">
        <v>2243</v>
      </c>
      <c r="G83" s="1165">
        <f>G81+G69+G65</f>
        <v>8741750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52" t="s">
        <v>2272</v>
      </c>
      <c r="M87" s="2153"/>
      <c r="N87" s="1173">
        <v>30000</v>
      </c>
    </row>
    <row r="88" spans="2:14" ht="15" customHeight="1">
      <c r="C88" s="1115" t="s">
        <v>2289</v>
      </c>
      <c r="G88" s="1119" t="str">
        <f>IF(Application!D211="Large Family","Yes","No")</f>
        <v>Yes</v>
      </c>
      <c r="L88" s="2144" t="s">
        <v>2236</v>
      </c>
      <c r="M88" s="2145"/>
      <c r="N88" s="1174">
        <v>20000</v>
      </c>
    </row>
    <row r="89" spans="2:14" ht="15" customHeight="1" thickBot="1">
      <c r="C89" s="1115" t="s">
        <v>2270</v>
      </c>
      <c r="G89" s="1078"/>
      <c r="L89" s="2146" t="s">
        <v>2273</v>
      </c>
      <c r="M89" s="2147"/>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119.75</v>
      </c>
    </row>
    <row r="96" spans="2:14" ht="15" customHeight="1">
      <c r="D96" s="1081"/>
      <c r="E96" s="1160" t="s">
        <v>2244</v>
      </c>
      <c r="F96" s="1081"/>
      <c r="G96" s="1165">
        <f>G95*G94*G92</f>
        <v>3592500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119.75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1" t="s">
        <v>2637</v>
      </c>
      <c r="D110" s="2141"/>
      <c r="E110" s="2141"/>
      <c r="F110" s="2141"/>
    </row>
    <row r="111" spans="2:9" ht="15" customHeight="1">
      <c r="C111" s="2141"/>
      <c r="D111" s="2141"/>
      <c r="E111" s="2141"/>
      <c r="F111" s="2141"/>
      <c r="G111" s="1078"/>
    </row>
    <row r="112" spans="2:9" ht="15" customHeight="1"/>
    <row r="113" spans="2:9" ht="15" customHeight="1">
      <c r="C113" s="1079" t="s">
        <v>2640</v>
      </c>
      <c r="G113" s="2142"/>
      <c r="H113" s="2142"/>
    </row>
    <row r="114" spans="2:9" ht="15" customHeight="1">
      <c r="G114" s="2142"/>
      <c r="H114" s="2142"/>
    </row>
    <row r="115" spans="2:9" ht="15" customHeight="1">
      <c r="G115" s="2143"/>
      <c r="H115" s="2143"/>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2310</v>
      </c>
      <c r="G122" s="1116">
        <f>MEDIAN((Application!BR806:BR863))</f>
        <v>489600</v>
      </c>
    </row>
    <row r="123" spans="2:9" ht="15" customHeight="1">
      <c r="D123" s="1081"/>
      <c r="E123" s="1160" t="s">
        <v>2312</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Ryan Andrusz</cp:lastModifiedBy>
  <cp:lastPrinted>2022-06-02T00:41:49Z</cp:lastPrinted>
  <dcterms:created xsi:type="dcterms:W3CDTF">2007-12-27T18:26:28Z</dcterms:created>
  <dcterms:modified xsi:type="dcterms:W3CDTF">2024-08-27T14:02:06Z</dcterms:modified>
</cp:coreProperties>
</file>