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AHAFILE1\Shares\ComDev\HOUSING DEVELOPMENT\NH_Block_A\04_Financing\4.1_TCAC_9pct\2025_R2_9pct_PSH II\"/>
    </mc:Choice>
  </mc:AlternateContent>
  <xr:revisionPtr revIDLastSave="0" documentId="13_ncr:1_{79232427-A9C0-4409-8239-E433C1E3DCC0}" xr6:coauthVersionLast="47" xr6:coauthVersionMax="47" xr10:uidLastSave="{00000000-0000-0000-0000-000000000000}"/>
  <bookViews>
    <workbookView xWindow="-28920" yWindow="-120" windowWidth="29040" windowHeight="1584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Sheet1" sheetId="29" r:id="rId8"/>
    <sheet name="Points System" sheetId="6" r:id="rId9"/>
    <sheet name="Disaster Credit Tie Breaker" sheetId="28" state="hidden" r:id="rId10"/>
    <sheet name="Tie Breaker" sheetId="25" r:id="rId11"/>
    <sheet name="15 Year Pro Forma" sheetId="9" r:id="rId12"/>
    <sheet name="Subsidy Contract Calculation" sheetId="10" r:id="rId13"/>
    <sheet name="Applicant Notes" sheetId="12" r:id="rId14"/>
    <sheet name="Post-award Instructions" sheetId="16" r:id="rId15"/>
    <sheet name="SCE Basis and Credits" sheetId="26" r:id="rId16"/>
    <sheet name="FCE Basis and Credits" sheetId="27" r:id="rId17"/>
    <sheet name="Post-award Project Cost Changes" sheetId="15" r:id="rId18"/>
  </sheets>
  <externalReferences>
    <externalReference r:id="rId19"/>
    <externalReference r:id="rId20"/>
  </externalReferences>
  <definedNames>
    <definedName name="_xlnm._FilterDatabase" localSheetId="3" hidden="1">Application!$885:$1034</definedName>
    <definedName name="Alameda">Application!$BP$696:$BV$753</definedName>
    <definedName name="bedrooms" localSheetId="2">#REF!</definedName>
    <definedName name="bedrooms" localSheetId="10">#REF!</definedName>
    <definedName name="bedrooms">Application!$BP$695:$BV$695</definedName>
    <definedName name="ListofSources">Application!$AZ$525:$AZ$550</definedName>
    <definedName name="PRINT" localSheetId="10">#REF!</definedName>
    <definedName name="PRINT">#REF!</definedName>
    <definedName name="_xlnm.Print_Area" localSheetId="11">'15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6">'FCE Basis and Credits'!$A$1:$AN$81</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6">'Sources and Basis Breakdown'!$A$1:$J$105</definedName>
    <definedName name="_xlnm.Print_Area" localSheetId="4">'Sources and Uses Budget'!$A$1:$T$142</definedName>
    <definedName name="_xlnm.Print_Area" localSheetId="12">'Subsidy Contract Calculation'!$A$1:$I$44</definedName>
    <definedName name="_xlnm.Print_Area" localSheetId="10">'Tie Breaker'!$A$1:$S$110</definedName>
    <definedName name="_xlnm.Print_Titles" localSheetId="17">'Post-award Project Cost Changes'!$2:$3</definedName>
    <definedName name="_xlnm.Print_Titles" localSheetId="6">'Sources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1"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6"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10" hidden="1">'Tie Breaker'!$A:$S</definedName>
    <definedName name="Z_48A1B9AA_9520_4513_968D_1FB22989E0AF_.wvu.PrintTitles" localSheetId="17"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6"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 name="Z_48A1B9AA_9520_4513_968D_1FB22989E0AF_.wvu.Rows" localSheetId="10"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4" l="1"/>
  <c r="C10" i="4"/>
  <c r="E6" i="4"/>
  <c r="C6" i="4"/>
  <c r="C4" i="4"/>
  <c r="W854" i="3"/>
  <c r="G679" i="3"/>
  <c r="G680" i="3"/>
  <c r="G678" i="3"/>
  <c r="AA932" i="3"/>
  <c r="AA933" i="3"/>
  <c r="J10" i="4" l="1"/>
  <c r="S10" i="4"/>
  <c r="E51" i="25"/>
  <c r="E91" i="25"/>
  <c r="E90" i="25"/>
  <c r="D91" i="25"/>
  <c r="D90" i="25"/>
  <c r="C91" i="25"/>
  <c r="C90" i="25"/>
  <c r="B43" i="25"/>
  <c r="B44" i="25"/>
  <c r="B45" i="25"/>
  <c r="B46" i="25"/>
  <c r="B47" i="25"/>
  <c r="B42" i="25"/>
  <c r="C5" i="9"/>
  <c r="C7" i="9" s="1"/>
  <c r="C9" i="9" s="1"/>
  <c r="AB70" i="5"/>
  <c r="AB49" i="5"/>
  <c r="S41" i="4"/>
  <c r="E101" i="4"/>
  <c r="E100" i="4"/>
  <c r="E99" i="4"/>
  <c r="E94" i="4"/>
  <c r="E91" i="4"/>
  <c r="E90" i="4"/>
  <c r="E89" i="4"/>
  <c r="E86" i="4"/>
  <c r="E73" i="4"/>
  <c r="E72" i="4"/>
  <c r="E71" i="4"/>
  <c r="E67" i="4"/>
  <c r="E66" i="4"/>
  <c r="E65" i="4"/>
  <c r="E59" i="4"/>
  <c r="E58" i="4"/>
  <c r="E56" i="4"/>
  <c r="E52" i="4"/>
  <c r="E48" i="4"/>
  <c r="E47" i="4"/>
  <c r="E43" i="4"/>
  <c r="E41" i="4"/>
  <c r="E40" i="4"/>
  <c r="E37" i="4"/>
  <c r="E9" i="4"/>
  <c r="E7" i="4"/>
  <c r="E5" i="4"/>
  <c r="C93" i="4"/>
  <c r="E93" i="4" s="1"/>
  <c r="C92" i="4"/>
  <c r="E92" i="4" s="1"/>
  <c r="C36" i="4"/>
  <c r="E36" i="4" s="1"/>
  <c r="C91" i="4"/>
  <c r="C89" i="4"/>
  <c r="C88" i="4"/>
  <c r="E88" i="4" s="1"/>
  <c r="C87" i="4"/>
  <c r="E87" i="4" s="1"/>
  <c r="C85" i="4"/>
  <c r="E85" i="4" s="1"/>
  <c r="C84" i="4"/>
  <c r="E84" i="4" s="1"/>
  <c r="C83" i="4"/>
  <c r="E83" i="4" s="1"/>
  <c r="C82" i="4"/>
  <c r="E82" i="4" s="1"/>
  <c r="C75" i="4"/>
  <c r="E75" i="4" s="1"/>
  <c r="C79" i="4"/>
  <c r="E79" i="4" s="1"/>
  <c r="C74" i="4"/>
  <c r="AC873" i="3" s="1"/>
  <c r="C68" i="4"/>
  <c r="E68" i="4" s="1"/>
  <c r="C64" i="4"/>
  <c r="E64" i="4" s="1"/>
  <c r="C60" i="4"/>
  <c r="E60" i="4" s="1"/>
  <c r="C57" i="4"/>
  <c r="E57" i="4" s="1"/>
  <c r="C55" i="4"/>
  <c r="E55" i="4" s="1"/>
  <c r="C51" i="4"/>
  <c r="E51" i="4" s="1"/>
  <c r="C50" i="4"/>
  <c r="E50" i="4" s="1"/>
  <c r="C49" i="4"/>
  <c r="E49" i="4" s="1"/>
  <c r="C43" i="4"/>
  <c r="C40" i="4"/>
  <c r="C37" i="4"/>
  <c r="C35" i="4"/>
  <c r="E35" i="4" s="1"/>
  <c r="C32" i="4"/>
  <c r="C33" i="4" s="1"/>
  <c r="E33" i="4" s="1"/>
  <c r="C31" i="4"/>
  <c r="E31" i="4" s="1"/>
  <c r="C13" i="4"/>
  <c r="E13" i="4" s="1"/>
  <c r="I934" i="3"/>
  <c r="AC877" i="3"/>
  <c r="AC876" i="3"/>
  <c r="E74" i="4" l="1"/>
  <c r="AF1010" i="3"/>
  <c r="E32" i="4"/>
  <c r="E6" i="10"/>
  <c r="E4" i="10"/>
  <c r="C636" i="3"/>
  <c r="AM566" i="3"/>
  <c r="AO637" i="3" s="1"/>
  <c r="N29" i="4" s="1"/>
  <c r="AM564" i="3"/>
  <c r="AA903" i="3" s="1"/>
  <c r="AM563" i="3"/>
  <c r="AO635" i="3" s="1"/>
  <c r="AM562" i="3"/>
  <c r="AO634" i="3" s="1"/>
  <c r="E45" i="25" s="1"/>
  <c r="AM561" i="3"/>
  <c r="AO633" i="3" s="1"/>
  <c r="E44" i="25" s="1"/>
  <c r="AM560" i="3"/>
  <c r="AO632" i="3" s="1"/>
  <c r="E43" i="25" s="1"/>
  <c r="AM559" i="3"/>
  <c r="AO631" i="3" s="1"/>
  <c r="E42" i="25" s="1"/>
  <c r="AM558" i="3"/>
  <c r="AO630" i="3" s="1"/>
  <c r="W557" i="3"/>
  <c r="Z665" i="3"/>
  <c r="Z664" i="3"/>
  <c r="Z663" i="3"/>
  <c r="Z662" i="3"/>
  <c r="G673" i="3"/>
  <c r="G665" i="3"/>
  <c r="G672" i="3"/>
  <c r="G671" i="3"/>
  <c r="G670" i="3"/>
  <c r="G664" i="3"/>
  <c r="G663" i="3"/>
  <c r="G662" i="3"/>
  <c r="G657" i="3"/>
  <c r="G656" i="3"/>
  <c r="G655" i="3"/>
  <c r="G654" i="3"/>
  <c r="Z673" i="3"/>
  <c r="Z657" i="3"/>
  <c r="Z649" i="3"/>
  <c r="Z672" i="3"/>
  <c r="Z671" i="3"/>
  <c r="Z670" i="3"/>
  <c r="Z656" i="3"/>
  <c r="Z655" i="3"/>
  <c r="Z654" i="3"/>
  <c r="Z648" i="3"/>
  <c r="Z647" i="3"/>
  <c r="Z646" i="3"/>
  <c r="G649" i="3"/>
  <c r="G648" i="3"/>
  <c r="G647" i="3"/>
  <c r="G646" i="3"/>
  <c r="C635" i="3"/>
  <c r="C634" i="3"/>
  <c r="C633" i="3"/>
  <c r="C632" i="3"/>
  <c r="C631" i="3"/>
  <c r="Q630" i="3"/>
  <c r="C630" i="3"/>
  <c r="Q558" i="3"/>
  <c r="Q557" i="3"/>
  <c r="AG394" i="3"/>
  <c r="J38" i="4" l="1"/>
  <c r="G4" i="4"/>
  <c r="G39" i="25"/>
  <c r="L30" i="4"/>
  <c r="L38" i="4" s="1"/>
  <c r="L62" i="4" s="1"/>
  <c r="L96" i="4" s="1"/>
  <c r="L104" i="4" s="1"/>
  <c r="E46" i="25"/>
  <c r="I10" i="4"/>
  <c r="E10" i="4" s="1"/>
  <c r="E11" i="4" s="1"/>
  <c r="AA925" i="3"/>
  <c r="K29" i="4"/>
  <c r="K38" i="4" s="1"/>
  <c r="K62" i="4" s="1"/>
  <c r="K96" i="4" s="1"/>
  <c r="K104" i="4" s="1"/>
  <c r="AA924" i="3"/>
  <c r="H30" i="4"/>
  <c r="H38" i="4" s="1"/>
  <c r="H62" i="4" s="1"/>
  <c r="H96" i="4" s="1"/>
  <c r="H104" i="4" s="1"/>
  <c r="AA934" i="3"/>
  <c r="AO636" i="3"/>
  <c r="W866" i="3"/>
  <c r="W859"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s="1"/>
  <c r="BE625" i="3"/>
  <c r="BG625" i="3" s="1"/>
  <c r="BI625" i="3"/>
  <c r="BK625" i="3" s="1"/>
  <c r="BE626" i="3"/>
  <c r="BG626" i="3" s="1"/>
  <c r="BI626" i="3"/>
  <c r="BK626" i="3" s="1"/>
  <c r="BE627" i="3"/>
  <c r="BG627" i="3" s="1"/>
  <c r="BI627" i="3"/>
  <c r="BK627" i="3" s="1"/>
  <c r="BE628" i="3"/>
  <c r="BG628" i="3" s="1"/>
  <c r="BI628" i="3"/>
  <c r="BK628" i="3"/>
  <c r="BE629" i="3"/>
  <c r="BG629" i="3" s="1"/>
  <c r="BI629" i="3"/>
  <c r="BK629" i="3" s="1"/>
  <c r="BE630" i="3"/>
  <c r="BG630" i="3" s="1"/>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s="1"/>
  <c r="BE606" i="3"/>
  <c r="BG606" i="3" s="1"/>
  <c r="BE607" i="3"/>
  <c r="BG607" i="3" s="1"/>
  <c r="BE608" i="3"/>
  <c r="BG608" i="3"/>
  <c r="BE609" i="3"/>
  <c r="BG609" i="3" s="1"/>
  <c r="BE610" i="3"/>
  <c r="BG610" i="3" s="1"/>
  <c r="BE611" i="3"/>
  <c r="BG611" i="3" s="1"/>
  <c r="BE612" i="3"/>
  <c r="BG612" i="3"/>
  <c r="BE613" i="3"/>
  <c r="BG613" i="3"/>
  <c r="BE614" i="3"/>
  <c r="BG614" i="3" s="1"/>
  <c r="BE615" i="3"/>
  <c r="BG615" i="3" s="1"/>
  <c r="BE616" i="3"/>
  <c r="BG616" i="3"/>
  <c r="BE617" i="3"/>
  <c r="BG617" i="3" s="1"/>
  <c r="BE618" i="3"/>
  <c r="BG618" i="3" s="1"/>
  <c r="BE619" i="3"/>
  <c r="BG619" i="3" s="1"/>
  <c r="BE620" i="3"/>
  <c r="BG620" i="3" s="1"/>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s="1"/>
  <c r="BE708" i="3"/>
  <c r="BF708" i="3"/>
  <c r="BG708" i="3" s="1"/>
  <c r="BE709" i="3"/>
  <c r="BF709" i="3"/>
  <c r="BG709" i="3" s="1"/>
  <c r="BE710" i="3"/>
  <c r="BF710" i="3" s="1"/>
  <c r="BG710" i="3" s="1"/>
  <c r="BE711" i="3"/>
  <c r="BF711" i="3"/>
  <c r="BG711" i="3" s="1"/>
  <c r="BE712" i="3"/>
  <c r="BF712" i="3" s="1"/>
  <c r="BG712" i="3" s="1"/>
  <c r="BE713" i="3"/>
  <c r="BF713" i="3" s="1"/>
  <c r="BG713" i="3" s="1"/>
  <c r="BE714" i="3"/>
  <c r="BF714" i="3" s="1"/>
  <c r="BG714" i="3" s="1"/>
  <c r="BE715" i="3"/>
  <c r="BF715" i="3" s="1"/>
  <c r="BG715" i="3" s="1"/>
  <c r="BE716" i="3"/>
  <c r="BF716" i="3" s="1"/>
  <c r="BG716" i="3" s="1"/>
  <c r="BE717" i="3"/>
  <c r="BF717" i="3"/>
  <c r="BG717" i="3" s="1"/>
  <c r="BE718" i="3"/>
  <c r="BF718" i="3"/>
  <c r="BG718" i="3" s="1"/>
  <c r="BE719" i="3"/>
  <c r="BF719" i="3"/>
  <c r="BG719" i="3" s="1"/>
  <c r="BE720" i="3"/>
  <c r="BF720" i="3" s="1"/>
  <c r="BG720" i="3" s="1"/>
  <c r="BE721" i="3"/>
  <c r="BF721" i="3" s="1"/>
  <c r="BG721" i="3" s="1"/>
  <c r="BE722" i="3"/>
  <c r="BF722" i="3" s="1"/>
  <c r="BG722" i="3" s="1"/>
  <c r="BE723" i="3"/>
  <c r="BF723" i="3" s="1"/>
  <c r="BG723" i="3" s="1"/>
  <c r="BE724" i="3"/>
  <c r="BF724" i="3"/>
  <c r="BG724" i="3" s="1"/>
  <c r="BE725" i="3"/>
  <c r="BF725" i="3" s="1"/>
  <c r="BG725" i="3" s="1"/>
  <c r="BE726" i="3"/>
  <c r="BF726" i="3" s="1"/>
  <c r="BG726" i="3" s="1"/>
  <c r="BE737" i="3"/>
  <c r="BF737" i="3"/>
  <c r="BG737" i="3" s="1"/>
  <c r="C65" i="25"/>
  <c r="Y22" i="5"/>
  <c r="AD22" i="5"/>
  <c r="AI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G29" i="9" s="1"/>
  <c r="I29" i="9" s="1"/>
  <c r="K29" i="9" s="1"/>
  <c r="M29" i="9" s="1"/>
  <c r="O29" i="9" s="1"/>
  <c r="Q29" i="9" s="1"/>
  <c r="S29" i="9" s="1"/>
  <c r="U29" i="9" s="1"/>
  <c r="W29" i="9" s="1"/>
  <c r="Y29" i="9" s="1"/>
  <c r="AA29" i="9" s="1"/>
  <c r="AC29" i="9" s="1"/>
  <c r="AE29" i="9" s="1"/>
  <c r="AG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1" i="3" s="1"/>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1" i="3" s="1"/>
  <c r="BX643" i="3"/>
  <c r="BX644" i="3"/>
  <c r="BX645" i="3"/>
  <c r="BX646" i="3"/>
  <c r="BX647" i="3"/>
  <c r="BX648" i="3"/>
  <c r="BX649" i="3"/>
  <c r="BX650" i="3"/>
  <c r="BX651" i="3"/>
  <c r="M28" i="28" s="1"/>
  <c r="BX652" i="3"/>
  <c r="CC599" i="3"/>
  <c r="CC637" i="3"/>
  <c r="CC638" i="3"/>
  <c r="CC639" i="3"/>
  <c r="CC640" i="3"/>
  <c r="CC641" i="3" s="1"/>
  <c r="CC643" i="3"/>
  <c r="CC644" i="3"/>
  <c r="CC645" i="3"/>
  <c r="CC646" i="3"/>
  <c r="CC647" i="3"/>
  <c r="CC648" i="3"/>
  <c r="CC649" i="3"/>
  <c r="CC650" i="3"/>
  <c r="CC651" i="3"/>
  <c r="M29" i="28"/>
  <c r="CC652" i="3"/>
  <c r="CM643" i="3"/>
  <c r="CM653" i="3" s="1"/>
  <c r="CM644" i="3"/>
  <c r="CM645" i="3"/>
  <c r="CM646" i="3"/>
  <c r="CM647" i="3"/>
  <c r="CM648" i="3"/>
  <c r="CM649" i="3"/>
  <c r="CM650" i="3"/>
  <c r="CM651" i="3"/>
  <c r="CM652" i="3"/>
  <c r="CM637" i="3"/>
  <c r="CM641" i="3" s="1"/>
  <c r="CM638" i="3"/>
  <c r="CM639" i="3"/>
  <c r="CM640" i="3"/>
  <c r="CM599" i="3"/>
  <c r="CM634" i="3" s="1"/>
  <c r="O608" i="6" s="1"/>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F594" i="6" s="1"/>
  <c r="U17" i="28"/>
  <c r="R9" i="4"/>
  <c r="R4" i="4"/>
  <c r="R10" i="4"/>
  <c r="R11" i="4" s="1"/>
  <c r="R30" i="28"/>
  <c r="AC703" i="3"/>
  <c r="AC704" i="3"/>
  <c r="AC705" i="3"/>
  <c r="AC706" i="3"/>
  <c r="AC707" i="3"/>
  <c r="AC708" i="3"/>
  <c r="AC709" i="3"/>
  <c r="AC710" i="3"/>
  <c r="AC711" i="3"/>
  <c r="AC712" i="3"/>
  <c r="AC713" i="3"/>
  <c r="AC714" i="3"/>
  <c r="AC715" i="3"/>
  <c r="H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s="1"/>
  <c r="BI605" i="3"/>
  <c r="BK605" i="3"/>
  <c r="BI606" i="3"/>
  <c r="BK606" i="3" s="1"/>
  <c r="BI607" i="3"/>
  <c r="BK607" i="3" s="1"/>
  <c r="BI608" i="3"/>
  <c r="BK608" i="3" s="1"/>
  <c r="BI609" i="3"/>
  <c r="BK609" i="3" s="1"/>
  <c r="BI610" i="3"/>
  <c r="BK610" i="3"/>
  <c r="BI611" i="3"/>
  <c r="BK611" i="3" s="1"/>
  <c r="BI612" i="3"/>
  <c r="BK612" i="3" s="1"/>
  <c r="BI613" i="3"/>
  <c r="BK613" i="3" s="1"/>
  <c r="BI614" i="3"/>
  <c r="BK614" i="3" s="1"/>
  <c r="BI615" i="3"/>
  <c r="BK615" i="3"/>
  <c r="BI616" i="3"/>
  <c r="BK616" i="3" s="1"/>
  <c r="BI617" i="3"/>
  <c r="BK617" i="3" s="1"/>
  <c r="BI618" i="3"/>
  <c r="BK618" i="3" s="1"/>
  <c r="BI619" i="3"/>
  <c r="BK619" i="3" s="1"/>
  <c r="BI620" i="3"/>
  <c r="BK620" i="3" s="1"/>
  <c r="BI621" i="3"/>
  <c r="BK621" i="3"/>
  <c r="BI622" i="3"/>
  <c r="BK622" i="3"/>
  <c r="BI623" i="3"/>
  <c r="BK623" i="3" s="1"/>
  <c r="BI634" i="3"/>
  <c r="BK634" i="3" s="1"/>
  <c r="BI600" i="3"/>
  <c r="BK600" i="3" s="1"/>
  <c r="J107" i="4"/>
  <c r="K107" i="4"/>
  <c r="L107" i="4"/>
  <c r="N107" i="4"/>
  <c r="O107" i="4"/>
  <c r="P107" i="4"/>
  <c r="Q107" i="4"/>
  <c r="I107" i="4"/>
  <c r="H107" i="4"/>
  <c r="G107" i="4"/>
  <c r="B100" i="15"/>
  <c r="C100" i="15"/>
  <c r="D100" i="15"/>
  <c r="B101" i="15"/>
  <c r="C101" i="15"/>
  <c r="D101" i="15"/>
  <c r="B102" i="15"/>
  <c r="C102" i="15"/>
  <c r="E102" i="15"/>
  <c r="D102" i="15"/>
  <c r="B103" i="15"/>
  <c r="C103" i="15"/>
  <c r="E103" i="15"/>
  <c r="D103" i="15"/>
  <c r="E100" i="15"/>
  <c r="B84" i="15"/>
  <c r="C84" i="15"/>
  <c r="D84" i="15"/>
  <c r="B85" i="15"/>
  <c r="C85" i="15"/>
  <c r="D85" i="15"/>
  <c r="B86" i="15"/>
  <c r="C86" i="15"/>
  <c r="E86" i="15" s="1"/>
  <c r="D86" i="15"/>
  <c r="B87" i="15"/>
  <c r="C87" i="15"/>
  <c r="D87" i="15"/>
  <c r="B88" i="15"/>
  <c r="C88" i="15"/>
  <c r="E88" i="15" s="1"/>
  <c r="D88" i="15"/>
  <c r="B89" i="15"/>
  <c r="C89" i="15"/>
  <c r="E89" i="15" s="1"/>
  <c r="D89" i="15"/>
  <c r="B90" i="15"/>
  <c r="C90" i="15"/>
  <c r="D90" i="15"/>
  <c r="B91" i="15"/>
  <c r="C91" i="15"/>
  <c r="D91" i="15"/>
  <c r="B92" i="15"/>
  <c r="C92" i="15"/>
  <c r="E92" i="15" s="1"/>
  <c r="D92" i="15"/>
  <c r="B93" i="15"/>
  <c r="C93" i="15"/>
  <c r="E93" i="15" s="1"/>
  <c r="D93" i="15"/>
  <c r="B94" i="15"/>
  <c r="C94" i="15"/>
  <c r="D94" i="15"/>
  <c r="B95" i="15"/>
  <c r="C95" i="15"/>
  <c r="E95" i="15"/>
  <c r="D95" i="15"/>
  <c r="D83" i="15"/>
  <c r="C83" i="15"/>
  <c r="B83" i="15"/>
  <c r="B80" i="15"/>
  <c r="C80" i="15"/>
  <c r="E80" i="15" s="1"/>
  <c r="D80"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8" i="15"/>
  <c r="C48" i="15"/>
  <c r="D48" i="15"/>
  <c r="B49" i="15"/>
  <c r="C49" i="15"/>
  <c r="E49" i="15"/>
  <c r="D49" i="15"/>
  <c r="B50" i="15"/>
  <c r="C50" i="15"/>
  <c r="E50" i="15" s="1"/>
  <c r="D50" i="15"/>
  <c r="B51" i="15"/>
  <c r="C51" i="15"/>
  <c r="E51" i="15" s="1"/>
  <c r="D51" i="15"/>
  <c r="B52" i="15"/>
  <c r="C52" i="15"/>
  <c r="D52" i="15"/>
  <c r="B53" i="15"/>
  <c r="C53" i="15"/>
  <c r="D53" i="15"/>
  <c r="B44" i="15"/>
  <c r="C44" i="15"/>
  <c r="D44" i="15"/>
  <c r="B42" i="15"/>
  <c r="C42" i="15"/>
  <c r="D42" i="15"/>
  <c r="D41" i="15"/>
  <c r="C41" i="15"/>
  <c r="B41" i="15"/>
  <c r="B38" i="15"/>
  <c r="C38" i="15"/>
  <c r="E38" i="15" s="1"/>
  <c r="D38" i="15"/>
  <c r="B32" i="15"/>
  <c r="C32" i="15"/>
  <c r="D32" i="15"/>
  <c r="B33" i="15"/>
  <c r="C33" i="15"/>
  <c r="D33" i="15"/>
  <c r="B34" i="15"/>
  <c r="C34" i="15"/>
  <c r="E34" i="15" s="1"/>
  <c r="D34"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B12" i="15" s="1"/>
  <c r="C11" i="15"/>
  <c r="C12" i="15" s="1"/>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73" i="15"/>
  <c r="E22" i="15"/>
  <c r="E91" i="15"/>
  <c r="E87" i="15"/>
  <c r="E67" i="15"/>
  <c r="E16" i="15"/>
  <c r="E57" i="15"/>
  <c r="E21" i="15"/>
  <c r="E28" i="15"/>
  <c r="E8" i="15"/>
  <c r="E48" i="15"/>
  <c r="E19" i="15"/>
  <c r="E42" i="15"/>
  <c r="E72" i="15"/>
  <c r="E6" i="15"/>
  <c r="E23"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B8" i="4" s="1"/>
  <c r="C11" i="4"/>
  <c r="B11" i="18" s="1"/>
  <c r="C26" i="4"/>
  <c r="C42" i="4"/>
  <c r="B42" i="4" s="1"/>
  <c r="C61" i="4"/>
  <c r="C62" i="15" s="1"/>
  <c r="C69" i="4"/>
  <c r="B69" i="4" s="1"/>
  <c r="C76" i="4"/>
  <c r="B76" i="4" s="1"/>
  <c r="C95" i="4"/>
  <c r="B94" i="18" s="1"/>
  <c r="C66" i="25"/>
  <c r="G67" i="25" s="1"/>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26" i="4"/>
  <c r="I42" i="4"/>
  <c r="I53" i="4"/>
  <c r="I61" i="4"/>
  <c r="I80" i="4"/>
  <c r="I69" i="4"/>
  <c r="I76" i="4"/>
  <c r="I95" i="4"/>
  <c r="J80" i="4"/>
  <c r="J8" i="4"/>
  <c r="J11" i="4"/>
  <c r="J26" i="4"/>
  <c r="J42" i="4"/>
  <c r="J53" i="4"/>
  <c r="J61" i="4"/>
  <c r="J69" i="4"/>
  <c r="J76" i="4"/>
  <c r="J95" i="4"/>
  <c r="K8" i="4"/>
  <c r="K11" i="4"/>
  <c r="K26" i="4"/>
  <c r="K42" i="4"/>
  <c r="K53" i="4"/>
  <c r="K61" i="4"/>
  <c r="K69" i="4"/>
  <c r="K76" i="4"/>
  <c r="K80" i="4"/>
  <c r="K95" i="4"/>
  <c r="L8" i="4"/>
  <c r="L11" i="4"/>
  <c r="L26" i="4"/>
  <c r="L42" i="4"/>
  <c r="L53" i="4"/>
  <c r="L61" i="4"/>
  <c r="L69" i="4"/>
  <c r="L76" i="4"/>
  <c r="L80" i="4"/>
  <c r="L95" i="4"/>
  <c r="M8" i="4"/>
  <c r="M11" i="4"/>
  <c r="M26" i="4"/>
  <c r="M42" i="4"/>
  <c r="M53" i="4"/>
  <c r="M61" i="4"/>
  <c r="M69" i="4"/>
  <c r="M76" i="4"/>
  <c r="M80" i="4"/>
  <c r="M95" i="4"/>
  <c r="N8" i="4"/>
  <c r="N11" i="4"/>
  <c r="N26" i="4"/>
  <c r="N38" i="4"/>
  <c r="N62" i="4" s="1"/>
  <c r="N96" i="4" s="1"/>
  <c r="N104" i="4" s="1"/>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G76" i="4"/>
  <c r="F76" i="4"/>
  <c r="E76" i="4"/>
  <c r="B78" i="18"/>
  <c r="H78" i="18"/>
  <c r="B79" i="4"/>
  <c r="R79" i="4"/>
  <c r="S79" i="4" s="1"/>
  <c r="E78"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8" i="18"/>
  <c r="E85" i="18"/>
  <c r="E51" i="18"/>
  <c r="E47" i="18"/>
  <c r="E46" i="18"/>
  <c r="E40"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81" i="18"/>
  <c r="B74" i="18"/>
  <c r="B73" i="18"/>
  <c r="B72" i="18"/>
  <c r="B71" i="18"/>
  <c r="B70" i="18"/>
  <c r="B67" i="18"/>
  <c r="B63" i="18"/>
  <c r="B59" i="18"/>
  <c r="B58" i="18"/>
  <c r="B57" i="18"/>
  <c r="B56" i="18"/>
  <c r="B55" i="18"/>
  <c r="B54"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5" i="6" s="1"/>
  <c r="AK688" i="6" s="1"/>
  <c r="T710" i="6" s="1"/>
  <c r="AF710" i="6" s="1"/>
  <c r="AO651" i="6"/>
  <c r="AO650" i="6"/>
  <c r="AO649" i="6"/>
  <c r="AJ271" i="6"/>
  <c r="AJ256" i="6"/>
  <c r="AJ230" i="6"/>
  <c r="AJ218" i="6"/>
  <c r="AJ139" i="6"/>
  <c r="AG524" i="6"/>
  <c r="AG520" i="6"/>
  <c r="AG513" i="6"/>
  <c r="AG508" i="6"/>
  <c r="AG485" i="6"/>
  <c r="R94" i="4"/>
  <c r="R82" i="4"/>
  <c r="R84" i="4"/>
  <c r="S84" i="4" s="1"/>
  <c r="E83" i="18" s="1"/>
  <c r="R85" i="4"/>
  <c r="S85" i="4" s="1"/>
  <c r="E84" i="18" s="1"/>
  <c r="R86" i="4"/>
  <c r="R87" i="4"/>
  <c r="R88" i="4"/>
  <c r="S88" i="4" s="1"/>
  <c r="E87" i="18" s="1"/>
  <c r="R89" i="4"/>
  <c r="R90" i="4"/>
  <c r="R91" i="4"/>
  <c r="S91" i="4" s="1"/>
  <c r="E90" i="18" s="1"/>
  <c r="R92" i="4"/>
  <c r="S92" i="4" s="1"/>
  <c r="E91" i="18" s="1"/>
  <c r="R93" i="4"/>
  <c r="S93" i="4" s="1"/>
  <c r="E92" i="18" s="1"/>
  <c r="R60" i="4"/>
  <c r="R59" i="4"/>
  <c r="R58" i="4"/>
  <c r="R57" i="4"/>
  <c r="R56" i="4"/>
  <c r="R52" i="4"/>
  <c r="R51" i="4"/>
  <c r="S51" i="4" s="1"/>
  <c r="E50" i="18" s="1"/>
  <c r="R50" i="4"/>
  <c r="S50" i="4" s="1"/>
  <c r="E49" i="18" s="1"/>
  <c r="R49" i="4"/>
  <c r="S49" i="4" s="1"/>
  <c r="E48" i="18" s="1"/>
  <c r="R48" i="4"/>
  <c r="R47" i="4"/>
  <c r="R43" i="4"/>
  <c r="S43" i="4" s="1"/>
  <c r="E42" i="18" s="1"/>
  <c r="R41" i="4"/>
  <c r="R40" i="4"/>
  <c r="S40" i="4" s="1"/>
  <c r="E39" i="18" s="1"/>
  <c r="R37" i="4"/>
  <c r="S37" i="4" s="1"/>
  <c r="E36" i="18" s="1"/>
  <c r="R35" i="4"/>
  <c r="S35" i="4" s="1"/>
  <c r="E34" i="18" s="1"/>
  <c r="R33" i="4"/>
  <c r="S33" i="4" s="1"/>
  <c r="E32" i="18" s="1"/>
  <c r="R32" i="4"/>
  <c r="S32" i="4" s="1"/>
  <c r="E31" i="18" s="1"/>
  <c r="R31" i="4"/>
  <c r="S31" i="4" s="1"/>
  <c r="E30" i="18" s="1"/>
  <c r="R27" i="4"/>
  <c r="R25" i="4"/>
  <c r="R23" i="4"/>
  <c r="R22" i="4"/>
  <c r="R21" i="4"/>
  <c r="R20" i="4"/>
  <c r="R19" i="4"/>
  <c r="R18" i="4"/>
  <c r="R17" i="4"/>
  <c r="R15" i="4"/>
  <c r="R14" i="4"/>
  <c r="R13" i="4"/>
  <c r="R7" i="4"/>
  <c r="R6" i="4"/>
  <c r="D5" i="15"/>
  <c r="D6" i="15"/>
  <c r="D7" i="15"/>
  <c r="D8" i="15"/>
  <c r="D10" i="15"/>
  <c r="D11" i="15"/>
  <c r="D12" i="15" s="1"/>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H8" i="4"/>
  <c r="H11" i="4"/>
  <c r="L12" i="4"/>
  <c r="B9" i="4"/>
  <c r="B10" i="4"/>
  <c r="F11" i="4"/>
  <c r="G11" i="4"/>
  <c r="O12" i="4"/>
  <c r="B13" i="4"/>
  <c r="B14" i="4"/>
  <c r="B17" i="4"/>
  <c r="B18" i="4"/>
  <c r="B19" i="4"/>
  <c r="B20" i="4"/>
  <c r="B21" i="4"/>
  <c r="B22" i="4"/>
  <c r="B23" i="4"/>
  <c r="B25" i="4"/>
  <c r="E26" i="4"/>
  <c r="F26" i="4"/>
  <c r="G26" i="4"/>
  <c r="H26" i="4"/>
  <c r="M103" i="4"/>
  <c r="Q103" i="4"/>
  <c r="B27" i="4"/>
  <c r="B29" i="4"/>
  <c r="B31" i="4"/>
  <c r="B32" i="4"/>
  <c r="B33" i="4"/>
  <c r="B35" i="4"/>
  <c r="B37" i="4"/>
  <c r="G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S64" i="4" s="1"/>
  <c r="B68" i="4"/>
  <c r="R68" i="4"/>
  <c r="S68" i="4" s="1"/>
  <c r="E67" i="18" s="1"/>
  <c r="E69" i="4"/>
  <c r="G69" i="4"/>
  <c r="H69" i="4"/>
  <c r="B71" i="4"/>
  <c r="B72" i="4"/>
  <c r="B73" i="4"/>
  <c r="B74" i="4"/>
  <c r="B75" i="4"/>
  <c r="H76" i="4"/>
  <c r="B82" i="4"/>
  <c r="B83" i="4"/>
  <c r="B84" i="4"/>
  <c r="B85" i="4"/>
  <c r="B86" i="4"/>
  <c r="B87" i="4"/>
  <c r="B88" i="4"/>
  <c r="B89" i="4"/>
  <c r="B90" i="4"/>
  <c r="B91" i="4"/>
  <c r="B92" i="4"/>
  <c r="B93" i="4"/>
  <c r="B94" i="4"/>
  <c r="E95" i="4"/>
  <c r="G95" i="4"/>
  <c r="H95" i="4"/>
  <c r="B99" i="4"/>
  <c r="R99" i="4"/>
  <c r="B100" i="4"/>
  <c r="R100" i="4"/>
  <c r="R102"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F12" i="4"/>
  <c r="B27" i="15"/>
  <c r="D27" i="15"/>
  <c r="C27" i="15"/>
  <c r="T62" i="4"/>
  <c r="AB47" i="26"/>
  <c r="I61" i="18"/>
  <c r="I95" i="18"/>
  <c r="I103" i="18"/>
  <c r="I105" i="18"/>
  <c r="J61" i="18"/>
  <c r="J95" i="18"/>
  <c r="J103" i="18"/>
  <c r="J105" i="18"/>
  <c r="K12" i="4"/>
  <c r="C61" i="18"/>
  <c r="C95" i="18"/>
  <c r="C103" i="18"/>
  <c r="C12" i="18"/>
  <c r="O62" i="4"/>
  <c r="O96" i="4"/>
  <c r="O104" i="4"/>
  <c r="D62" i="4"/>
  <c r="D96" i="4"/>
  <c r="D104" i="4"/>
  <c r="R26" i="4"/>
  <c r="H12" i="4"/>
  <c r="H11" i="18"/>
  <c r="Q62" i="4"/>
  <c r="Q96" i="4"/>
  <c r="Q104" i="4"/>
  <c r="T96" i="4"/>
  <c r="H61" i="18"/>
  <c r="M12" i="4"/>
  <c r="D12" i="18"/>
  <c r="P62" i="4"/>
  <c r="P96" i="4"/>
  <c r="P104" i="4" s="1"/>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C785" i="3"/>
  <c r="T7" i="5"/>
  <c r="AP381" i="6"/>
  <c r="AQ381" i="6" s="1"/>
  <c r="U69" i="25"/>
  <c r="AC870" i="3"/>
  <c r="AC764" i="3"/>
  <c r="Y20" i="27"/>
  <c r="Y22" i="27"/>
  <c r="AD20" i="27"/>
  <c r="AD22" i="27"/>
  <c r="AD23" i="27"/>
  <c r="AD26" i="27"/>
  <c r="E15" i="9"/>
  <c r="G15" i="9" s="1"/>
  <c r="AK540" i="6"/>
  <c r="AP368" i="6"/>
  <c r="AQ368" i="6"/>
  <c r="T20" i="27"/>
  <c r="T20" i="26"/>
  <c r="T22" i="26"/>
  <c r="Y20" i="26"/>
  <c r="Y22" i="26"/>
  <c r="AD20" i="26"/>
  <c r="AD22" i="26"/>
  <c r="AD23" i="26"/>
  <c r="AD26" i="26"/>
  <c r="AI20" i="27"/>
  <c r="AI22" i="27"/>
  <c r="AI23" i="27"/>
  <c r="AI26" i="27"/>
  <c r="AD67" i="5"/>
  <c r="E27" i="15"/>
  <c r="AJ206" i="6"/>
  <c r="AJ999" i="3"/>
  <c r="E12" i="4" l="1"/>
  <c r="E94" i="15"/>
  <c r="E84" i="15"/>
  <c r="Y23" i="5"/>
  <c r="E85" i="15"/>
  <c r="B60" i="18"/>
  <c r="S69" i="4"/>
  <c r="E68" i="18" s="1"/>
  <c r="G8" i="4"/>
  <c r="G62" i="4" s="1"/>
  <c r="G96" i="4" s="1"/>
  <c r="G104" i="4" s="1"/>
  <c r="E52" i="15"/>
  <c r="J62" i="4"/>
  <c r="J96" i="4" s="1"/>
  <c r="J104" i="4" s="1"/>
  <c r="B11" i="4"/>
  <c r="B12" i="4" s="1"/>
  <c r="G12" i="4"/>
  <c r="E90" i="15"/>
  <c r="M29" i="4"/>
  <c r="M38" i="4" s="1"/>
  <c r="M62" i="4" s="1"/>
  <c r="M96" i="4" s="1"/>
  <c r="M104" i="4" s="1"/>
  <c r="E47" i="25"/>
  <c r="G52" i="25" s="1"/>
  <c r="G53" i="25" s="1"/>
  <c r="B70" i="15"/>
  <c r="E41" i="15"/>
  <c r="B68" i="18"/>
  <c r="E63" i="18"/>
  <c r="E30" i="15"/>
  <c r="I11" i="4"/>
  <c r="I12" i="4" s="1"/>
  <c r="I30" i="4" s="1"/>
  <c r="I38" i="4" s="1"/>
  <c r="E33" i="15"/>
  <c r="E44" i="15"/>
  <c r="E75" i="15"/>
  <c r="R95" i="4"/>
  <c r="S83" i="4"/>
  <c r="R42" i="4"/>
  <c r="R76" i="4"/>
  <c r="E11" i="15"/>
  <c r="M107" i="4"/>
  <c r="E29" i="4"/>
  <c r="R29" i="4" s="1"/>
  <c r="S29" i="4" s="1"/>
  <c r="E28" i="18" s="1"/>
  <c r="E76" i="15"/>
  <c r="E83" i="15"/>
  <c r="R61" i="4"/>
  <c r="B8" i="18"/>
  <c r="E5" i="15"/>
  <c r="E32" i="15"/>
  <c r="S42" i="4"/>
  <c r="E41" i="18" s="1"/>
  <c r="B9" i="15"/>
  <c r="B13" i="15" s="1"/>
  <c r="R69" i="4"/>
  <c r="D9" i="15"/>
  <c r="D13" i="15" s="1"/>
  <c r="R8" i="4"/>
  <c r="R12" i="4" s="1"/>
  <c r="J12" i="4"/>
  <c r="C9" i="15"/>
  <c r="E12" i="15"/>
  <c r="E58" i="15"/>
  <c r="E56" i="15"/>
  <c r="D43" i="15"/>
  <c r="B62" i="15"/>
  <c r="E62" i="15" s="1"/>
  <c r="C43" i="15"/>
  <c r="E65" i="15"/>
  <c r="D62" i="15"/>
  <c r="B43" i="15"/>
  <c r="B61" i="4"/>
  <c r="B41" i="18"/>
  <c r="D70" i="15"/>
  <c r="C70" i="15"/>
  <c r="E7" i="15"/>
  <c r="D96" i="15"/>
  <c r="B95" i="4"/>
  <c r="C96" i="15"/>
  <c r="B96" i="15"/>
  <c r="B75" i="18"/>
  <c r="D77" i="15"/>
  <c r="C77" i="15"/>
  <c r="B77" i="15"/>
  <c r="C12" i="4"/>
  <c r="B12" i="18" s="1"/>
  <c r="AS355" i="6"/>
  <c r="AS357" i="6"/>
  <c r="AK474" i="6" s="1"/>
  <c r="T704" i="6" s="1"/>
  <c r="AO695" i="6" s="1"/>
  <c r="DC635" i="3"/>
  <c r="T611" i="6" s="1"/>
  <c r="AZ574" i="6" s="1"/>
  <c r="CC634" i="3"/>
  <c r="AC871" i="3"/>
  <c r="AC872" i="3" s="1"/>
  <c r="C742" i="3"/>
  <c r="AZ197" i="6"/>
  <c r="CX635" i="3"/>
  <c r="T612" i="6" s="1"/>
  <c r="DR635" i="3"/>
  <c r="T608" i="6" s="1"/>
  <c r="AZ571" i="6" s="1"/>
  <c r="CS635" i="3"/>
  <c r="T613" i="6" s="1"/>
  <c r="AZ576" i="6" s="1"/>
  <c r="AZ198" i="6"/>
  <c r="L29" i="28"/>
  <c r="V29" i="28" s="1"/>
  <c r="BN653" i="3"/>
  <c r="CH641" i="3"/>
  <c r="BS653" i="3"/>
  <c r="BW654" i="3" s="1"/>
  <c r="BN634" i="3"/>
  <c r="L26" i="28" s="1"/>
  <c r="V26" i="28" s="1"/>
  <c r="AZ260" i="3"/>
  <c r="BO245" i="3" s="1"/>
  <c r="T269" i="3" s="1"/>
  <c r="AA28" i="9"/>
  <c r="R969" i="3"/>
  <c r="AC784" i="3"/>
  <c r="BE738" i="3"/>
  <c r="BF703" i="3" s="1"/>
  <c r="BG703" i="3" s="1"/>
  <c r="DH635" i="3"/>
  <c r="T610" i="6" s="1"/>
  <c r="BQ527" i="6" s="1"/>
  <c r="BQ531" i="6" s="1"/>
  <c r="CH653" i="3"/>
  <c r="CL654" i="3" s="1"/>
  <c r="CH634" i="3"/>
  <c r="AZ199" i="6" s="1"/>
  <c r="AY738" i="3"/>
  <c r="AZ731" i="3" s="1"/>
  <c r="BA731" i="3" s="1"/>
  <c r="BA1000" i="3"/>
  <c r="AF1000" i="3" s="1"/>
  <c r="BS634" i="3"/>
  <c r="O612" i="6" s="1"/>
  <c r="T738" i="3"/>
  <c r="Y788" i="3" s="1"/>
  <c r="E4" i="9" s="1"/>
  <c r="G4" i="9" s="1"/>
  <c r="G5" i="9" s="1"/>
  <c r="BX634" i="3"/>
  <c r="O611" i="6" s="1"/>
  <c r="CC653" i="3"/>
  <c r="CG654" i="3" s="1"/>
  <c r="BS641" i="3"/>
  <c r="Q591" i="6"/>
  <c r="W591" i="6" s="1"/>
  <c r="R970" i="3"/>
  <c r="R973" i="3"/>
  <c r="BX653" i="3"/>
  <c r="CB654" i="3" s="1"/>
  <c r="DM635" i="3"/>
  <c r="T609" i="6" s="1"/>
  <c r="Y609" i="6" s="1"/>
  <c r="CH546" i="6" s="1"/>
  <c r="BE545" i="6" s="1"/>
  <c r="BE550" i="6" s="1"/>
  <c r="R972" i="3"/>
  <c r="Q581" i="6"/>
  <c r="W581" i="6" s="1"/>
  <c r="AC581" i="6" s="1"/>
  <c r="AG446" i="3"/>
  <c r="AI27" i="27" s="1"/>
  <c r="AI28" i="27" s="1"/>
  <c r="AD63" i="27" s="1"/>
  <c r="C67" i="25"/>
  <c r="AD27" i="27"/>
  <c r="AD28" i="27" s="1"/>
  <c r="BG635" i="3"/>
  <c r="CQ654" i="3"/>
  <c r="CM659" i="3"/>
  <c r="AU571" i="6"/>
  <c r="AO608" i="6"/>
  <c r="CS641" i="3"/>
  <c r="L28" i="28"/>
  <c r="V28" i="28" s="1"/>
  <c r="BX659" i="3"/>
  <c r="AB971" i="3" s="1"/>
  <c r="AJ971" i="3" s="1"/>
  <c r="BK635" i="3"/>
  <c r="BR654" i="3"/>
  <c r="Y112" i="6"/>
  <c r="AZ201" i="6"/>
  <c r="O610" i="6"/>
  <c r="CQ635" i="3"/>
  <c r="CG635" i="3"/>
  <c r="CC659" i="3"/>
  <c r="AB972" i="3" s="1"/>
  <c r="AD7" i="5"/>
  <c r="E9" i="9"/>
  <c r="K28" i="9"/>
  <c r="M28" i="9"/>
  <c r="U28" i="9"/>
  <c r="AK283" i="6"/>
  <c r="T703" i="6" s="1"/>
  <c r="AO694" i="6" s="1"/>
  <c r="AO693" i="6" s="1"/>
  <c r="T702" i="6" s="1"/>
  <c r="AF702" i="6" s="1"/>
  <c r="Q589" i="6"/>
  <c r="W589" i="6" s="1"/>
  <c r="Y28" i="9"/>
  <c r="T698" i="6"/>
  <c r="AF698" i="6" s="1"/>
  <c r="AG28" i="9"/>
  <c r="Q588" i="6"/>
  <c r="W588" i="6" s="1"/>
  <c r="AC588" i="6" s="1"/>
  <c r="Q585" i="6"/>
  <c r="W585" i="6" s="1"/>
  <c r="AC585" i="6" s="1"/>
  <c r="AC28" i="9"/>
  <c r="I28" i="9"/>
  <c r="G9" i="9"/>
  <c r="I8" i="9"/>
  <c r="K8" i="9" s="1"/>
  <c r="M8" i="9" s="1"/>
  <c r="O8" i="9" s="1"/>
  <c r="AK61" i="6"/>
  <c r="Y608" i="6"/>
  <c r="BE571" i="6" s="1"/>
  <c r="AP581" i="6" s="1"/>
  <c r="BJ571" i="6" s="1"/>
  <c r="BJ577" i="6" s="1"/>
  <c r="AE28" i="9"/>
  <c r="W28" i="9"/>
  <c r="Q587" i="6"/>
  <c r="W587" i="6" s="1"/>
  <c r="AC587" i="6" s="1"/>
  <c r="S28" i="9"/>
  <c r="G28" i="9"/>
  <c r="Q28" i="9"/>
  <c r="Q590" i="6"/>
  <c r="W590" i="6" s="1"/>
  <c r="Q582" i="6"/>
  <c r="W582" i="6" s="1"/>
  <c r="AC582" i="6" s="1"/>
  <c r="Y611" i="6"/>
  <c r="BD524" i="6"/>
  <c r="Q586" i="6"/>
  <c r="W586" i="6" s="1"/>
  <c r="AC586" i="6" s="1"/>
  <c r="Y26" i="5"/>
  <c r="I15" i="9"/>
  <c r="G22" i="9"/>
  <c r="F40" i="10"/>
  <c r="I40" i="10"/>
  <c r="Z796" i="3" s="1"/>
  <c r="L944" i="3" s="1"/>
  <c r="L945" i="3" s="1"/>
  <c r="BU528" i="6"/>
  <c r="BU531" i="6" s="1"/>
  <c r="E22" i="9"/>
  <c r="E35" i="9" s="1"/>
  <c r="AD63" i="5"/>
  <c r="AI7" i="5"/>
  <c r="AI11" i="5" s="1"/>
  <c r="AI23" i="5" s="1"/>
  <c r="AI26" i="5" s="1"/>
  <c r="E9" i="15" l="1"/>
  <c r="E70" i="15"/>
  <c r="I62" i="4"/>
  <c r="I96" i="4" s="1"/>
  <c r="I104" i="4" s="1"/>
  <c r="E82" i="18"/>
  <c r="S95" i="4"/>
  <c r="E94" i="18" s="1"/>
  <c r="C13" i="15"/>
  <c r="E13" i="15" s="1"/>
  <c r="E43" i="15"/>
  <c r="E77" i="15"/>
  <c r="E96" i="15"/>
  <c r="BF706" i="3"/>
  <c r="BG706" i="3" s="1"/>
  <c r="BF705" i="3"/>
  <c r="BG705" i="3" s="1"/>
  <c r="Y612" i="6"/>
  <c r="BE575" i="6" s="1"/>
  <c r="AP585" i="6" s="1"/>
  <c r="AZ575" i="6"/>
  <c r="BY529" i="6"/>
  <c r="BY531" i="6" s="1"/>
  <c r="BF704" i="3"/>
  <c r="BG704" i="3" s="1"/>
  <c r="BG738" i="3" s="1"/>
  <c r="AM738" i="3" s="1"/>
  <c r="AZ722" i="3"/>
  <c r="BA722" i="3" s="1"/>
  <c r="AZ725" i="3"/>
  <c r="BA725" i="3" s="1"/>
  <c r="AZ734" i="3"/>
  <c r="BA734" i="3" s="1"/>
  <c r="CC530" i="6"/>
  <c r="CC531" i="6" s="1"/>
  <c r="AZ713" i="3"/>
  <c r="BA713" i="3" s="1"/>
  <c r="AZ711" i="3"/>
  <c r="BA711" i="3" s="1"/>
  <c r="AZ733" i="3"/>
  <c r="BA733" i="3" s="1"/>
  <c r="Y610" i="6"/>
  <c r="CH547" i="6" s="1"/>
  <c r="BI546" i="6" s="1"/>
  <c r="BI550" i="6" s="1"/>
  <c r="BN659" i="3"/>
  <c r="AB969" i="3" s="1"/>
  <c r="AJ969" i="3"/>
  <c r="AZ572" i="6"/>
  <c r="AP533" i="6"/>
  <c r="BL583" i="6" s="1"/>
  <c r="L30" i="28"/>
  <c r="V30" i="28" s="1"/>
  <c r="AZ573" i="6"/>
  <c r="L27" i="28"/>
  <c r="V27" i="28" s="1"/>
  <c r="T614" i="6"/>
  <c r="BW635" i="3"/>
  <c r="BR635" i="3"/>
  <c r="O613" i="6"/>
  <c r="AO613" i="6" s="1"/>
  <c r="CH549" i="6"/>
  <c r="BS659" i="3"/>
  <c r="AB970" i="3" s="1"/>
  <c r="AJ970" i="3" s="1"/>
  <c r="CA529" i="6"/>
  <c r="CA531" i="6" s="1"/>
  <c r="BY532" i="6" s="1"/>
  <c r="AJ972" i="3"/>
  <c r="AP536" i="6"/>
  <c r="BJ586" i="6" s="1"/>
  <c r="BJ588" i="6" s="1"/>
  <c r="AO612" i="6"/>
  <c r="AU575" i="6"/>
  <c r="O609" i="6"/>
  <c r="AU572" i="6" s="1"/>
  <c r="AZ709" i="3"/>
  <c r="BA709" i="3" s="1"/>
  <c r="CL635" i="3"/>
  <c r="C40" i="10"/>
  <c r="AZ707" i="3"/>
  <c r="BA707" i="3" s="1"/>
  <c r="BK565" i="6"/>
  <c r="AZ737" i="3"/>
  <c r="BA737" i="3" s="1"/>
  <c r="Y787" i="3"/>
  <c r="T27" i="27"/>
  <c r="CB635" i="3"/>
  <c r="AZ705" i="3"/>
  <c r="BA705" i="3" s="1"/>
  <c r="Y27" i="26"/>
  <c r="AI27" i="26"/>
  <c r="AZ706" i="3"/>
  <c r="BA706" i="3" s="1"/>
  <c r="CH659" i="3"/>
  <c r="AB973" i="3" s="1"/>
  <c r="AZ724" i="3"/>
  <c r="BA724" i="3" s="1"/>
  <c r="T27" i="5"/>
  <c r="AZ719" i="3"/>
  <c r="BA719" i="3" s="1"/>
  <c r="AD27" i="5"/>
  <c r="AD28" i="5" s="1"/>
  <c r="AZ703" i="3"/>
  <c r="BA703" i="3" s="1"/>
  <c r="AP534" i="6"/>
  <c r="BB584" i="6" s="1"/>
  <c r="BB588" i="6" s="1"/>
  <c r="AZ736" i="3"/>
  <c r="BA736" i="3" s="1"/>
  <c r="AZ708" i="3"/>
  <c r="BA708" i="3" s="1"/>
  <c r="Y27" i="27"/>
  <c r="AZ732" i="3"/>
  <c r="BA732" i="3" s="1"/>
  <c r="BM526" i="6"/>
  <c r="BM531" i="6" s="1"/>
  <c r="CQ655" i="3"/>
  <c r="AZ728" i="3"/>
  <c r="BA728" i="3" s="1"/>
  <c r="AZ712" i="3"/>
  <c r="BA712" i="3" s="1"/>
  <c r="AI27" i="5"/>
  <c r="AI28" i="5" s="1"/>
  <c r="AZ714" i="3"/>
  <c r="BA714" i="3" s="1"/>
  <c r="AZ704" i="3"/>
  <c r="BA704" i="3" s="1"/>
  <c r="AZ729" i="3"/>
  <c r="BA729" i="3" s="1"/>
  <c r="AZ730" i="3"/>
  <c r="BA730" i="3" s="1"/>
  <c r="AZ718" i="3"/>
  <c r="BA718" i="3" s="1"/>
  <c r="AZ721" i="3"/>
  <c r="BA721" i="3" s="1"/>
  <c r="BE572" i="6"/>
  <c r="AP582" i="6" s="1"/>
  <c r="BO572" i="6" s="1"/>
  <c r="BO577" i="6" s="1"/>
  <c r="BO526" i="6"/>
  <c r="BO531" i="6" s="1"/>
  <c r="AZ710" i="3"/>
  <c r="BA710" i="3" s="1"/>
  <c r="AZ723" i="3"/>
  <c r="BA723" i="3" s="1"/>
  <c r="Y27" i="5"/>
  <c r="Y28" i="5" s="1"/>
  <c r="AZ715" i="3"/>
  <c r="BA715" i="3" s="1"/>
  <c r="AZ727" i="3"/>
  <c r="BA727" i="3" s="1"/>
  <c r="AD27" i="26"/>
  <c r="AD28" i="26" s="1"/>
  <c r="AP535" i="6"/>
  <c r="BP585" i="6" s="1"/>
  <c r="AZ726" i="3"/>
  <c r="BA726" i="3" s="1"/>
  <c r="AZ720" i="3"/>
  <c r="BA720" i="3" s="1"/>
  <c r="T27" i="26"/>
  <c r="AZ735" i="3"/>
  <c r="BA735" i="3" s="1"/>
  <c r="AP548" i="6"/>
  <c r="AZ717" i="3"/>
  <c r="BA717" i="3" s="1"/>
  <c r="AP537" i="6"/>
  <c r="BN587" i="6" s="1"/>
  <c r="BN588" i="6" s="1"/>
  <c r="AZ716" i="3"/>
  <c r="BA716" i="3" s="1"/>
  <c r="AZ202" i="6"/>
  <c r="BA203" i="6" s="1"/>
  <c r="AZ203" i="6"/>
  <c r="E5" i="9"/>
  <c r="AO610" i="6"/>
  <c r="AU573" i="6"/>
  <c r="AC592" i="6"/>
  <c r="T707" i="6" s="1"/>
  <c r="AO698" i="6" s="1"/>
  <c r="BF738" i="3"/>
  <c r="M9" i="9"/>
  <c r="I4" i="9"/>
  <c r="I5" i="9" s="1"/>
  <c r="I9" i="9"/>
  <c r="AU574" i="6"/>
  <c r="AO611" i="6"/>
  <c r="G35" i="9"/>
  <c r="K9" i="9"/>
  <c r="BE574" i="6"/>
  <c r="AP584" i="6" s="1"/>
  <c r="CH548" i="6"/>
  <c r="BW528" i="6"/>
  <c r="BW531" i="6" s="1"/>
  <c r="BU532" i="6" s="1"/>
  <c r="Q8" i="9"/>
  <c r="O9" i="9"/>
  <c r="K15" i="9"/>
  <c r="I22" i="9"/>
  <c r="I35" i="9" s="1"/>
  <c r="E6" i="9"/>
  <c r="Z805" i="3"/>
  <c r="BM547" i="6" l="1"/>
  <c r="BS527" i="6"/>
  <c r="BS531" i="6" s="1"/>
  <c r="BQ532" i="6" s="1"/>
  <c r="AX583" i="6"/>
  <c r="AX588" i="6" s="1"/>
  <c r="AX589" i="6" s="1"/>
  <c r="Y613" i="6"/>
  <c r="AU576" i="6"/>
  <c r="BD583" i="6"/>
  <c r="BD588" i="6" s="1"/>
  <c r="BB589" i="6" s="1"/>
  <c r="BE573" i="6"/>
  <c r="AP583" i="6" s="1"/>
  <c r="BH583" i="6"/>
  <c r="BP583" i="6"/>
  <c r="L31" i="28"/>
  <c r="V31" i="28"/>
  <c r="AO197" i="6"/>
  <c r="AP192" i="6" s="1"/>
  <c r="BM532" i="6"/>
  <c r="BU534" i="6" s="1"/>
  <c r="BY535" i="6"/>
  <c r="BH584" i="6"/>
  <c r="BH588" i="6" s="1"/>
  <c r="BF589" i="6" s="1"/>
  <c r="BF565" i="6"/>
  <c r="BK568" i="6" s="1"/>
  <c r="AU546" i="6" s="1"/>
  <c r="AX546" i="6" s="1"/>
  <c r="AO609" i="6"/>
  <c r="AY541" i="6"/>
  <c r="AS542" i="6" s="1"/>
  <c r="O614" i="6"/>
  <c r="AR606" i="6" s="1"/>
  <c r="AR613" i="6" s="1"/>
  <c r="BP586" i="6"/>
  <c r="CQ636" i="3"/>
  <c r="CQ657" i="3" s="1"/>
  <c r="U370" i="6" s="1"/>
  <c r="BL584" i="6"/>
  <c r="AJ973" i="3"/>
  <c r="AJ975" i="3" s="1"/>
  <c r="AJ1028" i="3" s="1"/>
  <c r="AB974" i="3"/>
  <c r="AZ738" i="3"/>
  <c r="BA738" i="3"/>
  <c r="AH738" i="3" s="1"/>
  <c r="BF585" i="6"/>
  <c r="BF588" i="6" s="1"/>
  <c r="BP584" i="6"/>
  <c r="BL585" i="6"/>
  <c r="BT573" i="6"/>
  <c r="BY574" i="6" s="1"/>
  <c r="BY577" i="6" s="1"/>
  <c r="K4" i="9"/>
  <c r="K5" i="9" s="1"/>
  <c r="BY533" i="6"/>
  <c r="BU533" i="6"/>
  <c r="BY534" i="6"/>
  <c r="M15" i="9"/>
  <c r="K22" i="9"/>
  <c r="K35" i="9" s="1"/>
  <c r="BQ548" i="6"/>
  <c r="BM550" i="6"/>
  <c r="E7" i="9"/>
  <c r="E11" i="9" s="1"/>
  <c r="E37" i="9" s="1"/>
  <c r="G6" i="9"/>
  <c r="S8" i="9"/>
  <c r="Q9" i="9"/>
  <c r="AP193" i="6" l="1"/>
  <c r="AU549" i="6"/>
  <c r="M4" i="9"/>
  <c r="AR612" i="6"/>
  <c r="AU534" i="6"/>
  <c r="CH550" i="6"/>
  <c r="AU533" i="6"/>
  <c r="AU535" i="6"/>
  <c r="AU537" i="6"/>
  <c r="CE530" i="6"/>
  <c r="CE531" i="6" s="1"/>
  <c r="CC532" i="6" s="1"/>
  <c r="BE576" i="6"/>
  <c r="AP586" i="6" s="1"/>
  <c r="AU536" i="6"/>
  <c r="BQ533" i="6"/>
  <c r="BQ537" i="6" s="1"/>
  <c r="Y614" i="6"/>
  <c r="AR605" i="6" s="1"/>
  <c r="BU537" i="6"/>
  <c r="P422" i="3"/>
  <c r="T24" i="5"/>
  <c r="O741" i="3"/>
  <c r="BP588" i="6"/>
  <c r="BN589" i="6" s="1"/>
  <c r="AR611" i="6"/>
  <c r="BL588" i="6"/>
  <c r="BJ589" i="6" s="1"/>
  <c r="AR610" i="6"/>
  <c r="AR608" i="6"/>
  <c r="AR609" i="6"/>
  <c r="CD575" i="6"/>
  <c r="CD577" i="6" s="1"/>
  <c r="BT577" i="6"/>
  <c r="BY537" i="6"/>
  <c r="O4" i="9"/>
  <c r="M5" i="9"/>
  <c r="I6" i="9"/>
  <c r="G7" i="9"/>
  <c r="G11" i="9" s="1"/>
  <c r="G37" i="9" s="1"/>
  <c r="U8" i="9"/>
  <c r="S9" i="9"/>
  <c r="BQ550" i="6"/>
  <c r="BU549" i="6"/>
  <c r="BU550" i="6" s="1"/>
  <c r="O15" i="9"/>
  <c r="M22" i="9"/>
  <c r="M35" i="9" s="1"/>
  <c r="BJ590" i="6" l="1"/>
  <c r="AV554" i="6" s="1"/>
  <c r="CC536" i="6"/>
  <c r="CC533" i="6"/>
  <c r="CC534" i="6" s="1"/>
  <c r="CC535" i="6"/>
  <c r="AJ617" i="6"/>
  <c r="CI576" i="6"/>
  <c r="CI577" i="6" s="1"/>
  <c r="CN577" i="6" s="1"/>
  <c r="BD558" i="6" s="1"/>
  <c r="AW562" i="6" s="1"/>
  <c r="CC550" i="6"/>
  <c r="I7" i="9"/>
  <c r="I11" i="9" s="1"/>
  <c r="I37" i="9" s="1"/>
  <c r="K6" i="9"/>
  <c r="W8" i="9"/>
  <c r="U9" i="9"/>
  <c r="Q15" i="9"/>
  <c r="O22" i="9"/>
  <c r="O35" i="9" s="1"/>
  <c r="O5" i="9"/>
  <c r="Q4" i="9"/>
  <c r="CC537" i="6" l="1"/>
  <c r="CG537" i="6" s="1"/>
  <c r="AT560" i="6"/>
  <c r="T708" i="6"/>
  <c r="AK619" i="6"/>
  <c r="K7" i="9"/>
  <c r="K11" i="9" s="1"/>
  <c r="K37" i="9" s="1"/>
  <c r="M6" i="9"/>
  <c r="S15" i="9"/>
  <c r="Q22" i="9"/>
  <c r="Q35" i="9" s="1"/>
  <c r="Q5" i="9"/>
  <c r="S4" i="9"/>
  <c r="W9" i="9"/>
  <c r="Y8" i="9"/>
  <c r="AF706" i="6" l="1"/>
  <c r="AF712" i="6" s="1"/>
  <c r="T706" i="6"/>
  <c r="S22" i="9"/>
  <c r="S35" i="9" s="1"/>
  <c r="U15" i="9"/>
  <c r="S5" i="9"/>
  <c r="U4" i="9"/>
  <c r="Y9" i="9"/>
  <c r="AA8" i="9"/>
  <c r="O6" i="9"/>
  <c r="M7" i="9"/>
  <c r="M11" i="9" s="1"/>
  <c r="M37" i="9" s="1"/>
  <c r="O7" i="9" l="1"/>
  <c r="O11" i="9" s="1"/>
  <c r="O37" i="9" s="1"/>
  <c r="Q6" i="9"/>
  <c r="W15" i="9"/>
  <c r="U22" i="9"/>
  <c r="U35" i="9" s="1"/>
  <c r="AA9" i="9"/>
  <c r="AC8" i="9"/>
  <c r="U5" i="9"/>
  <c r="W4" i="9"/>
  <c r="Y4" i="9" l="1"/>
  <c r="W5" i="9"/>
  <c r="AC9" i="9"/>
  <c r="AE8" i="9"/>
  <c r="S6" i="9"/>
  <c r="Q7" i="9"/>
  <c r="Q11" i="9"/>
  <c r="Q37" i="9" s="1"/>
  <c r="Y15" i="9"/>
  <c r="W22" i="9"/>
  <c r="W35" i="9" s="1"/>
  <c r="AE9" i="9" l="1"/>
  <c r="AG8" i="9"/>
  <c r="AG9" i="9" s="1"/>
  <c r="AA15" i="9"/>
  <c r="Y22" i="9"/>
  <c r="Y35" i="9" s="1"/>
  <c r="S7" i="9"/>
  <c r="S11" i="9" s="1"/>
  <c r="S37" i="9" s="1"/>
  <c r="U6" i="9"/>
  <c r="AA4" i="9"/>
  <c r="Y5" i="9"/>
  <c r="U7" i="9" l="1"/>
  <c r="U11" i="9" s="1"/>
  <c r="U37" i="9" s="1"/>
  <c r="W6" i="9"/>
  <c r="AC4" i="9"/>
  <c r="AA5" i="9"/>
  <c r="AA22" i="9"/>
  <c r="AA35" i="9" s="1"/>
  <c r="AC15" i="9"/>
  <c r="W7" i="9" l="1"/>
  <c r="Y6" i="9"/>
  <c r="W11" i="9"/>
  <c r="W37" i="9" s="1"/>
  <c r="AC22" i="9"/>
  <c r="AC35" i="9" s="1"/>
  <c r="AE15" i="9"/>
  <c r="AC5" i="9"/>
  <c r="AE4" i="9"/>
  <c r="AG15" i="9" l="1"/>
  <c r="AG22" i="9" s="1"/>
  <c r="AG35" i="9" s="1"/>
  <c r="AE22" i="9"/>
  <c r="AE35" i="9" s="1"/>
  <c r="AE5" i="9"/>
  <c r="AG4" i="9"/>
  <c r="Y7" i="9"/>
  <c r="AA6" i="9"/>
  <c r="Y11" i="9"/>
  <c r="Y37" i="9" s="1"/>
  <c r="AG5" i="9" l="1"/>
  <c r="AA7" i="9"/>
  <c r="AA11" i="9" s="1"/>
  <c r="AA37" i="9" s="1"/>
  <c r="AC6" i="9"/>
  <c r="AE6" i="9" l="1"/>
  <c r="AC7" i="9"/>
  <c r="AC11" i="9" s="1"/>
  <c r="AC37" i="9" s="1"/>
  <c r="AG6" i="9" l="1"/>
  <c r="AE7" i="9"/>
  <c r="AE11" i="9" s="1"/>
  <c r="AE37" i="9" s="1"/>
  <c r="AG7" i="9" l="1"/>
  <c r="AG11" i="9" s="1"/>
  <c r="AG37" i="9" s="1"/>
  <c r="AO629" i="3" l="1"/>
  <c r="F30" i="4" s="1"/>
  <c r="F38" i="4" l="1"/>
  <c r="F62" i="4" s="1"/>
  <c r="F96" i="4" s="1"/>
  <c r="F104" i="4" s="1"/>
  <c r="AO642" i="3"/>
  <c r="E107" i="4" s="1"/>
  <c r="AM565" i="3"/>
  <c r="F107" i="4"/>
  <c r="AO641" i="3"/>
  <c r="AF629" i="3" l="1"/>
  <c r="E40" i="9" s="1"/>
  <c r="AB47" i="5"/>
  <c r="AO643" i="3"/>
  <c r="Y40" i="9" l="1"/>
  <c r="Y43" i="9" s="1"/>
  <c r="E43" i="9"/>
  <c r="U40" i="9"/>
  <c r="U43" i="9" s="1"/>
  <c r="G40" i="9"/>
  <c r="G43" i="9" s="1"/>
  <c r="W40" i="9"/>
  <c r="W43" i="9" s="1"/>
  <c r="AC40" i="9"/>
  <c r="AC43" i="9" s="1"/>
  <c r="AE40" i="9"/>
  <c r="AE43" i="9" s="1"/>
  <c r="AA40" i="9"/>
  <c r="AA43" i="9" s="1"/>
  <c r="O40" i="9"/>
  <c r="O43" i="9" s="1"/>
  <c r="AG40" i="9"/>
  <c r="AG43" i="9" s="1"/>
  <c r="M40" i="9"/>
  <c r="M43" i="9" s="1"/>
  <c r="S40" i="9"/>
  <c r="S43" i="9" s="1"/>
  <c r="Q40" i="9"/>
  <c r="Q43" i="9" s="1"/>
  <c r="I40" i="9"/>
  <c r="I43" i="9" s="1"/>
  <c r="K40" i="9"/>
  <c r="K43" i="9" s="1"/>
  <c r="AA49" i="9" l="1"/>
  <c r="AA45" i="9"/>
  <c r="W45" i="9"/>
  <c r="W49" i="9"/>
  <c r="E45" i="9"/>
  <c r="E49" i="9"/>
  <c r="G45" i="9"/>
  <c r="G49" i="9"/>
  <c r="Y49" i="9"/>
  <c r="Y45" i="9"/>
  <c r="Q49" i="9"/>
  <c r="Q45" i="9"/>
  <c r="S45" i="9"/>
  <c r="S49" i="9"/>
  <c r="AE45" i="9"/>
  <c r="AE49" i="9"/>
  <c r="U45" i="9"/>
  <c r="U49" i="9"/>
  <c r="K49" i="9"/>
  <c r="K45" i="9"/>
  <c r="I49" i="9"/>
  <c r="I45" i="9"/>
  <c r="AG45" i="9"/>
  <c r="AG49" i="9"/>
  <c r="AC45" i="9"/>
  <c r="AC49" i="9"/>
  <c r="M49" i="9"/>
  <c r="M45" i="9"/>
  <c r="O49" i="9"/>
  <c r="O45" i="9"/>
  <c r="E48" i="9" l="1"/>
  <c r="E60" i="9"/>
  <c r="E47" i="9"/>
  <c r="Y47" i="9"/>
  <c r="Y48" i="9"/>
  <c r="Y60" i="9"/>
  <c r="G60" i="9"/>
  <c r="G48" i="9"/>
  <c r="G47" i="9"/>
  <c r="AG47" i="9"/>
  <c r="AG60" i="9"/>
  <c r="AG48" i="9"/>
  <c r="I48" i="9"/>
  <c r="I60" i="9"/>
  <c r="I47" i="9"/>
  <c r="K60" i="9"/>
  <c r="K47" i="9"/>
  <c r="K48" i="9"/>
  <c r="W47" i="9"/>
  <c r="W60" i="9"/>
  <c r="W48" i="9"/>
  <c r="O48" i="9"/>
  <c r="O47" i="9"/>
  <c r="O60" i="9"/>
  <c r="S47" i="9"/>
  <c r="S48" i="9"/>
  <c r="S60" i="9"/>
  <c r="Q48" i="9"/>
  <c r="Q60" i="9"/>
  <c r="Q47" i="9"/>
  <c r="U47" i="9"/>
  <c r="U48" i="9"/>
  <c r="U60" i="9"/>
  <c r="AA47" i="9"/>
  <c r="AA48" i="9"/>
  <c r="AA60" i="9"/>
  <c r="AC60" i="9"/>
  <c r="AC47" i="9"/>
  <c r="AC48" i="9"/>
  <c r="M60" i="9"/>
  <c r="M47" i="9"/>
  <c r="M48" i="9"/>
  <c r="AE48" i="9"/>
  <c r="AE60" i="9"/>
  <c r="AE47" i="9"/>
  <c r="W67" i="9" l="1"/>
  <c r="W66" i="9"/>
  <c r="W68" i="9"/>
  <c r="W69" i="9"/>
  <c r="W62" i="9"/>
  <c r="AE66" i="9"/>
  <c r="AE62" i="9"/>
  <c r="AE68" i="9"/>
  <c r="AE67" i="9"/>
  <c r="AE69" i="9"/>
  <c r="U67" i="9"/>
  <c r="U66" i="9"/>
  <c r="U62" i="9"/>
  <c r="U68" i="9"/>
  <c r="U69" i="9"/>
  <c r="E66" i="9"/>
  <c r="E67" i="9"/>
  <c r="Q69" i="9"/>
  <c r="Q62" i="9"/>
  <c r="Q68" i="9"/>
  <c r="Q66" i="9"/>
  <c r="Q67" i="9"/>
  <c r="AC66" i="9"/>
  <c r="AC69" i="9"/>
  <c r="AC62" i="9"/>
  <c r="AC67" i="9"/>
  <c r="AC68" i="9"/>
  <c r="AA66" i="9"/>
  <c r="AA67" i="9"/>
  <c r="AA62" i="9"/>
  <c r="AA68" i="9"/>
  <c r="AA69" i="9"/>
  <c r="S67" i="9"/>
  <c r="S66" i="9"/>
  <c r="S68" i="9"/>
  <c r="S69" i="9"/>
  <c r="S62" i="9"/>
  <c r="O68" i="9"/>
  <c r="O62" i="9"/>
  <c r="O69" i="9"/>
  <c r="O66" i="9"/>
  <c r="O67" i="9"/>
  <c r="G67" i="9"/>
  <c r="G69" i="9"/>
  <c r="G66" i="9"/>
  <c r="G68" i="9"/>
  <c r="G62" i="9"/>
  <c r="M69" i="9"/>
  <c r="M67" i="9"/>
  <c r="M66" i="9"/>
  <c r="M62" i="9"/>
  <c r="M68" i="9"/>
  <c r="Y62" i="9"/>
  <c r="Y68" i="9"/>
  <c r="Y67" i="9"/>
  <c r="Y66" i="9"/>
  <c r="Y69" i="9"/>
  <c r="K62" i="9"/>
  <c r="K66" i="9"/>
  <c r="K69" i="9"/>
  <c r="K67" i="9"/>
  <c r="K68" i="9"/>
  <c r="I69" i="9"/>
  <c r="I67" i="9"/>
  <c r="I62" i="9"/>
  <c r="I68" i="9"/>
  <c r="I66" i="9"/>
  <c r="AG67" i="9"/>
  <c r="AG69" i="9"/>
  <c r="AG66" i="9"/>
  <c r="AG68" i="9"/>
  <c r="AG62" i="9"/>
  <c r="AG70" i="9" l="1"/>
  <c r="AG72" i="9" s="1"/>
  <c r="Y70" i="9"/>
  <c r="Y72" i="9" s="1"/>
  <c r="U70" i="9"/>
  <c r="U72" i="9" s="1"/>
  <c r="AC70" i="9"/>
  <c r="AC72" i="9" s="1"/>
  <c r="Q70" i="9"/>
  <c r="Q72" i="9" s="1"/>
  <c r="S70" i="9"/>
  <c r="S72" i="9" s="1"/>
  <c r="E70" i="9"/>
  <c r="E72" i="9" s="1"/>
  <c r="W70" i="9"/>
  <c r="W72" i="9" s="1"/>
  <c r="I70" i="9"/>
  <c r="I72" i="9" s="1"/>
  <c r="AA70" i="9"/>
  <c r="AA72" i="9" s="1"/>
  <c r="AE70" i="9"/>
  <c r="AE72" i="9" s="1"/>
  <c r="K70" i="9"/>
  <c r="K72" i="9" s="1"/>
  <c r="G70" i="9"/>
  <c r="G72" i="9" s="1"/>
  <c r="O70" i="9"/>
  <c r="O72" i="9" s="1"/>
  <c r="M70" i="9"/>
  <c r="M72" i="9" s="1"/>
  <c r="AM557" i="3" l="1"/>
  <c r="AM569" i="3" s="1"/>
  <c r="C99" i="15"/>
  <c r="D99" i="15"/>
  <c r="C45" i="4"/>
  <c r="E45" i="4" s="1"/>
  <c r="S45" i="4"/>
  <c r="E44" i="18" s="1"/>
  <c r="C46" i="4"/>
  <c r="C47" i="15" s="1"/>
  <c r="B78" i="4"/>
  <c r="C78" i="4"/>
  <c r="C80" i="4" s="1"/>
  <c r="E78" i="4"/>
  <c r="E80" i="4" s="1"/>
  <c r="C98" i="4"/>
  <c r="B97" i="18" s="1"/>
  <c r="C103" i="4"/>
  <c r="B104" i="15" s="1"/>
  <c r="C81" i="15" l="1"/>
  <c r="E81" i="15" s="1"/>
  <c r="D81" i="15"/>
  <c r="B79" i="18"/>
  <c r="B81" i="15"/>
  <c r="B80" i="4"/>
  <c r="R45" i="4"/>
  <c r="R53" i="4" s="1"/>
  <c r="B103" i="4"/>
  <c r="B45" i="4"/>
  <c r="R78" i="4"/>
  <c r="E46" i="4"/>
  <c r="R46" i="4" s="1"/>
  <c r="S46" i="4" s="1"/>
  <c r="B99" i="15"/>
  <c r="E99" i="15" s="1"/>
  <c r="B47" i="15"/>
  <c r="E47" i="15" s="1"/>
  <c r="E98" i="4"/>
  <c r="B46" i="4"/>
  <c r="D104" i="15"/>
  <c r="D79" i="15"/>
  <c r="D46" i="15"/>
  <c r="B102" i="18"/>
  <c r="B77" i="18"/>
  <c r="B44" i="18"/>
  <c r="C104" i="15"/>
  <c r="E104" i="15" s="1"/>
  <c r="C79" i="15"/>
  <c r="E79" i="15" s="1"/>
  <c r="C46" i="15"/>
  <c r="E46" i="15" s="1"/>
  <c r="B98" i="4"/>
  <c r="C53" i="4"/>
  <c r="B79" i="15"/>
  <c r="B46" i="15"/>
  <c r="B45" i="18"/>
  <c r="D47" i="15"/>
  <c r="E103" i="4" l="1"/>
  <c r="R98" i="4"/>
  <c r="E53" i="4"/>
  <c r="B52" i="18"/>
  <c r="B53" i="4"/>
  <c r="B54" i="15"/>
  <c r="C54" i="15"/>
  <c r="D54" i="15"/>
  <c r="R80" i="4"/>
  <c r="S78" i="4"/>
  <c r="S53" i="4"/>
  <c r="E52" i="18" s="1"/>
  <c r="E45" i="18"/>
  <c r="E77" i="18" l="1"/>
  <c r="S80" i="4"/>
  <c r="E79" i="18" s="1"/>
  <c r="R103" i="4"/>
  <c r="S98" i="4"/>
  <c r="E54" i="15"/>
  <c r="E97" i="18" l="1"/>
  <c r="S103" i="4"/>
  <c r="E102" i="18" s="1"/>
  <c r="AB54" i="26"/>
  <c r="AB53" i="26"/>
  <c r="AD40" i="27"/>
  <c r="AD38" i="27"/>
  <c r="O75" i="25"/>
  <c r="Q71" i="25"/>
  <c r="E39" i="15"/>
  <c r="C39" i="15"/>
  <c r="T29" i="26"/>
  <c r="T28" i="26"/>
  <c r="T26" i="26"/>
  <c r="AI21" i="26"/>
  <c r="AI22" i="26"/>
  <c r="AI23" i="26"/>
  <c r="AI26" i="26"/>
  <c r="AI28" i="26"/>
  <c r="AD63" i="26"/>
  <c r="F458" i="3"/>
  <c r="AC455" i="3"/>
  <c r="E35" i="15"/>
  <c r="C35" i="15"/>
  <c r="E31" i="15"/>
  <c r="C31" i="15"/>
  <c r="AB56" i="26"/>
  <c r="Y38" i="26"/>
  <c r="Y40" i="26"/>
  <c r="Y41" i="26"/>
  <c r="AB55" i="26"/>
  <c r="AB56" i="27"/>
  <c r="AB55" i="27"/>
  <c r="Y41" i="27"/>
  <c r="Y40" i="27"/>
  <c r="Y38" i="27"/>
  <c r="AB77" i="26"/>
  <c r="AB76" i="26"/>
  <c r="Y67" i="26"/>
  <c r="Y63" i="26"/>
  <c r="Y11" i="26"/>
  <c r="Y23" i="26"/>
  <c r="Y26" i="26"/>
  <c r="Y28" i="26"/>
  <c r="AB77" i="27"/>
  <c r="AB76" i="27"/>
  <c r="Y67" i="27"/>
  <c r="Y63" i="27"/>
  <c r="Y11" i="27"/>
  <c r="Y23" i="27"/>
  <c r="Y26" i="27"/>
  <c r="Y28" i="27"/>
  <c r="Q22" i="28"/>
  <c r="V33" i="28"/>
  <c r="V35" i="28"/>
  <c r="J58" i="25"/>
  <c r="G71" i="25"/>
  <c r="G72" i="25"/>
  <c r="B75" i="25"/>
  <c r="R75" i="25"/>
  <c r="E38" i="4"/>
  <c r="E62" i="4"/>
  <c r="E96" i="4"/>
  <c r="E104" i="4"/>
  <c r="AD40" i="5"/>
  <c r="AD38" i="5"/>
  <c r="P203" i="3"/>
  <c r="M25" i="3"/>
  <c r="D203" i="3"/>
  <c r="E37" i="18"/>
  <c r="E29" i="18"/>
  <c r="E95" i="18"/>
  <c r="AD40" i="26"/>
  <c r="T11" i="26"/>
  <c r="T23" i="26"/>
  <c r="AD38" i="26"/>
  <c r="E97" i="15"/>
  <c r="C97" i="15"/>
  <c r="AB54" i="27"/>
  <c r="AB53" i="27"/>
  <c r="E33" i="18"/>
  <c r="S34" i="4"/>
  <c r="R34" i="4"/>
  <c r="E34" i="4"/>
  <c r="AB75" i="5"/>
  <c r="AB58" i="5"/>
  <c r="F59" i="5"/>
  <c r="T22" i="27"/>
  <c r="T21" i="27"/>
  <c r="B96" i="4"/>
  <c r="B95" i="18"/>
  <c r="D97" i="15"/>
  <c r="B97" i="15"/>
  <c r="BE15" i="28"/>
  <c r="AR42" i="5"/>
  <c r="Y41" i="5"/>
  <c r="AB55" i="5"/>
  <c r="AB56" i="5"/>
  <c r="AB75" i="26"/>
  <c r="AB58" i="26"/>
  <c r="F59" i="26"/>
  <c r="E63" i="15"/>
  <c r="C63" i="15"/>
  <c r="AB46" i="26"/>
  <c r="AB48" i="26"/>
  <c r="AB79" i="26"/>
  <c r="J80" i="26"/>
  <c r="E61" i="18"/>
  <c r="AC457" i="3"/>
  <c r="B63" i="15"/>
  <c r="D63" i="15"/>
  <c r="B61" i="18"/>
  <c r="B62" i="4"/>
  <c r="T29" i="5"/>
  <c r="Y38" i="5"/>
  <c r="Y40" i="5"/>
  <c r="AR43" i="5"/>
  <c r="R38" i="4"/>
  <c r="R62" i="4"/>
  <c r="R96" i="4"/>
  <c r="R104" i="4"/>
  <c r="AB53" i="5"/>
  <c r="AB54" i="5"/>
  <c r="AB79" i="27"/>
  <c r="J80" i="27"/>
  <c r="D1034" i="3"/>
  <c r="X1032" i="3"/>
  <c r="X1033" i="3"/>
  <c r="T21" i="5"/>
  <c r="T22" i="5"/>
  <c r="O76" i="25"/>
  <c r="B76" i="25"/>
  <c r="T11" i="27"/>
  <c r="T23" i="27"/>
  <c r="T26" i="27"/>
  <c r="T28" i="27"/>
  <c r="T29" i="27"/>
  <c r="AB77" i="5"/>
  <c r="E103" i="18"/>
  <c r="BE16" i="28"/>
  <c r="B30" i="4"/>
  <c r="B29" i="18"/>
  <c r="D31" i="15"/>
  <c r="B31" i="15"/>
  <c r="F59" i="27"/>
  <c r="AB46" i="27"/>
  <c r="AB48" i="27"/>
  <c r="AB58" i="27"/>
  <c r="AB75" i="27"/>
  <c r="E105" i="15"/>
  <c r="C105" i="15"/>
  <c r="B104" i="4"/>
  <c r="AB46" i="5"/>
  <c r="AB48" i="5"/>
  <c r="AB79" i="5"/>
  <c r="J80" i="5"/>
  <c r="D105" i="15"/>
  <c r="AC456" i="3"/>
  <c r="B105" i="15"/>
  <c r="C62" i="4"/>
  <c r="C96" i="4"/>
  <c r="C104" i="4"/>
  <c r="B103" i="18"/>
  <c r="B37" i="18"/>
  <c r="B39" i="15"/>
  <c r="D39" i="15"/>
  <c r="C38" i="4"/>
  <c r="B38" i="4"/>
  <c r="B33" i="18"/>
  <c r="B34" i="4"/>
  <c r="B35" i="15"/>
  <c r="D35" i="15"/>
  <c r="C34" i="4"/>
  <c r="C30" i="4"/>
  <c r="E30" i="4"/>
  <c r="R30" i="4"/>
  <c r="S30" i="4"/>
  <c r="S38" i="4"/>
  <c r="S62" i="4"/>
  <c r="S96" i="4"/>
  <c r="S104" i="4"/>
  <c r="S106" i="4"/>
  <c r="E105" i="18"/>
  <c r="T11" i="5"/>
  <c r="T23" i="5"/>
  <c r="T26" i="5"/>
  <c r="T28" i="5"/>
  <c r="Y63" i="5"/>
  <c r="Y67" i="5"/>
  <c r="AB76" i="5"/>
  <c r="M27" i="3"/>
  <c r="W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<sst xmlns="http://schemas.openxmlformats.org/spreadsheetml/2006/main" count="4738" uniqueCount="2514">
  <si>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</si>
  <si>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</si>
  <si>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</si>
  <si>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</si>
  <si>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</si>
  <si>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</si>
  <si>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</si>
  <si>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</si>
  <si>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</si>
  <si>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</si>
  <si>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</si>
  <si>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</si>
  <si>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</si>
  <si>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</si>
  <si>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</si>
  <si>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</si>
  <si>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</si>
  <si>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</si>
  <si>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</si>
  <si>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</si>
  <si>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</si>
  <si>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</si>
  <si>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</si>
  <si>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</si>
  <si>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</si>
  <si>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</si>
  <si>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</si>
  <si>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</si>
  <si>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</si>
  <si>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</si>
  <si>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</si>
  <si>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</si>
  <si>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</si>
  <si>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</si>
  <si>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</si>
  <si>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</si>
  <si>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</si>
  <si>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</si>
  <si>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</si>
  <si>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</si>
  <si>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</si>
  <si>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</si>
  <si>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</si>
  <si>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</si>
  <si>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</si>
  <si>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</si>
  <si>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</si>
  <si>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</si>
  <si>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</si>
  <si>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</si>
  <si>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</si>
  <si>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</si>
  <si>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</si>
  <si>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</si>
  <si>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</si>
  <si>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</si>
  <si>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</si>
  <si>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</si>
  <si>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</si>
  <si>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</si>
  <si>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</si>
  <si>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</si>
  <si>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</si>
  <si>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</si>
  <si>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</si>
  <si>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</si>
  <si>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</si>
  <si>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</si>
  <si>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</si>
  <si>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</si>
  <si>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</si>
  <si>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</si>
  <si>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</si>
  <si>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</si>
  <si>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</si>
  <si>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</si>
  <si>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</si>
  <si>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</si>
  <si>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</si>
  <si>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</si>
  <si>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</si>
  <si>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</si>
  <si>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</si>
  <si>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</si>
  <si>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</si>
  <si>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</si>
  <si>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</si>
  <si>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</si>
  <si>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</si>
  <si>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</si>
  <si>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</si>
  <si>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</si>
  <si>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</si>
  <si>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</si>
  <si>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</si>
  <si>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</si>
  <si>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</si>
  <si>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</si>
  <si>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</si>
  <si>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</si>
  <si>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</si>
  <si>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</si>
  <si>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</si>
  <si>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</si>
  <si>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</si>
  <si>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</si>
  <si>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</si>
  <si>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</si>
  <si>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</si>
  <si>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</si>
  <si>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</si>
  <si>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</si>
  <si>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</si>
  <si>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</si>
  <si>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</si>
  <si>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</si>
  <si>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</si>
  <si>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</si>
  <si>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</si>
  <si>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</si>
  <si>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</si>
  <si>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</si>
  <si>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</si>
  <si>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</si>
  <si>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</si>
  <si>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</si>
  <si>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</si>
  <si>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</si>
  <si>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</si>
  <si>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</si>
  <si>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</si>
  <si>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</si>
  <si>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</si>
  <si>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</si>
  <si>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</si>
  <si>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</si>
  <si>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</si>
  <si>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</si>
  <si>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</si>
  <si>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</si>
  <si>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</si>
  <si>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</si>
  <si>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</si>
  <si>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</si>
  <si>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</si>
  <si>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</si>
  <si>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</si>
  <si>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</si>
  <si>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</si>
  <si>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</si>
  <si>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</si>
  <si>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</si>
  <si>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</si>
  <si>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</si>
  <si>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</si>
  <si>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</si>
  <si>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</si>
  <si>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</si>
  <si>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</si>
  <si>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</si>
  <si>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</si>
  <si>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</si>
  <si>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</si>
  <si>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</si>
  <si>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</si>
  <si>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</si>
  <si>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</si>
  <si>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</si>
  <si>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</si>
  <si>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</si>
  <si>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</si>
  <si>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</si>
  <si>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</si>
  <si>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</si>
  <si>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</si>
  <si>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</si>
  <si>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</si>
  <si>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</si>
  <si>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</si>
  <si>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</si>
  <si>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</si>
  <si>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</si>
  <si>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</si>
  <si>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</si>
  <si>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</si>
  <si>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</si>
  <si>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</si>
  <si>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</si>
  <si>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</si>
  <si>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</si>
  <si>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</si>
  <si>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</si>
  <si>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</si>
  <si>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</si>
  <si>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</si>
  <si>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</si>
  <si>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</si>
  <si>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</si>
  <si>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</si>
  <si>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</si>
  <si>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</si>
  <si>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</si>
  <si>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</si>
  <si>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</si>
  <si>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</si>
  <si>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</si>
  <si>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</si>
  <si>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</si>
  <si>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</si>
  <si>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</si>
  <si>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</si>
  <si>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</si>
  <si>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</si>
  <si>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</si>
  <si>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</si>
  <si>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</si>
  <si>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</si>
  <si>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</si>
  <si>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</si>
  <si>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</si>
  <si>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</si>
  <si>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</si>
  <si>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</si>
  <si>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</si>
  <si>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</si>
  <si>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</si>
  <si>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</si>
  <si>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</si>
  <si>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</si>
  <si>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</si>
  <si>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</si>
  <si>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</si>
  <si>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</si>
  <si>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</si>
  <si>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</si>
  <si>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</si>
  <si>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</si>
  <si>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</si>
  <si>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</si>
  <si>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</si>
  <si>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</si>
  <si>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</si>
  <si>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</si>
  <si>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</si>
  <si>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</si>
  <si>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</si>
  <si>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</si>
  <si>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</si>
  <si>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</si>
  <si>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</si>
  <si>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</si>
  <si>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</si>
  <si>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</si>
  <si>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</si>
  <si>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</si>
  <si>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</si>
  <si>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</si>
  <si>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</si>
  <si>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</si>
  <si>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</si>
  <si>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</si>
  <si>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</si>
  <si>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</si>
  <si>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</si>
  <si>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</si>
  <si>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</si>
  <si>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</si>
  <si>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</si>
  <si>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</si>
  <si>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</si>
  <si>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</si>
  <si>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</si>
  <si>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</si>
  <si>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</si>
  <si>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</si>
  <si>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</si>
  <si>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</si>
  <si>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</si>
  <si>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</si>
  <si>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</si>
  <si>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</si>
  <si>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</si>
  <si>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</si>
  <si>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</si>
  <si>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</si>
  <si>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</si>
  <si>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</si>
  <si>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</si>
  <si>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</si>
  <si>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</si>
  <si>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</si>
  <si>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</si>
  <si>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</si>
  <si>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</si>
  <si>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</si>
  <si>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</si>
  <si>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</si>
  <si>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</si>
  <si>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</si>
  <si>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</si>
  <si>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</si>
  <si>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</si>
  <si>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</si>
  <si>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</si>
  <si>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</si>
  <si>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</si>
  <si>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</si>
  <si>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</si>
  <si>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</si>
  <si>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</si>
  <si>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</si>
  <si>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</si>
  <si>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</si>
  <si>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</si>
  <si>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</si>
  <si>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</si>
  <si>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</si>
  <si>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</si>
  <si>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</si>
  <si>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</si>
  <si>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</si>
  <si>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</si>
  <si>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</si>
  <si>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</si>
  <si>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</si>
  <si>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</si>
  <si>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</si>
  <si>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</si>
  <si>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</si>
  <si>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</si>
  <si>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</si>
  <si>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</si>
  <si>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</si>
  <si>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</si>
  <si>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</si>
  <si>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</si>
  <si>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</si>
  <si>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</si>
  <si>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</si>
  <si>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</si>
  <si>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</si>
  <si>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</si>
  <si>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</si>
  <si>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</si>
  <si>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</si>
  <si>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</si>
  <si>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</si>
  <si>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</si>
  <si>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</si>
  <si>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</si>
  <si>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</si>
  <si>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</si>
  <si>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</si>
  <si>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</si>
  <si>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</si>
  <si>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</si>
  <si>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</si>
  <si>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</si>
  <si>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</si>
  <si>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</si>
  <si>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</si>
  <si>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</si>
  <si>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</si>
  <si>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</si>
  <si>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</si>
  <si>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</si>
  <si>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</si>
  <si>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</si>
  <si>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</si>
  <si>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</si>
  <si>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</si>
  <si>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</si>
  <si>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</si>
  <si>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</si>
  <si>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</si>
  <si>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</si>
  <si>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</si>
  <si>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</si>
  <si>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</si>
  <si>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</si>
  <si>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</si>
  <si>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</si>
  <si>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</si>
  <si>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</si>
  <si>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</si>
  <si>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</si>
  <si>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</si>
  <si>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</si>
  <si>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</si>
  <si>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</si>
  <si>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</si>
  <si>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</si>
  <si>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</si>
  <si>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</si>
  <si>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</si>
  <si>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</si>
  <si>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</si>
  <si>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</si>
  <si>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</si>
  <si>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</si>
  <si>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</si>
  <si>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</si>
  <si>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</si>
  <si>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</si>
  <si>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</si>
  <si>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</si>
  <si>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</si>
  <si>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</si>
  <si>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</si>
  <si>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</si>
  <si>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</si>
  <si>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</si>
  <si>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</si>
  <si>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</si>
  <si>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</si>
  <si>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</si>
  <si>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</si>
  <si>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</si>
  <si>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</si>
  <si>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</si>
  <si>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</si>
  <si>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</si>
  <si>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</si>
  <si>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</si>
  <si>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</si>
  <si>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</si>
  <si>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</si>
  <si>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</si>
  <si>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</si>
  <si>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</si>
  <si>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</si>
  <si>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</si>
  <si>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</si>
  <si>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</si>
  <si>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</si>
  <si>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</si>
  <si>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</si>
  <si>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</si>
  <si>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</si>
  <si>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</si>
  <si>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</si>
  <si>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</si>
  <si>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</si>
  <si>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</si>
  <si>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</si>
  <si>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</si>
  <si>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</si>
  <si>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</si>
  <si>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</si>
  <si>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</si>
  <si>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</si>
  <si>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</si>
  <si>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</si>
  <si>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</si>
  <si>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</si>
  <si>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</si>
  <si>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</si>
  <si>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</si>
  <si>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</si>
  <si>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</si>
  <si>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</si>
  <si>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</si>
  <si>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</si>
  <si>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</si>
  <si>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</si>
  <si>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</si>
  <si>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</si>
  <si>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</si>
  <si>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</si>
  <si>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</si>
  <si>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</si>
  <si>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</si>
  <si>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</si>
  <si>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</si>
  <si>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</si>
  <si>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</si>
  <si>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</si>
  <si>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</si>
  <si>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</si>
  <si>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</si>
  <si>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</si>
  <si>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</si>
  <si>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</si>
  <si>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</si>
  <si>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</si>
  <si>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</si>
  <si>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</si>
  <si>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</si>
  <si>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</si>
  <si>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</si>
  <si>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</si>
  <si>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</si>
  <si>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</si>
  <si>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</si>
  <si>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</si>
  <si>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</si>
  <si>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</si>
  <si>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</si>
  <si>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</si>
  <si>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</si>
  <si>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</si>
  <si>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</si>
  <si>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</si>
  <si>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</si>
  <si>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</si>
  <si>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</si>
  <si>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</si>
  <si>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</si>
  <si>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</si>
  <si>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</si>
  <si>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</si>
  <si>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</si>
  <si>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</si>
  <si>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</si>
  <si>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</si>
  <si>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</si>
  <si>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</si>
  <si>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</si>
  <si>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</si>
  <si>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</si>
  <si>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</si>
  <si>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</si>
  <si>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</si>
  <si>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</si>
  <si>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</si>
  <si>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</si>
  <si>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</si>
  <si>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</si>
  <si>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</si>
  <si>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</si>
  <si>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</si>
  <si>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</si>
  <si>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</si>
  <si>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</si>
  <si>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</si>
  <si>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</si>
  <si>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</si>
  <si>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</si>
  <si>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</si>
  <si>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</si>
  <si>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</si>
  <si>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</si>
  <si>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</si>
  <si>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</si>
  <si>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</si>
  <si>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</si>
  <si>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</si>
  <si>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</si>
  <si>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</si>
  <si>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</si>
  <si>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</si>
  <si>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</si>
  <si>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</si>
  <si>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</si>
  <si>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</si>
  <si>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</si>
  <si>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</si>
  <si>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</si>
  <si>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</si>
  <si>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</si>
  <si>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</si>
  <si>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</si>
  <si>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</si>
  <si>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</si>
  <si>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</si>
  <si>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</si>
  <si>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</si>
  <si>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</si>
  <si>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</si>
  <si>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</si>
  <si>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</si>
  <si>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</si>
  <si>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</si>
  <si>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</si>
  <si>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</si>
  <si>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</si>
  <si>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</si>
  <si>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</si>
  <si>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</si>
  <si>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</si>
  <si>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</si>
  <si>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</si>
  <si>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</si>
  <si>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</si>
  <si>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</si>
  <si>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</si>
  <si>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</si>
  <si>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</si>
  <si>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</si>
  <si>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</si>
  <si>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</si>
  <si>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</si>
  <si>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</si>
  <si>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</si>
  <si>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</si>
  <si>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</si>
  <si>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</si>
  <si>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</si>
  <si>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</si>
  <si>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</si>
  <si>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</si>
  <si>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</si>
  <si>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</si>
  <si>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</si>
  <si>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</si>
  <si>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</si>
  <si>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</si>
  <si>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</si>
  <si>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</si>
  <si>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</si>
  <si>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</si>
  <si>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</si>
  <si>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</si>
  <si>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</si>
  <si>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</si>
  <si>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</si>
  <si>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</si>
  <si>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</si>
  <si>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</si>
  <si>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</si>
  <si>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</si>
  <si>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</si>
  <si>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</si>
  <si>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</si>
  <si>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</si>
  <si>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</si>
  <si>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</si>
  <si>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</si>
  <si>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</si>
  <si>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</si>
  <si>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</si>
  <si>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</si>
  <si>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</si>
  <si>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</si>
  <si>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</si>
  <si>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</si>
  <si>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</si>
  <si>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</si>
  <si>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</si>
  <si>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</si>
  <si>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</si>
  <si>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</si>
  <si>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</si>
  <si>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</si>
  <si>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</si>
  <si>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</si>
  <si>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</si>
  <si>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</si>
  <si>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</si>
  <si>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</si>
  <si>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</si>
  <si>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</si>
  <si>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</si>
  <si>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</si>
  <si>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</si>
  <si>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</si>
  <si>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</si>
  <si>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</si>
  <si>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</si>
  <si>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</si>
  <si>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</si>
  <si>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</si>
  <si>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</si>
  <si>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</si>
  <si>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</si>
  <si>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</si>
  <si>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</si>
  <si>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</si>
  <si>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</si>
  <si>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</si>
  <si>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</si>
  <si>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</si>
  <si>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</si>
  <si>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</si>
  <si>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</si>
  <si>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</si>
  <si>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</si>
  <si>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</si>
  <si>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</si>
  <si>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</si>
  <si>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</si>
  <si>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</si>
  <si>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</si>
  <si>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</si>
  <si>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</si>
  <si>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</si>
  <si>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</si>
  <si>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</si>
  <si>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</si>
  <si>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</si>
  <si>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</si>
  <si>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</si>
  <si>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</si>
  <si>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</si>
  <si>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</si>
  <si>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</si>
  <si>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</si>
  <si>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</si>
  <si>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</si>
  <si>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</si>
  <si>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</si>
  <si>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</si>
  <si>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</si>
  <si>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</si>
  <si>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</si>
  <si>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</si>
  <si>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</si>
  <si>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</si>
  <si>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</si>
  <si>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</si>
  <si>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</si>
  <si>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</si>
  <si>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</si>
  <si>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</si>
  <si>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</si>
  <si>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</si>
  <si>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</si>
  <si>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</si>
  <si>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</si>
  <si>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</si>
  <si>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</si>
  <si>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</si>
  <si>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</si>
  <si>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</si>
  <si>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</si>
  <si>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</si>
  <si>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</si>
  <si>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</si>
  <si>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</si>
  <si>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</si>
  <si>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</si>
  <si>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</si>
  <si>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</si>
  <si>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</si>
  <si>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</si>
  <si>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</si>
  <si>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</si>
  <si>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</si>
  <si>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</si>
  <si>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</si>
  <si>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</si>
  <si>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</si>
  <si>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</si>
  <si>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</si>
  <si>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</si>
  <si>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</si>
  <si>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</si>
  <si>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</si>
  <si>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</si>
  <si>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</si>
  <si>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</si>
  <si>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</si>
  <si>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</si>
  <si>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</si>
  <si>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</si>
  <si>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</si>
  <si>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</si>
  <si>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</si>
  <si>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</si>
  <si>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</si>
  <si>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</si>
  <si>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</si>
  <si>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</si>
  <si>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</si>
  <si>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</si>
  <si>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</si>
  <si>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</si>
  <si>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</si>
  <si>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</si>
  <si>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</si>
  <si>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</si>
  <si>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</si>
  <si>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</si>
  <si>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</si>
  <si>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</si>
  <si>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</si>
  <si>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</si>
  <si>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</si>
  <si>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</si>
  <si>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</si>
  <si>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</si>
  <si>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</si>
  <si>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</si>
  <si>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</si>
  <si>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</si>
  <si>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</si>
  <si>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</si>
  <si>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</si>
  <si>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</si>
  <si>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</si>
  <si>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</si>
  <si>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</si>
  <si>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</si>
  <si>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</si>
  <si>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</si>
  <si>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</si>
  <si>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</si>
  <si>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</si>
  <si>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</si>
  <si>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</si>
  <si>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</si>
  <si>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</si>
  <si>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</si>
  <si>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</si>
  <si>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</si>
  <si>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</si>
  <si>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</si>
  <si>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</si>
  <si>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</si>
  <si>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</si>
  <si>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</si>
  <si>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</si>
  <si>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</si>
  <si>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</si>
  <si>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</si>
  <si>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</si>
  <si>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</si>
  <si>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</si>
  <si>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</si>
  <si>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</si>
  <si>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</si>
  <si>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</si>
  <si>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</si>
  <si>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</si>
  <si>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</si>
  <si>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</si>
  <si>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</si>
  <si>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</si>
  <si>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</si>
  <si>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</si>
  <si>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</si>
  <si>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</si>
  <si>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</si>
  <si>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</si>
  <si>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</si>
  <si>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</si>
  <si>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</si>
  <si>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</si>
  <si>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</si>
  <si>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</si>
  <si>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</si>
  <si>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</si>
  <si>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</si>
  <si>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</si>
  <si>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</si>
  <si>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</si>
  <si>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</si>
  <si>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</si>
  <si>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</si>
  <si>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</si>
  <si>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</si>
  <si>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</si>
  <si>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</si>
  <si>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</si>
  <si>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</si>
  <si>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</si>
  <si>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</si>
  <si>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</si>
  <si>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</si>
  <si>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</si>
  <si>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</si>
  <si>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</si>
  <si>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</si>
  <si>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</si>
  <si>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</si>
  <si>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</si>
  <si>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</si>
  <si>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</si>
  <si>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</si>
  <si>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</si>
  <si>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</si>
  <si>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</si>
  <si>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</si>
  <si>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</si>
  <si>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</si>
  <si>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</si>
  <si>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</si>
  <si>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</si>
  <si>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</si>
  <si>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</si>
  <si>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</si>
  <si>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</si>
  <si>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</si>
  <si>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</si>
  <si>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</si>
  <si>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</si>
  <si>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</si>
  <si>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</si>
  <si>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</si>
  <si>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</si>
  <si>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</si>
  <si>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</si>
  <si>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</si>
  <si>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</si>
  <si>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</si>
  <si>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</si>
  <si>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</si>
  <si>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</si>
  <si>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</si>
  <si>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</si>
  <si>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</si>
  <si>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</si>
  <si>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</si>
  <si>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</si>
  <si>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</si>
  <si>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</si>
  <si>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</si>
  <si>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</si>
  <si>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</si>
  <si>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</si>
  <si>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</si>
  <si>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</si>
  <si>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</si>
  <si>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</si>
  <si>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</si>
  <si>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</si>
  <si>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</si>
  <si>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</si>
  <si>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</si>
  <si>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</si>
  <si>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</si>
  <si>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</si>
  <si>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</si>
  <si>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</si>
  <si>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</si>
  <si>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</si>
  <si>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</si>
  <si>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</si>
  <si>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</si>
  <si>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</si>
  <si>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</si>
  <si>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</si>
  <si>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</si>
  <si>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</si>
  <si>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</si>
  <si>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</si>
  <si>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</si>
  <si>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</si>
  <si>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</si>
  <si>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</si>
  <si>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</si>
  <si>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</si>
  <si>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</si>
  <si>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</si>
  <si>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</si>
  <si>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</si>
  <si>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</si>
  <si>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</si>
  <si>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</si>
  <si>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</si>
  <si>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</si>
  <si>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</si>
  <si>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</si>
  <si>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</si>
  <si>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</si>
  <si>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</si>
  <si>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</si>
  <si>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</si>
  <si>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</si>
  <si>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</si>
  <si>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</si>
  <si>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</si>
  <si>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</si>
  <si>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</si>
  <si>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</si>
  <si>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</si>
  <si>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</si>
  <si>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</si>
  <si>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</si>
  <si>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</si>
  <si>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</si>
  <si>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</si>
  <si>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</si>
  <si>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</si>
  <si>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</si>
  <si>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</si>
  <si>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</si>
  <si>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</si>
  <si>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</si>
  <si>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</si>
  <si>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</si>
  <si>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</si>
  <si>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</si>
  <si>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</si>
  <si>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</si>
  <si>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</si>
  <si>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</si>
  <si>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</si>
  <si>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</si>
  <si>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</si>
  <si>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</si>
  <si>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</si>
  <si>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</si>
  <si>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</si>
  <si>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</si>
  <si>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</si>
  <si>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</si>
  <si>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</si>
  <si>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</si>
  <si>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</si>
  <si>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</si>
  <si>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</si>
  <si>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</si>
  <si>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</si>
  <si>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</si>
  <si>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</si>
  <si>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</si>
  <si>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</si>
  <si>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</si>
  <si>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</si>
  <si>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</si>
  <si>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</si>
  <si>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</si>
  <si>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</si>
  <si>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</si>
  <si>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</si>
  <si>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</si>
  <si>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</si>
  <si>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</si>
  <si>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</si>
  <si>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</si>
  <si>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</si>
  <si>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</si>
  <si>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</si>
  <si>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</si>
  <si>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</si>
  <si>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</si>
  <si>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</si>
  <si>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</si>
  <si>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</si>
  <si>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</si>
  <si>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</si>
  <si>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</si>
  <si>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</si>
  <si>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</si>
  <si>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</si>
  <si>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</si>
  <si>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</si>
  <si>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</si>
  <si>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</si>
  <si>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</si>
  <si>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</si>
  <si>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</si>
  <si>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</si>
  <si>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</si>
  <si>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</si>
  <si>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</si>
  <si>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</si>
  <si>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</si>
  <si>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</si>
  <si>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</si>
  <si>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</si>
  <si>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</si>
  <si>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</si>
  <si>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</si>
  <si>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</si>
  <si>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</si>
  <si>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</si>
  <si>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</si>
  <si>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</si>
  <si>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</si>
  <si>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</si>
  <si>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</si>
  <si>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</si>
  <si>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</si>
  <si>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</si>
  <si>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</si>
  <si>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</si>
  <si>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</si>
  <si>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</si>
  <si>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</si>
  <si>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</si>
  <si>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</si>
  <si>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</si>
  <si>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</si>
  <si>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</si>
  <si>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</si>
  <si>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</si>
  <si>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</si>
  <si>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</si>
  <si>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</si>
  <si>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</si>
  <si>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</si>
  <si>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</si>
  <si>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</si>
  <si>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</si>
  <si>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</si>
  <si>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</si>
  <si>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</si>
  <si>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</si>
  <si>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</si>
  <si>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</si>
  <si>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</si>
  <si>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</si>
  <si>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</si>
  <si>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</si>
  <si>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</si>
  <si>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</si>
  <si>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</si>
  <si>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</si>
  <si>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</si>
  <si>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</si>
  <si>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</si>
  <si>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</si>
  <si>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</si>
  <si>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</si>
  <si>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</si>
  <si>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</si>
  <si>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</si>
  <si>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</si>
  <si>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</si>
  <si>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</si>
  <si>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</si>
  <si>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</si>
  <si>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</si>
  <si>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</si>
  <si>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</si>
  <si>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</si>
  <si>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</si>
  <si>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</si>
  <si>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</si>
  <si>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</si>
  <si>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</si>
  <si>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</si>
  <si>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</si>
  <si>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</si>
  <si>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</si>
  <si>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</si>
  <si>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</si>
  <si>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</si>
  <si>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</si>
  <si>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</si>
  <si>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</si>
  <si>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</si>
  <si>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</si>
  <si>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</si>
  <si>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</si>
  <si>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</si>
  <si>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</si>
  <si>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</si>
  <si>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</si>
  <si>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</si>
  <si>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</si>
  <si>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</si>
  <si>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</si>
  <si>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</si>
  <si>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</si>
  <si>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</si>
  <si>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</si>
  <si>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</si>
  <si>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</si>
  <si>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</si>
  <si>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</si>
  <si>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</si>
  <si>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</si>
  <si>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</si>
  <si>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</si>
  <si>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</si>
  <si>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</si>
  <si>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</si>
  <si>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</si>
  <si>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</si>
  <si>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</si>
  <si>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</si>
  <si>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</si>
  <si>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</si>
  <si>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</si>
  <si>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</si>
  <si>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</si>
  <si>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</si>
  <si>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</si>
  <si>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</si>
  <si>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</si>
  <si>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</si>
  <si>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</si>
  <si>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</si>
  <si>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</si>
  <si>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</si>
  <si>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</si>
  <si>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</si>
  <si>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</si>
  <si>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</si>
  <si>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</si>
  <si>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</si>
  <si>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</si>
  <si>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</si>
  <si>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</si>
  <si>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</si>
  <si>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</si>
  <si>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</si>
  <si>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</si>
  <si>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</si>
  <si>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</si>
  <si>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</si>
  <si>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</si>
  <si>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</si>
  <si>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</si>
  <si>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</si>
  <si>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</si>
  <si>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</si>
  <si>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</si>
  <si>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</si>
  <si>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</si>
  <si>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</si>
  <si>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</si>
  <si>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</si>
  <si>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</si>
  <si>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</si>
  <si>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</si>
  <si>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</si>
  <si>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</si>
  <si>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</si>
  <si>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</si>
  <si>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</si>
  <si>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</si>
  <si>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</si>
  <si>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</si>
  <si>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</si>
  <si>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</si>
  <si>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</si>
  <si>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</si>
  <si>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</si>
  <si>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</si>
  <si>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</si>
  <si>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</si>
  <si>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</si>
  <si>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</si>
  <si>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</si>
  <si>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</si>
  <si>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</si>
  <si>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</si>
  <si>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</si>
  <si>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</si>
  <si>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</si>
  <si>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</si>
  <si>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</si>
  <si>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</si>
  <si>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</si>
  <si>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</si>
  <si>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</si>
  <si>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</si>
  <si>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</si>
  <si>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</si>
  <si>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</si>
  <si>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</si>
  <si>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</si>
  <si>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</si>
  <si>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</si>
  <si>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</si>
  <si>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</si>
  <si>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</si>
  <si>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</si>
  <si>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</si>
  <si>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</si>
  <si>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</si>
  <si>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</si>
  <si>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</si>
  <si>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</si>
  <si>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</si>
  <si>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</si>
  <si>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</si>
  <si>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</si>
  <si>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</si>
  <si>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</si>
  <si>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</si>
  <si>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</si>
  <si>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</si>
  <si>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</si>
  <si>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</si>
  <si>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</si>
  <si>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</si>
  <si>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</si>
  <si>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</si>
  <si>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</si>
  <si>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</si>
  <si>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</si>
  <si>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</si>
  <si>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</si>
  <si>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</si>
  <si>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</si>
  <si>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</si>
  <si>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</si>
  <si>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</si>
  <si>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</si>
  <si>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</si>
  <si>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</si>
  <si>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</si>
  <si>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</si>
  <si>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</si>
  <si>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</si>
  <si>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</si>
  <si>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</si>
  <si>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</si>
  <si>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</si>
  <si>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</si>
  <si>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</si>
  <si>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</si>
  <si>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</si>
  <si>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</si>
  <si>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</si>
  <si>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</si>
  <si>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</si>
  <si>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</si>
  <si>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</si>
  <si>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</si>
  <si>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</si>
  <si>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</si>
  <si>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</si>
  <si>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</si>
  <si>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</si>
  <si>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</si>
  <si>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</si>
  <si>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</si>
  <si>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</si>
  <si>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</si>
  <si>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</si>
  <si>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</si>
  <si>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</si>
  <si>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</si>
  <si>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</si>
  <si>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</si>
  <si>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</si>
  <si>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</si>
  <si>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</si>
  <si>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</si>
  <si>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</si>
  <si>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</si>
  <si>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</si>
  <si>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</si>
  <si>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</si>
  <si>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</si>
  <si>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</si>
  <si>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</si>
  <si>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</si>
  <si>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</si>
  <si>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</si>
  <si>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</si>
  <si>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</si>
  <si>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</si>
  <si>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</si>
  <si>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</si>
  <si>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</si>
  <si>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</si>
  <si>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</si>
  <si>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</si>
  <si>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</si>
  <si>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</si>
  <si>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</si>
  <si>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</si>
  <si>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</si>
  <si>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</si>
  <si>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</si>
  <si>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</si>
  <si>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</si>
  <si>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</si>
  <si>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</si>
  <si>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</si>
  <si>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</si>
  <si>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</si>
  <si>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</si>
  <si>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</si>
  <si>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</si>
  <si>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</si>
  <si>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</si>
  <si>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</si>
  <si>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</si>
  <si>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</si>
  <si>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</si>
  <si>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</si>
  <si>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</si>
  <si>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</si>
  <si>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</si>
  <si>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</si>
  <si>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</si>
  <si>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</si>
  <si>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</si>
  <si>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</si>
  <si>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</si>
  <si>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</si>
  <si>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</si>
  <si>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</si>
  <si>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</si>
  <si>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</si>
  <si>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</si>
  <si>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</si>
  <si>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</si>
  <si>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</si>
  <si>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</si>
  <si>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</si>
  <si>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</si>
  <si>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</si>
  <si>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</si>
  <si>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</si>
  <si>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</si>
  <si>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</si>
  <si>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</si>
  <si>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</si>
  <si>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</si>
  <si>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</si>
  <si>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</si>
  <si>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</si>
  <si>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</si>
  <si>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</si>
  <si>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</si>
  <si>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</si>
  <si>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</si>
  <si>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</si>
  <si>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</si>
  <si>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</si>
  <si>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</si>
  <si>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</si>
  <si>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</si>
  <si>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</si>
  <si>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</si>
  <si>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</si>
  <si>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</si>
  <si>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</si>
  <si>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</si>
  <si>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</si>
  <si>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</si>
  <si>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</si>
  <si>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</si>
  <si>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</si>
  <si>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</si>
  <si>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</si>
  <si>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</si>
  <si>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</si>
  <si>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</si>
  <si>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</si>
  <si>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</si>
  <si>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</si>
  <si>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</si>
  <si>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</si>
  <si>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</si>
  <si>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</si>
  <si>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</si>
  <si>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</si>
  <si>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</si>
  <si>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</si>
  <si>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</si>
  <si>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</si>
  <si>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</si>
  <si>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</si>
  <si>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</si>
  <si>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</si>
  <si>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</si>
  <si>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</si>
  <si>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</si>
  <si>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</si>
  <si>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</si>
  <si>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</si>
  <si>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</si>
  <si>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</si>
  <si>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</si>
  <si>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</si>
  <si>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</si>
  <si>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</si>
  <si>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</si>
  <si>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</si>
  <si>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</si>
  <si>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</si>
  <si>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</si>
  <si>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</si>
  <si>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</si>
  <si>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</si>
  <si>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</si>
  <si>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</si>
  <si>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</si>
  <si>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</si>
  <si>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</si>
  <si>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</si>
  <si>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</si>
  <si>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</si>
  <si>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</si>
  <si>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</si>
  <si>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</si>
  <si>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</si>
  <si>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</si>
  <si>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</si>
  <si>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</si>
  <si>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</si>
  <si>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</si>
  <si>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</si>
  <si>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</si>
  <si>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</si>
  <si>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</si>
  <si>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</si>
  <si>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</si>
  <si>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</si>
  <si>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</si>
  <si>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</si>
  <si>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</si>
  <si>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</si>
  <si>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</si>
  <si>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</si>
  <si>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</si>
  <si>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</si>
  <si>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</si>
  <si>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</si>
  <si>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</si>
  <si>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</si>
  <si>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</si>
  <si>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</si>
  <si>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</si>
  <si>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</si>
  <si>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</si>
  <si>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</si>
  <si>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</si>
  <si>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</si>
  <si>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</si>
  <si>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</si>
  <si>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</si>
  <si>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</si>
  <si>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</si>
  <si>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</si>
  <si>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</si>
  <si>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</si>
  <si>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</si>
  <si>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</si>
  <si>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</si>
  <si>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</si>
  <si>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</si>
  <si>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</si>
  <si>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</si>
  <si>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</si>
  <si>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</si>
  <si>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</si>
  <si>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</si>
  <si>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</si>
  <si>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</si>
  <si>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</si>
  <si>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</si>
  <si>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</si>
  <si>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</si>
  <si>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</si>
  <si>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</si>
  <si>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</si>
  <si>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</si>
  <si>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</si>
  <si>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</si>
  <si>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</si>
  <si>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</si>
  <si>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</si>
  <si>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</si>
  <si>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</si>
  <si>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</si>
  <si>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</si>
  <si>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</si>
  <si>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</si>
  <si>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</si>
  <si>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</si>
  <si>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</si>
  <si>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</si>
  <si>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</si>
  <si>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</si>
  <si>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</si>
  <si>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</si>
  <si>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</si>
  <si>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</si>
  <si>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</si>
  <si>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</si>
  <si>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</si>
  <si>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</si>
  <si>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</si>
  <si>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</si>
  <si>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</si>
  <si>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</si>
  <si>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</si>
  <si>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</si>
  <si>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</si>
  <si>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</si>
  <si>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</si>
  <si>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</si>
  <si>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</si>
  <si>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</si>
  <si>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</si>
  <si>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</si>
  <si>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</si>
  <si>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</si>
  <si>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</si>
  <si>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</si>
  <si>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</si>
  <si>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</si>
  <si>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</si>
  <si>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</si>
  <si>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</si>
  <si>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</si>
  <si>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</si>
  <si>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</si>
  <si>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</si>
  <si>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</si>
  <si>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</si>
  <si>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</si>
  <si>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</si>
  <si>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</si>
  <si>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</si>
  <si>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</si>
  <si>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</si>
  <si>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</si>
  <si>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</si>
  <si>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</si>
  <si>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</si>
  <si>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</si>
  <si>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</si>
  <si>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</si>
  <si>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</si>
  <si>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</si>
  <si>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</si>
  <si>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</si>
  <si>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</si>
  <si>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</si>
  <si>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</si>
  <si>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</si>
  <si>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</si>
  <si>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</si>
  <si>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</si>
  <si>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</si>
  <si>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</si>
  <si>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</si>
  <si>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</si>
  <si>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</si>
  <si>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</si>
  <si>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</si>
  <si>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</si>
  <si>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</si>
  <si>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</si>
  <si>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</si>
  <si>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</si>
  <si>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</si>
  <si>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</si>
  <si>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</si>
  <si>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</si>
  <si>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</si>
  <si>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</si>
  <si>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</si>
  <si>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</si>
  <si>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</si>
  <si>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</si>
  <si>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</si>
  <si>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</si>
  <si>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</si>
  <si>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</si>
  <si>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</si>
  <si>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</si>
  <si>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</si>
  <si>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</si>
  <si>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</si>
  <si>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</si>
  <si>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</si>
  <si>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</si>
  <si>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</si>
  <si>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</si>
  <si>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</si>
  <si>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</si>
  <si>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</si>
  <si>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</si>
  <si>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</si>
  <si>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</si>
  <si>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</si>
  <si>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</si>
  <si>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</si>
  <si>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</si>
  <si>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</si>
  <si>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</si>
  <si>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</si>
  <si>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</si>
  <si>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</si>
  <si>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</si>
  <si>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</si>
  <si>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</si>
  <si>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</si>
  <si>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</si>
  <si>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</si>
  <si>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</si>
  <si>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</si>
  <si>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</si>
  <si>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</si>
  <si>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</si>
  <si>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</si>
  <si>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</si>
  <si>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</si>
  <si>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</si>
  <si>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</si>
  <si>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</si>
  <si>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</si>
  <si>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</si>
  <si>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</si>
  <si>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</si>
  <si>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</si>
  <si>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</si>
  <si>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</si>
  <si>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</si>
  <si>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</si>
  <si>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</si>
  <si>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</si>
  <si>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</si>
  <si>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</si>
  <si>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</si>
  <si>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</si>
  <si>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</si>
  <si>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</si>
  <si>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</si>
  <si>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</si>
  <si>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</si>
  <si>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</si>
  <si>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</si>
  <si>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</si>
  <si>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</si>
  <si>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</si>
  <si>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</si>
  <si>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</si>
  <si>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</si>
  <si>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</si>
  <si>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</si>
  <si>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</si>
  <si>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</si>
  <si>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</si>
  <si>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</si>
  <si>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</si>
  <si>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</si>
  <si>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</si>
  <si>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</si>
  <si>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</si>
  <si>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</si>
  <si>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</si>
  <si>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</si>
  <si>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</si>
  <si>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</si>
  <si>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</si>
  <si>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</si>
  <si>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</si>
  <si>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</si>
  <si>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</si>
  <si>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</si>
  <si>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</si>
  <si>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</si>
  <si>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</si>
  <si>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</si>
  <si>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</si>
  <si>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</si>
  <si>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</si>
  <si>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</si>
  <si>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</si>
  <si>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</si>
  <si>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</si>
  <si>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</si>
  <si>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</si>
  <si>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</si>
  <si>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</si>
  <si>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</si>
  <si>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</si>
  <si>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</si>
  <si>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</si>
  <si>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</si>
  <si>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</si>
  <si>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</si>
  <si>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</si>
  <si>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</si>
  <si>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</si>
  <si>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</si>
  <si>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</si>
  <si>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</si>
  <si>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</si>
  <si>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</si>
  <si>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</si>
  <si>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</si>
  <si>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</si>
  <si>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</si>
  <si>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</si>
  <si>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</si>
  <si>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</si>
  <si>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</si>
  <si>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</si>
  <si>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</si>
  <si>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</si>
  <si>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</si>
  <si>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</si>
  <si>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</si>
  <si>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</si>
  <si>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</si>
  <si>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</si>
  <si>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</si>
  <si>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</si>
  <si>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</si>
  <si>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</si>
  <si>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</si>
  <si>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</si>
  <si>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</si>
  <si>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</si>
  <si>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</si>
  <si>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</si>
  <si>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</si>
  <si>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</si>
  <si>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</si>
  <si>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</si>
  <si>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</si>
  <si>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</si>
  <si>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</si>
  <si>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</si>
  <si>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</si>
  <si>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</si>
  <si>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</si>
  <si>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</si>
  <si>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</si>
  <si>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</si>
  <si>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</si>
  <si>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</si>
  <si>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</si>
  <si>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</si>
  <si>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</si>
  <si>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</si>
  <si>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</si>
  <si>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</si>
  <si>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</si>
  <si>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</si>
  <si>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</si>
  <si>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</si>
  <si>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</si>
  <si>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</si>
  <si>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</si>
  <si>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</si>
  <si>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</si>
  <si>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</si>
  <si>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</si>
  <si>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</si>
  <si>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</si>
  <si>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</si>
  <si>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</si>
  <si>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</si>
  <si>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</si>
  <si>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</si>
  <si>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</si>
  <si>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</si>
  <si>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</si>
  <si>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</si>
  <si>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</si>
  <si>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</si>
  <si>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</si>
  <si>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</si>
  <si>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</si>
  <si>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</si>
  <si>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</si>
  <si>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</si>
  <si>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</si>
  <si>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</si>
  <si>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</si>
  <si>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</si>
  <si>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</si>
  <si>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</si>
  <si>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</si>
  <si>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</si>
  <si>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</si>
  <si>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</si>
  <si>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</si>
  <si>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</si>
  <si>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</si>
  <si>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</si>
  <si>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</si>
  <si>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</si>
  <si>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</si>
  <si>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</si>
  <si>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</si>
  <si>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</si>
  <si>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</si>
  <si>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</si>
  <si>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</si>
  <si>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</si>
  <si>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</si>
  <si>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</si>
  <si>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</si>
  <si>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</si>
  <si>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</si>
  <si>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</si>
  <si>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</si>
  <si>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</si>
  <si>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</si>
  <si>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</si>
  <si>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</si>
  <si>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</si>
  <si>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</si>
  <si>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</si>
  <si>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</si>
  <si>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</si>
  <si>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</si>
  <si>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</si>
  <si>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</si>
  <si>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</si>
  <si>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</si>
  <si>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</si>
  <si>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</si>
  <si>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</si>
  <si>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</si>
  <si>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</si>
  <si>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</si>
  <si>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</si>
  <si>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</si>
  <si>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</si>
  <si>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</si>
  <si>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</si>
  <si>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</si>
  <si>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</si>
  <si>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</si>
  <si>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</si>
  <si>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</si>
  <si>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</si>
  <si>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</si>
  <si>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</si>
  <si>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</si>
  <si>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</si>
  <si>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</si>
  <si>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</si>
  <si>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</si>
  <si>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</si>
  <si>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</si>
  <si>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</si>
  <si>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</si>
  <si>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</si>
  <si>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</si>
  <si>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</si>
  <si>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</si>
  <si>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</si>
  <si>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</si>
  <si>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</si>
  <si>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</si>
  <si>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</si>
  <si>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</si>
  <si>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</si>
  <si>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</si>
  <si>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</si>
  <si>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</si>
  <si>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</si>
  <si>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</si>
  <si>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</si>
  <si>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</si>
  <si>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</si>
  <si>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</si>
  <si>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</si>
  <si>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</si>
  <si>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</si>
  <si>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</si>
  <si>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</si>
  <si>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</si>
  <si>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</si>
  <si>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</si>
  <si>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</si>
  <si>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</si>
  <si>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</si>
  <si>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</si>
  <si>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</si>
  <si>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</si>
  <si>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</si>
  <si>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</si>
  <si>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</si>
  <si>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</si>
  <si>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</si>
  <si>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</si>
  <si>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</si>
  <si>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</si>
  <si>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</si>
  <si>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</si>
  <si>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</si>
  <si>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</si>
  <si>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</si>
  <si>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</si>
  <si>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</si>
  <si>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</si>
  <si>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</si>
  <si>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</si>
  <si>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</si>
  <si>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</si>
  <si>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</si>
  <si>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</si>
  <si>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</si>
  <si>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</si>
  <si>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</si>
  <si>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</si>
  <si>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</si>
  <si>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</si>
  <si>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</si>
  <si>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</si>
  <si>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</si>
  <si>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</si>
  <si>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</si>
  <si>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</si>
  <si>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</si>
  <si>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</si>
  <si>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</si>
  <si>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</si>
  <si>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</si>
  <si>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</si>
  <si>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</si>
  <si>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</si>
  <si>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</si>
  <si>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</si>
  <si>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</si>
  <si>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</si>
  <si>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</si>
  <si>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</si>
  <si>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</si>
  <si>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</si>
  <si>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</si>
  <si>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</si>
  <si>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</si>
  <si>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</si>
  <si>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</si>
  <si>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</si>
  <si>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</si>
  <si>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</si>
  <si>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</si>
  <si>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</si>
  <si>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</si>
  <si>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</si>
  <si>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</si>
  <si>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</si>
  <si>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</si>
  <si>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</si>
  <si>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</si>
  <si>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</si>
  <si>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</si>
  <si>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</si>
  <si>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</si>
  <si>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</si>
  <si>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</si>
  <si>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</si>
  <si>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</si>
  <si>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</si>
  <si>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</si>
  <si>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</si>
  <si>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</si>
  <si>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</si>
  <si>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</si>
  <si>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</si>
  <si>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</si>
  <si>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</si>
  <si>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</si>
  <si>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</si>
  <si>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</si>
  <si>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</si>
  <si>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</si>
  <si>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</si>
  <si>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</si>
  <si>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</si>
  <si>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</si>
  <si>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</si>
  <si>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</si>
  <si>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</si>
  <si>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</si>
  <si>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</si>
  <si>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</si>
  <si>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</si>
  <si>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</si>
  <si>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</si>
  <si>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</si>
  <si>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</si>
  <si>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</si>
  <si>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</si>
  <si>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</si>
  <si>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</si>
  <si>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</si>
  <si>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</si>
  <si>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</si>
  <si>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</si>
  <si>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</si>
  <si>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</si>
  <si>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</si>
  <si>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</si>
  <si>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</si>
  <si>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</si>
  <si>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</si>
  <si>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</si>
  <si>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</si>
  <si>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</si>
  <si>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</si>
  <si>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</si>
  <si>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</si>
  <si>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</si>
  <si>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</si>
  <si>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</si>
  <si>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</si>
  <si>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</si>
  <si>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</si>
  <si>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</si>
  <si>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</si>
  <si>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</si>
  <si>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</si>
  <si>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</si>
  <si>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</si>
  <si>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</si>
  <si>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</si>
  <si>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</si>
  <si>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</si>
  <si>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</si>
  <si>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</si>
  <si>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</si>
  <si>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</si>
  <si>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</si>
  <si>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</si>
  <si>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</si>
  <si>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</si>
  <si>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</si>
  <si>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</si>
  <si>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</si>
  <si>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</si>
  <si>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</si>
  <si>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</si>
  <si>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</si>
  <si>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</si>
  <si>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</si>
  <si>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</si>
  <si>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</si>
  <si>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</si>
  <si>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</si>
  <si>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</si>
  <si>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</si>
  <si>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</si>
  <si>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</si>
  <si>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</si>
  <si>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</si>
  <si>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</si>
  <si>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</si>
  <si>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</si>
  <si>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</si>
  <si>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</si>
  <si>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</si>
  <si>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</si>
  <si>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</si>
  <si>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</si>
  <si>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</si>
  <si>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</si>
  <si>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</si>
  <si>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</si>
  <si>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</si>
  <si>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</si>
  <si>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</si>
  <si>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</si>
  <si>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</si>
  <si>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</si>
  <si>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</si>
  <si>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</si>
  <si>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</si>
  <si>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</si>
  <si>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</si>
  <si>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</si>
  <si>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</si>
  <si>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</si>
  <si>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</si>
  <si>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</si>
  <si>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</si>
  <si>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</si>
  <si>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</si>
  <si>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</si>
  <si>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</si>
  <si>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</si>
  <si>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</si>
  <si>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</si>
  <si>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</si>
  <si>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</si>
  <si>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</si>
  <si>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</si>
  <si>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</si>
  <si>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</si>
  <si>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</si>
  <si>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</si>
  <si>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</si>
  <si>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</si>
  <si>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</si>
  <si>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</si>
  <si>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</si>
  <si>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</si>
  <si>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</si>
  <si>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</si>
  <si>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</si>
  <si>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</si>
  <si>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</si>
  <si>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</si>
  <si>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</si>
  <si>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</si>
  <si>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</si>
  <si>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</si>
  <si>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</si>
  <si>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</si>
  <si>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</si>
  <si>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</si>
  <si>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</si>
  <si>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</si>
  <si>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</si>
  <si>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</si>
  <si>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</si>
  <si>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</si>
  <si>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</si>
  <si>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</si>
  <si>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</si>
  <si>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</si>
  <si>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</si>
  <si>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</si>
  <si>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</si>
  <si>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</si>
  <si>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</si>
  <si>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</si>
  <si>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</si>
  <si>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</si>
  <si>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</si>
  <si>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</si>
  <si>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</si>
  <si>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</si>
  <si>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</si>
  <si>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</si>
  <si>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</si>
  <si>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</si>
  <si>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</si>
  <si>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</si>
  <si>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</si>
  <si>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</si>
  <si>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</si>
  <si>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</si>
  <si>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</si>
  <si>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</si>
  <si>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</si>
  <si>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</si>
  <si>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</si>
  <si>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</si>
  <si>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</si>
  <si>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</si>
  <si>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</si>
  <si>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</si>
  <si>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</si>
  <si>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</si>
  <si>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</si>
  <si>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</si>
  <si>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</si>
  <si>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</si>
  <si>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</si>
  <si>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</si>
  <si>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</si>
  <si>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</si>
  <si>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</si>
  <si>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</si>
  <si>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</si>
  <si>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</si>
  <si>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</si>
  <si>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</si>
  <si>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</si>
  <si>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</si>
  <si>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</si>
  <si>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</si>
  <si>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</si>
  <si>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</si>
  <si>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</si>
  <si>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</si>
  <si>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</si>
  <si>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</si>
  <si>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</si>
  <si>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</si>
  <si>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</si>
  <si>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</si>
  <si>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</si>
  <si>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</si>
  <si>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</si>
  <si>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</si>
  <si>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</si>
  <si>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</si>
  <si>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</si>
  <si>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</si>
  <si>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</si>
  <si>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</si>
  <si>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</si>
  <si>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</si>
  <si>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</si>
  <si>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</si>
  <si>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</si>
  <si>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</si>
  <si>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</si>
  <si>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</si>
  <si>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</si>
  <si>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</si>
  <si>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</si>
  <si>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</si>
  <si>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</si>
  <si>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</si>
  <si>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</si>
  <si>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</si>
  <si>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</si>
  <si>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</si>
  <si>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</si>
  <si>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</si>
  <si>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</si>
  <si>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</si>
  <si>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</si>
  <si>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</si>
  <si>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</si>
  <si>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</si>
  <si>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</si>
  <si>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</si>
  <si>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</si>
  <si>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</si>
  <si>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</si>
  <si>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</si>
  <si>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</si>
  <si>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</si>
  <si>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</si>
  <si>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</si>
  <si>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</si>
  <si>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</si>
  <si>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</si>
  <si>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</si>
  <si>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</si>
  <si>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</si>
  <si>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</si>
  <si>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</si>
  <si>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</si>
  <si>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</si>
  <si>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</si>
  <si>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</si>
  <si>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</si>
  <si>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</si>
  <si>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</si>
  <si>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</si>
  <si>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</si>
  <si>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</si>
  <si>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</si>
  <si>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</si>
  <si>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</si>
  <si>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</si>
  <si>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</si>
  <si>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</si>
  <si>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</si>
  <si>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</si>
  <si>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</si>
  <si>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</si>
  <si>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</si>
  <si>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</si>
  <si>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North Housing PSH II</t>
  </si>
  <si>
    <t>Island City Development</t>
  </si>
  <si>
    <t>July</t>
  </si>
  <si>
    <t>Vanessa Cooper</t>
  </si>
  <si>
    <t>President</t>
  </si>
  <si>
    <t>520 Mosley Avenue</t>
  </si>
  <si>
    <t>City of Alameda</t>
  </si>
  <si>
    <t>Jennifer Ott</t>
  </si>
  <si>
    <t>2263 Santa Clara Avenue, Room 320</t>
  </si>
  <si>
    <t>510-747-4700</t>
  </si>
  <si>
    <t>manager@alamedaca.gov</t>
  </si>
  <si>
    <t>Corner of Mosley Avenue and Mabuhay Street</t>
  </si>
  <si>
    <t>74-1384-1 (formerly a portion 74-905-12-9)</t>
  </si>
  <si>
    <t>40%/60%</t>
  </si>
  <si>
    <t>701 Atlantic Avenue</t>
  </si>
  <si>
    <t>CA</t>
  </si>
  <si>
    <t>510-747-4300</t>
  </si>
  <si>
    <t>vcooper@alamedahsg.org</t>
  </si>
  <si>
    <t>ICD Mosley LLC</t>
  </si>
  <si>
    <t>Managing GP</t>
  </si>
  <si>
    <t xml:space="preserve">Housing Authority of the City of Alameda </t>
  </si>
  <si>
    <t xml:space="preserve">Applicant, Developer, General Partner </t>
  </si>
  <si>
    <t>Sylvia Martinez</t>
  </si>
  <si>
    <t>510-747-4343</t>
  </si>
  <si>
    <t>smartinez@alamedahsg.org</t>
  </si>
  <si>
    <t>Alameda, CA, 94501</t>
  </si>
  <si>
    <t>510-522-7848</t>
  </si>
  <si>
    <t>HKIT Architects, Inc.</t>
  </si>
  <si>
    <t>538 Ninth Street Suite 240</t>
  </si>
  <si>
    <t>Oakland, CA, 94607</t>
  </si>
  <si>
    <t>Paul McElwee</t>
  </si>
  <si>
    <t>510-625-9800</t>
  </si>
  <si>
    <t>pmcelwee@hkit.com</t>
  </si>
  <si>
    <t>Gubb &amp; Barshay LLP</t>
  </si>
  <si>
    <t>235 Montgomery Street, Suite 1110</t>
  </si>
  <si>
    <t>San Francisco, CA, 94104</t>
  </si>
  <si>
    <t>Henry Loh</t>
  </si>
  <si>
    <t>415-354-3618</t>
  </si>
  <si>
    <t>hloh@gubbandbarshay.com</t>
  </si>
  <si>
    <t>J.H.Fitzmaurice, Inc.</t>
  </si>
  <si>
    <t>2857 Hannah Street</t>
  </si>
  <si>
    <t>Oakland, CA, 94608</t>
  </si>
  <si>
    <t>Mohammad Hakimi</t>
  </si>
  <si>
    <t>510-444-7561</t>
  </si>
  <si>
    <t>mh@jhfoak.com</t>
  </si>
  <si>
    <t>Sage Green Development, LLC</t>
  </si>
  <si>
    <t>2478 Martin Luther King Jr. Way</t>
  </si>
  <si>
    <t>Berkeley, CA, 94704</t>
  </si>
  <si>
    <t>Lisa Marshall</t>
  </si>
  <si>
    <t>510-644-9894</t>
  </si>
  <si>
    <t>lisa@sagegreen.us</t>
  </si>
  <si>
    <t>Novogradac &amp; Company LLC</t>
  </si>
  <si>
    <t>1160 Battery St. East Buidling, 4th Floor</t>
  </si>
  <si>
    <t>San Francisco, CA, 94111</t>
  </si>
  <si>
    <t>Melissa Chung</t>
  </si>
  <si>
    <t>415-356-7906</t>
  </si>
  <si>
    <t>melissa.chung@novoco.com</t>
  </si>
  <si>
    <t>TBD</t>
  </si>
  <si>
    <t xml:space="preserve">Community Economics, Inc. </t>
  </si>
  <si>
    <t>538 9th Street, Suite 200</t>
  </si>
  <si>
    <t>Elissa Dennis</t>
  </si>
  <si>
    <t>510-832-8300</t>
  </si>
  <si>
    <t>510-832-2227</t>
  </si>
  <si>
    <t>elissa@communityeconomics.org</t>
  </si>
  <si>
    <t>Kinetic Valuation Group</t>
  </si>
  <si>
    <t>3901 S 147th Street, Suite 144</t>
  </si>
  <si>
    <t>Omaha, NE, 68144</t>
  </si>
  <si>
    <t>Jay Wortmann</t>
  </si>
  <si>
    <t>402-202-0771</t>
  </si>
  <si>
    <t>jay@kvgteam.com</t>
  </si>
  <si>
    <t>FPI Management Corporation</t>
  </si>
  <si>
    <t>800 Iron Point Road</t>
  </si>
  <si>
    <t>Folsom, CA 95630</t>
  </si>
  <si>
    <t>Curtis Tumbaga</t>
  </si>
  <si>
    <t>916-357-5300</t>
  </si>
  <si>
    <t>curtis.tumbaga@fpimgt.com</t>
  </si>
  <si>
    <t>Vacant Land.</t>
  </si>
  <si>
    <t>Housing Authority of the City of Alameda</t>
  </si>
  <si>
    <t>Executive Director</t>
  </si>
  <si>
    <t>701 Atlantic Avenue, Alameda, CA 94501</t>
  </si>
  <si>
    <t>(510) 747-4300</t>
  </si>
  <si>
    <t>Secured by Leasehold Interest</t>
  </si>
  <si>
    <t>Inner City Infill Site</t>
  </si>
  <si>
    <t>New construction of a 4- story-wood-framed apartment building.</t>
  </si>
  <si>
    <t xml:space="preserve">Mobility Accessible units as required per regulations. </t>
  </si>
  <si>
    <t>R4-PD, Medium Density Residential with Multi-Family Overlay</t>
  </si>
  <si>
    <t>45 ft Height Limit, Proposed 44 Ft Building</t>
  </si>
  <si>
    <t>None required per City of Alameda ordinance</t>
  </si>
  <si>
    <t>Staff parking only per agreement with lessor</t>
  </si>
  <si>
    <t>Alameda Affordable Housing Corporation AAHTF</t>
  </si>
  <si>
    <t>Federal Home Loan Bank  - AHP</t>
  </si>
  <si>
    <t>HCD National Housing Trust Fund</t>
  </si>
  <si>
    <t>City of Alameda PLHA Fund</t>
  </si>
  <si>
    <t>City of Alameda HOME Fund</t>
  </si>
  <si>
    <t>US Bank construction loan</t>
  </si>
  <si>
    <t>Variable</t>
  </si>
  <si>
    <t>Land donation via lease</t>
  </si>
  <si>
    <t>HCD- NHTF</t>
  </si>
  <si>
    <t>Fixed</t>
  </si>
  <si>
    <t>Alameda Affordable Housing Trust Fund/AAHC</t>
  </si>
  <si>
    <t>City of Alameda PLHA</t>
  </si>
  <si>
    <t>AHP</t>
  </si>
  <si>
    <t>GP equity</t>
  </si>
  <si>
    <t>LP equity</t>
  </si>
  <si>
    <t>1307 Washington Ave</t>
  </si>
  <si>
    <t>St. Louis Missouri</t>
  </si>
  <si>
    <t>Joshua Evju</t>
  </si>
  <si>
    <t>314-662-7533</t>
  </si>
  <si>
    <t>construction loan</t>
  </si>
  <si>
    <t>lease - land donation</t>
  </si>
  <si>
    <t>residual receipts loan</t>
  </si>
  <si>
    <t>equity</t>
  </si>
  <si>
    <t>2020 W. El Camino Avenue, Suite 200</t>
  </si>
  <si>
    <t xml:space="preserve">Sacramento, CA </t>
  </si>
  <si>
    <t>Anne Nicholls</t>
  </si>
  <si>
    <t>916-776-7473</t>
  </si>
  <si>
    <t>Amy Wooldridge</t>
  </si>
  <si>
    <t>510-747-6890</t>
  </si>
  <si>
    <t>333 Bush Street #2700</t>
  </si>
  <si>
    <t>Eric Cicourel</t>
  </si>
  <si>
    <t>415-616-1000</t>
  </si>
  <si>
    <t>deferred loan</t>
  </si>
  <si>
    <t>Perm loan</t>
  </si>
  <si>
    <t>perm loan</t>
  </si>
  <si>
    <t>land lease - donation</t>
  </si>
  <si>
    <t xml:space="preserve">residual receipts loan </t>
  </si>
  <si>
    <t xml:space="preserve">deferred loan </t>
  </si>
  <si>
    <t>See TCAC ED approval re Managers Unit Waiver</t>
  </si>
  <si>
    <t>20 yrs from start</t>
  </si>
  <si>
    <t>Office equipment, postage, bookkeeping, tel/answering services, travel, training, bank fees, and computer charges</t>
  </si>
  <si>
    <t>Payroll taxes, Workers Comp, Health Ins, Benefits</t>
  </si>
  <si>
    <t>misc. maintenance, fire alarms</t>
  </si>
  <si>
    <t>Annual partnership tax returns</t>
  </si>
  <si>
    <t>Alameda Housing Authority</t>
  </si>
  <si>
    <t>12.13.21</t>
  </si>
  <si>
    <t>Section 8</t>
  </si>
  <si>
    <t>Project-based vouchers (PBVs)</t>
  </si>
  <si>
    <t xml:space="preserve">Section 8 Project Based Vouchers </t>
  </si>
  <si>
    <t>ICD Mosley LLC ( Island City Development is the sole member of the GP)</t>
  </si>
  <si>
    <t>AC Transit Line 96 E &amp; W</t>
  </si>
  <si>
    <t>5th Street &amp; Singleton</t>
  </si>
  <si>
    <t>Alameda 94501</t>
  </si>
  <si>
    <t>Customer Service Phone Line</t>
  </si>
  <si>
    <t>(510) 891-4777</t>
  </si>
  <si>
    <t>https://www.actransit.org/bus-lines-schedules/96</t>
  </si>
  <si>
    <t>0.2 miles</t>
  </si>
  <si>
    <t>Target</t>
  </si>
  <si>
    <t>2700 Fifth Street</t>
  </si>
  <si>
    <t>Customer Service/ Store Manager</t>
  </si>
  <si>
    <t>https://www.target.com/sl/alameda/2829</t>
  </si>
  <si>
    <t>0.22 miles</t>
  </si>
  <si>
    <t>CVS Pharmacy</t>
  </si>
  <si>
    <t>Pharmacy Manager</t>
  </si>
  <si>
    <t>Safeway</t>
  </si>
  <si>
    <t>2600 Fifth Street</t>
  </si>
  <si>
    <t>Store Manager</t>
  </si>
  <si>
    <t>https://local.safeway.com/safeway/ca/alameda/2600-5th-st.html?utm_source=G&amp;utm_medium=Maps&amp;utm_campaign=G+Places</t>
  </si>
  <si>
    <t>0.3 miles</t>
  </si>
  <si>
    <t>Estuary Park</t>
  </si>
  <si>
    <t>201 Mosley Avenue</t>
  </si>
  <si>
    <t>Stacy Thomas, Recreation Supervisor I</t>
  </si>
  <si>
    <t xml:space="preserve"> https://www.alamedaca.gov/Departments/Recreation-Parks/Estuary-Park</t>
  </si>
  <si>
    <t>0.05 miles</t>
  </si>
  <si>
    <t>Alameda Landing Express</t>
  </si>
  <si>
    <t>5th Street and Mitchell Avenue</t>
  </si>
  <si>
    <t>Jennifer Duarte</t>
  </si>
  <si>
    <t>(510) 403-5123</t>
  </si>
  <si>
    <t>https://shopalamedalanding.com/pages/alamedacrossing-shuttle</t>
  </si>
  <si>
    <t>College of Alameda</t>
  </si>
  <si>
    <t>555 Ralph Appezzato Memorial Pkwy,</t>
  </si>
  <si>
    <t>Diana Bajrami</t>
  </si>
  <si>
    <t>https://alameda.edu/</t>
  </si>
  <si>
    <t>1 mile</t>
  </si>
  <si>
    <t>City of Alameda HOME</t>
  </si>
  <si>
    <t>PV system</t>
  </si>
  <si>
    <t>perm loan legal, lender + owner</t>
  </si>
  <si>
    <t>owner legal</t>
  </si>
  <si>
    <t>HCD transition reserve pool fee</t>
  </si>
  <si>
    <t>security during construction</t>
  </si>
  <si>
    <t>prevailing wage monitoring</t>
  </si>
  <si>
    <t>1 bedroom</t>
  </si>
  <si>
    <t>Studio</t>
  </si>
  <si>
    <t>AHA soft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</si>
</sst>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9566">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4"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14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02"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4"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169" fontId="4" fillId="7" borderId="15" xfId="0" applyNumberFormat="1"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7" borderId="3" xfId="0" applyFont="1" applyFill="1" applyBorder="1" applyProtection="1">
      <protection locked="0"/>
    </xf>
    <xf numFmtId="0" fontId="4" fillId="0" borderId="4" xfId="0" applyFont="1" applyBorder="1" applyProtection="1">
      <protection locked="0"/>
    </xf>
    <xf numFmtId="0" fontId="4" fillId="0" borderId="8" xfId="0" applyFont="1" applyBorder="1" applyProtection="1">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0" fontId="47" fillId="0" borderId="3" xfId="0" applyFont="1" applyBorder="1"/>
    <xf numFmtId="0" fontId="47" fillId="0" borderId="4" xfId="0" applyFont="1" applyBorder="1"/>
    <xf numFmtId="0" fontId="47" fillId="0" borderId="8" xfId="0" applyFont="1" applyBorder="1"/>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67" fontId="4" fillId="7" borderId="4" xfId="0" applyNumberFormat="1"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24" fillId="7" borderId="5" xfId="0" applyFont="1" applyFill="1" applyBorder="1" applyAlignment="1" applyProtection="1">
      <alignment horizontal="left"/>
      <protection locked="0"/>
    </xf>
    <xf numFmtId="169" fontId="13" fillId="0" borderId="12"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1" fontId="4" fillId="7" borderId="5" xfId="273" applyNumberFormat="1" applyFont="1" applyFill="1" applyBorder="1" applyAlignment="1" applyProtection="1">
      <alignment horizontal="center"/>
      <protection locked="0"/>
    </xf>
    <xf numFmtId="9" fontId="13" fillId="0" borderId="12" xfId="0" applyNumberFormat="1" applyFont="1" applyBorder="1" applyAlignment="1">
      <alignment horizontal="center"/>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4" fillId="7" borderId="4" xfId="0" applyFont="1" applyFill="1" applyBorder="1" applyAlignment="1" applyProtection="1">
      <alignment vertical="center"/>
      <protection locked="0"/>
    </xf>
    <xf numFmtId="0" fontId="11" fillId="0" borderId="12" xfId="0" applyFont="1" applyBorder="1" applyAlignment="1">
      <alignment horizontal="center" vertical="center" wrapText="1"/>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2" fontId="0" fillId="0" borderId="5" xfId="0" applyNumberFormat="1" applyBorder="1" applyAlignment="1">
      <alignment horizontal="center"/>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12" fillId="51" borderId="5" xfId="0" applyFont="1" applyFill="1" applyBorder="1" applyAlignment="1" applyProtection="1">
      <alignment horizontal="left"/>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24" fillId="0" borderId="2" xfId="0" applyFont="1" applyBorder="1" applyAlignment="1">
      <alignment horizontal="center"/>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0" fontId="11" fillId="0" borderId="5" xfId="0" applyFont="1" applyBorder="1" applyAlignment="1">
      <alignment horizontal="right"/>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1" fillId="0" borderId="9" xfId="0" applyFont="1" applyBorder="1" applyAlignment="1">
      <alignment horizontal="right"/>
    </xf>
    <xf numFmtId="0" fontId="11" fillId="0" borderId="10" xfId="0" applyFont="1" applyBorder="1" applyAlignment="1">
      <alignment horizontal="right"/>
    </xf>
    <xf numFmtId="3" fontId="0" fillId="7" borderId="3" xfId="0" applyNumberForma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4" fillId="7" borderId="4" xfId="0"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0" fontId="13"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4" fillId="7" borderId="5" xfId="0" applyFont="1" applyFill="1" applyBorder="1" applyAlignment="1" applyProtection="1">
      <alignment horizontal="center"/>
      <protection locked="0"/>
    </xf>
    <xf numFmtId="0" fontId="13" fillId="0" borderId="5" xfId="0" applyFont="1" applyBorder="1" applyAlignment="1">
      <alignment horizontal="left"/>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0" borderId="12" xfId="0" applyFont="1" applyBorder="1" applyAlignment="1">
      <alignment horizontal="center"/>
    </xf>
    <xf numFmtId="0" fontId="11" fillId="0" borderId="12" xfId="0" applyFont="1" applyBorder="1" applyAlignment="1">
      <alignment horizontal="center"/>
    </xf>
    <xf numFmtId="0" fontId="11" fillId="0" borderId="0" xfId="0" applyFont="1" applyAlignment="1">
      <alignment horizontal="center" vertical="center"/>
    </xf>
    <xf numFmtId="0" fontId="0" fillId="0" borderId="9" xfId="0" applyBorder="1" applyAlignment="1">
      <alignment horizontal="left"/>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 fontId="4" fillId="0" borderId="0" xfId="546" applyNumberFormat="1" applyAlignment="1">
      <alignment horizontal="center"/>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0" borderId="12" xfId="0" applyNumberFormat="1" applyBorder="1" applyAlignment="1">
      <alignment horizontal="right"/>
    </xf>
    <xf numFmtId="169" fontId="0" fillId="0" borderId="0" xfId="0" applyNumberFormat="1" applyAlignment="1">
      <alignment horizontal="right"/>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9" fontId="0" fillId="0" borderId="12" xfId="0" applyNumberFormat="1" applyBorder="1"/>
    <xf numFmtId="0" fontId="4" fillId="0" borderId="0" xfId="546" applyAlignment="1">
      <alignment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4" fontId="24" fillId="7" borderId="8" xfId="0" applyNumberFormat="1" applyFont="1" applyFill="1"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79" fontId="4" fillId="7" borderId="4" xfId="0" applyNumberFormat="1" applyFont="1" applyFill="1" applyBorder="1" applyAlignment="1" applyProtection="1">
      <alignment horizontal="right"/>
      <protection locked="0"/>
    </xf>
    <xf numFmtId="0" fontId="0" fillId="51" borderId="10" xfId="0" applyFill="1" applyBorder="1" applyAlignment="1" applyProtection="1">
      <alignment horizontal="left"/>
      <protection locked="0"/>
    </xf>
    <xf numFmtId="0" fontId="4" fillId="7" borderId="0" xfId="0" applyFont="1" applyFill="1" applyAlignment="1" applyProtection="1">
      <alignment horizontal="left" vertical="top" wrapText="1"/>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9" fontId="12" fillId="0" borderId="0" xfId="0" applyNumberFormat="1" applyFont="1" applyAlignment="1">
      <alignment horizontal="left" vertical="top" wrapText="1"/>
    </xf>
    <xf numFmtId="0" fontId="4" fillId="7" borderId="9"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12" xfId="0" applyNumberFormat="1" applyFont="1" applyBorder="1" applyAlignment="1">
      <alignment horizontal="center"/>
    </xf>
    <xf numFmtId="14" fontId="4" fillId="7" borderId="4" xfId="0" applyNumberFormat="1" applyFont="1" applyFill="1" applyBorder="1" applyAlignment="1" applyProtection="1">
      <alignment horizontal="right"/>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1" fontId="4" fillId="7" borderId="5" xfId="0" applyNumberFormat="1" applyFont="1" applyFill="1" applyBorder="1" applyAlignment="1" applyProtection="1">
      <alignment horizontal="right"/>
      <protection locked="0"/>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0" fillId="7" borderId="4" xfId="0" applyFill="1" applyBorder="1" applyAlignment="1" applyProtection="1">
      <alignment horizontal="left"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21" fillId="0" borderId="12" xfId="0" applyFont="1" applyBorder="1" applyAlignment="1">
      <alignment horizontal="center" vertic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1" fontId="12"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9566">
    <cellStyle name="20% - Accent1" xfId="1" builtinId="30" customBuiltin="1"/>
    <cellStyle name="20% - Accent1 10" xfId="5336" xr:uid="{4D7D240F-B400-441E-832C-1D13CD2E1151}"/>
    <cellStyle name="20% - Accent1 11" xfId="1032" xr:uid="{BC4ABFDF-C846-463A-8F5B-9E0748AC65A4}"/>
    <cellStyle name="20% - Accent1 2" xfId="2" xr:uid="{00000000-0005-0000-0000-000001000000}"/>
    <cellStyle name="20% - Accent1 2 10" xfId="1033" xr:uid="{5779948F-7DAE-41FC-AAC4-11C9098F99E5}"/>
    <cellStyle name="20% - Accent1 2 2" xfId="3" xr:uid="{00000000-0005-0000-0000-000002000000}"/>
    <cellStyle name="20% - Accent1 2 2 2" xfId="4" xr:uid="{00000000-0005-0000-0000-000003000000}"/>
    <cellStyle name="20% - Accent1 2 2 2 2" xfId="581" xr:uid="{00000000-0005-0000-0000-000004000000}"/>
    <cellStyle name="20% - Accent1 2 2 2 2 2" xfId="3680" xr:uid="{24C2076A-C296-4AF2-AD27-28A5859B345E}"/>
    <cellStyle name="20% - Accent1 2 2 2 2 2 2" xfId="7898" xr:uid="{7B8D43C4-4927-4C36-A75E-7160C99FF894}"/>
    <cellStyle name="20% - Accent1 2 2 2 2 3" xfId="5753" xr:uid="{17DA75FC-070F-4FB4-9897-4A2D8EAD51FA}"/>
    <cellStyle name="20% - Accent1 2 2 2 2 4" xfId="1449" xr:uid="{B8927AC4-102D-4C78-9411-1A9F2EBCD1ED}"/>
    <cellStyle name="20% - Accent1 2 2 2 3" xfId="1864" xr:uid="{1D6E7201-C0A3-4FAB-8DA4-D122284E661A}"/>
    <cellStyle name="20% - Accent1 2 2 2 3 2" xfId="4093" xr:uid="{29A1BB1C-5B2C-410B-BC7B-77EBFADB5AC0}"/>
    <cellStyle name="20% - Accent1 2 2 2 3 2 2" xfId="8311" xr:uid="{1828CC14-700F-4E52-8311-AD2F234ABD16}"/>
    <cellStyle name="20% - Accent1 2 2 2 3 3" xfId="6166" xr:uid="{C7BA073E-827F-4B74-9039-51D0449000EF}"/>
    <cellStyle name="20% - Accent1 2 2 2 4" xfId="2277" xr:uid="{AB0623E0-578F-4D66-8049-DBCBC02B222A}"/>
    <cellStyle name="20% - Accent1 2 2 2 4 2" xfId="4506" xr:uid="{42205132-133C-4955-83BE-45FBD9FEF49C}"/>
    <cellStyle name="20% - Accent1 2 2 2 4 2 2" xfId="8724" xr:uid="{5C34C3B3-7C64-44F2-BD99-B79E35648504}"/>
    <cellStyle name="20% - Accent1 2 2 2 4 3" xfId="6579" xr:uid="{3AA0C84E-32C8-441A-ACB9-50AAC9509892}"/>
    <cellStyle name="20% - Accent1 2 2 2 5" xfId="2690" xr:uid="{A6DCC651-2791-4F58-A059-A95D8E62486F}"/>
    <cellStyle name="20% - Accent1 2 2 2 5 2" xfId="4919" xr:uid="{50ABA15C-C457-47F3-AAB4-1495456E335B}"/>
    <cellStyle name="20% - Accent1 2 2 2 5 2 2" xfId="9137" xr:uid="{210EFDBE-DF8E-4EAC-9294-1D239EBF4595}"/>
    <cellStyle name="20% - Accent1 2 2 2 5 3" xfId="6992" xr:uid="{675A3087-452E-4D62-B35C-C164F4213DB1}"/>
    <cellStyle name="20% - Accent1 2 2 2 6" xfId="3103" xr:uid="{AECC395E-638F-4608-AAF4-E6AD5F315860}"/>
    <cellStyle name="20% - Accent1 2 2 2 6 2" xfId="7405" xr:uid="{9B8C8686-529F-4AC4-8CD1-8E18DF2E9A39}"/>
    <cellStyle name="20% - Accent1 2 2 2 7" xfId="5339" xr:uid="{E133DD90-A22B-405B-BBD3-F2705784C932}"/>
    <cellStyle name="20% - Accent1 2 2 2 8" xfId="1035" xr:uid="{87AC77C7-7024-46AF-93D5-630C6ECFD353}"/>
    <cellStyle name="20% - Accent1 2 2 3" xfId="580" xr:uid="{00000000-0005-0000-0000-000005000000}"/>
    <cellStyle name="20% - Accent1 2 2 3 2" xfId="3679" xr:uid="{554B9270-F1AA-4DD3-9EA1-837689B1AD54}"/>
    <cellStyle name="20% - Accent1 2 2 3 2 2" xfId="7897" xr:uid="{5A6DA75C-2330-4504-A279-929B778D9621}"/>
    <cellStyle name="20% - Accent1 2 2 3 3" xfId="5752" xr:uid="{7207A774-2BB3-4B95-B9FA-41B8ECD17B62}"/>
    <cellStyle name="20% - Accent1 2 2 3 4" xfId="1448" xr:uid="{BE9BFE0A-6974-45A2-8EDF-0235EB0C1767}"/>
    <cellStyle name="20% - Accent1 2 2 4" xfId="1863" xr:uid="{3D772DED-10CA-4952-85CC-2C8DE025383C}"/>
    <cellStyle name="20% - Accent1 2 2 4 2" xfId="4092" xr:uid="{29AEB44F-59A3-4F12-A69E-FE5476CD5EDA}"/>
    <cellStyle name="20% - Accent1 2 2 4 2 2" xfId="8310" xr:uid="{09877EF7-9F0F-49F0-9B21-14C65B496F98}"/>
    <cellStyle name="20% - Accent1 2 2 4 3" xfId="6165" xr:uid="{4473FC3C-C477-4390-9797-382302046189}"/>
    <cellStyle name="20% - Accent1 2 2 5" xfId="2276" xr:uid="{8DED1C2C-7521-402B-9944-51668E755C08}"/>
    <cellStyle name="20% - Accent1 2 2 5 2" xfId="4505" xr:uid="{E7EC7642-05EF-401A-8EB4-3A276DE03F15}"/>
    <cellStyle name="20% - Accent1 2 2 5 2 2" xfId="8723" xr:uid="{5A7F565F-E973-4C7A-9017-43D384E3779C}"/>
    <cellStyle name="20% - Accent1 2 2 5 3" xfId="6578" xr:uid="{8DDF6D4D-DFC9-4884-9C4D-9885986E3DD6}"/>
    <cellStyle name="20% - Accent1 2 2 6" xfId="2689" xr:uid="{9D84DEB9-DED7-4501-8702-EA13276F602F}"/>
    <cellStyle name="20% - Accent1 2 2 6 2" xfId="4918" xr:uid="{0FAFD65E-99FE-433E-8BDC-DE428E801575}"/>
    <cellStyle name="20% - Accent1 2 2 6 2 2" xfId="9136" xr:uid="{55D62520-7057-4F6B-99AD-BBB8B9704EF9}"/>
    <cellStyle name="20% - Accent1 2 2 6 3" xfId="6991" xr:uid="{6F539EB0-4FB7-4433-BAD1-2D9CDA0813C3}"/>
    <cellStyle name="20% - Accent1 2 2 7" xfId="3102" xr:uid="{F465236A-6F61-4A75-ADA5-8B1B74E3429B}"/>
    <cellStyle name="20% - Accent1 2 2 7 2" xfId="7404" xr:uid="{DA7A3ABC-DF8B-4CB9-B904-A9F4F5A4EF3F}"/>
    <cellStyle name="20% - Accent1 2 2 8" xfId="5338" xr:uid="{D136CCD3-C3A4-4731-A873-622D73C6A19F}"/>
    <cellStyle name="20% - Accent1 2 2 9" xfId="1034" xr:uid="{5BD11B42-2EAF-4B12-BAE3-168C8BDFFFCF}"/>
    <cellStyle name="20% - Accent1 2 3" xfId="5" xr:uid="{00000000-0005-0000-0000-000006000000}"/>
    <cellStyle name="20% - Accent1 2 3 2" xfId="582" xr:uid="{00000000-0005-0000-0000-000007000000}"/>
    <cellStyle name="20% - Accent1 2 3 2 2" xfId="3681" xr:uid="{314B7DD2-B3BA-4AC1-9414-CB7CC315B126}"/>
    <cellStyle name="20% - Accent1 2 3 2 2 2" xfId="7899" xr:uid="{CD324609-58C7-4193-8254-6D3392778622}"/>
    <cellStyle name="20% - Accent1 2 3 2 3" xfId="5754" xr:uid="{72731A45-59D9-4070-9313-AB72D4A82796}"/>
    <cellStyle name="20% - Accent1 2 3 2 4" xfId="1450" xr:uid="{15BF42D9-F72B-4046-95AC-1983D46E7DE5}"/>
    <cellStyle name="20% - Accent1 2 3 3" xfId="1865" xr:uid="{33D20FB9-A5E5-475B-8543-A49F43C02BE5}"/>
    <cellStyle name="20% - Accent1 2 3 3 2" xfId="4094" xr:uid="{D4767B2F-372E-4E83-9C46-147BC658A1FF}"/>
    <cellStyle name="20% - Accent1 2 3 3 2 2" xfId="8312" xr:uid="{372DB5FB-E4D2-4C31-9BA3-5DA01FA67A3B}"/>
    <cellStyle name="20% - Accent1 2 3 3 3" xfId="6167" xr:uid="{BE5A99BD-268E-4D32-9AFB-23FE8862A72A}"/>
    <cellStyle name="20% - Accent1 2 3 4" xfId="2278" xr:uid="{37E88481-8DFE-43A1-B108-D974E73CF082}"/>
    <cellStyle name="20% - Accent1 2 3 4 2" xfId="4507" xr:uid="{FC1AC5E7-BFC9-45E0-A286-6976B5216B7C}"/>
    <cellStyle name="20% - Accent1 2 3 4 2 2" xfId="8725" xr:uid="{CE7D6C75-BABF-4843-9A79-0846A433053C}"/>
    <cellStyle name="20% - Accent1 2 3 4 3" xfId="6580" xr:uid="{7F9D3EAC-604B-4BD7-9F68-5CA78B9283A1}"/>
    <cellStyle name="20% - Accent1 2 3 5" xfId="2691" xr:uid="{37EE7879-469B-4311-BF34-B6B76518541A}"/>
    <cellStyle name="20% - Accent1 2 3 5 2" xfId="4920" xr:uid="{8410A9DC-DDAF-4347-88C3-311161962F82}"/>
    <cellStyle name="20% - Accent1 2 3 5 2 2" xfId="9138" xr:uid="{5E9F2AA8-B6CD-4FE2-9BC3-078026799526}"/>
    <cellStyle name="20% - Accent1 2 3 5 3" xfId="6993" xr:uid="{A7634C27-4885-4AD7-ADE0-B2DEC78EA3F6}"/>
    <cellStyle name="20% - Accent1 2 3 6" xfId="3104" xr:uid="{DD43AD65-2873-45BA-B461-AD6C91C276FA}"/>
    <cellStyle name="20% - Accent1 2 3 6 2" xfId="7406" xr:uid="{2F74936E-D8A7-4EE3-B09D-191D1D5A7451}"/>
    <cellStyle name="20% - Accent1 2 3 7" xfId="5340" xr:uid="{9AF8DE23-3E21-4CFE-B6E3-188A71D62418}"/>
    <cellStyle name="20% - Accent1 2 3 8" xfId="1036" xr:uid="{FB71EF49-B6AA-4C16-973F-62FBDC132181}"/>
    <cellStyle name="20% - Accent1 2 4" xfId="579" xr:uid="{00000000-0005-0000-0000-000008000000}"/>
    <cellStyle name="20% - Accent1 2 4 2" xfId="3678" xr:uid="{49F3F4BC-EFC7-4CF7-AD8E-4CB28D4A5704}"/>
    <cellStyle name="20% - Accent1 2 4 2 2" xfId="7896" xr:uid="{B246F483-083A-4435-ACCC-BF57F11B1E50}"/>
    <cellStyle name="20% - Accent1 2 4 3" xfId="5751" xr:uid="{57E918B1-F602-4C4A-AA11-9B0C476E373C}"/>
    <cellStyle name="20% - Accent1 2 4 4" xfId="1447" xr:uid="{BE1393AB-31DB-4617-97B6-78459E98B8E1}"/>
    <cellStyle name="20% - Accent1 2 5" xfId="1862" xr:uid="{B9130E75-D2D7-492A-8D2A-6EEA5638CBF7}"/>
    <cellStyle name="20% - Accent1 2 5 2" xfId="4091" xr:uid="{D96E327F-232B-417B-BA01-56679E7BB04E}"/>
    <cellStyle name="20% - Accent1 2 5 2 2" xfId="8309" xr:uid="{65FA39D5-AFA5-4135-B7C5-E84FF372E51B}"/>
    <cellStyle name="20% - Accent1 2 5 3" xfId="6164" xr:uid="{D6F9DEA8-5894-4605-B9DA-5CCC16E08C41}"/>
    <cellStyle name="20% - Accent1 2 6" xfId="2275" xr:uid="{A59D511E-0846-4681-9D64-5379073A43D5}"/>
    <cellStyle name="20% - Accent1 2 6 2" xfId="4504" xr:uid="{539E184C-9142-4AC6-9BF4-2BC859620865}"/>
    <cellStyle name="20% - Accent1 2 6 2 2" xfId="8722" xr:uid="{E1475227-F423-470D-BB42-C49AA4491F38}"/>
    <cellStyle name="20% - Accent1 2 6 3" xfId="6577" xr:uid="{D64AFFFA-4152-42DA-BBDC-DF257FF7C5A9}"/>
    <cellStyle name="20% - Accent1 2 7" xfId="2688" xr:uid="{0A158F24-70F5-4B24-84B9-2535990322AA}"/>
    <cellStyle name="20% - Accent1 2 7 2" xfId="4917" xr:uid="{B728F172-AD68-458B-B13C-7A103D51C680}"/>
    <cellStyle name="20% - Accent1 2 7 2 2" xfId="9135" xr:uid="{6C7E7BCD-987E-46F9-8564-A4733CC41792}"/>
    <cellStyle name="20% - Accent1 2 7 3" xfId="6990" xr:uid="{FC899A44-66B2-4ADE-B023-1418D1B3512F}"/>
    <cellStyle name="20% - Accent1 2 8" xfId="3101" xr:uid="{6255F6D1-6DF2-4D05-9A92-08BB329540B4}"/>
    <cellStyle name="20% - Accent1 2 8 2" xfId="7403" xr:uid="{5C582287-A44D-4ECA-8B19-C54B6C9D4E1D}"/>
    <cellStyle name="20% - Accent1 2 9" xfId="5337" xr:uid="{9D4CD86B-7362-4B26-9A13-A12897B99B2E}"/>
    <cellStyle name="20% - Accent1 3" xfId="6" xr:uid="{00000000-0005-0000-0000-000009000000}"/>
    <cellStyle name="20% - Accent1 3 2" xfId="7" xr:uid="{00000000-0005-0000-0000-00000A000000}"/>
    <cellStyle name="20% - Accent1 3 2 2" xfId="584" xr:uid="{00000000-0005-0000-0000-00000B000000}"/>
    <cellStyle name="20% - Accent1 3 2 2 2" xfId="3683" xr:uid="{A3E28E1A-6E29-43DD-A370-08EB82165C3E}"/>
    <cellStyle name="20% - Accent1 3 2 2 2 2" xfId="7901" xr:uid="{EA604B36-FB57-461C-B61B-B1AECE33A7E3}"/>
    <cellStyle name="20% - Accent1 3 2 2 3" xfId="5756" xr:uid="{A3068009-F94A-4C9A-9A21-BB68A1411768}"/>
    <cellStyle name="20% - Accent1 3 2 2 4" xfId="1452" xr:uid="{7AC4D9C8-FC1A-417D-84C6-A726A2E7F004}"/>
    <cellStyle name="20% - Accent1 3 2 3" xfId="1867" xr:uid="{FBEB9D10-E8A8-4901-B868-10ED80791E19}"/>
    <cellStyle name="20% - Accent1 3 2 3 2" xfId="4096" xr:uid="{4CD196B6-A84C-4249-BF82-23F6C4B377F2}"/>
    <cellStyle name="20% - Accent1 3 2 3 2 2" xfId="8314" xr:uid="{46CE6F09-A4AD-4B34-B088-A3D3D889CD7A}"/>
    <cellStyle name="20% - Accent1 3 2 3 3" xfId="6169" xr:uid="{E539FD88-2FC2-45EC-A904-7DE0B962144A}"/>
    <cellStyle name="20% - Accent1 3 2 4" xfId="2280" xr:uid="{AD687E40-4ABC-4EED-82DA-52D080EEBB34}"/>
    <cellStyle name="20% - Accent1 3 2 4 2" xfId="4509" xr:uid="{1BFD0B26-A072-43A5-80B9-55D00B718201}"/>
    <cellStyle name="20% - Accent1 3 2 4 2 2" xfId="8727" xr:uid="{AA9EC99F-8FA5-4D45-B04E-EA5A95B91E73}"/>
    <cellStyle name="20% - Accent1 3 2 4 3" xfId="6582" xr:uid="{83DC0AD1-1D8E-4FDA-A98B-124F915A72DE}"/>
    <cellStyle name="20% - Accent1 3 2 5" xfId="2693" xr:uid="{50ACA57D-5AE3-4F3F-A29B-A494CFBE42FE}"/>
    <cellStyle name="20% - Accent1 3 2 5 2" xfId="4922" xr:uid="{8DD0D315-DE7A-4187-B5CB-4864E29CCDEA}"/>
    <cellStyle name="20% - Accent1 3 2 5 2 2" xfId="9140" xr:uid="{72660971-BAB1-4C36-B02B-87A39C908BC5}"/>
    <cellStyle name="20% - Accent1 3 2 5 3" xfId="6995" xr:uid="{010135CF-F874-4FD4-92A7-C55E61DC09EE}"/>
    <cellStyle name="20% - Accent1 3 2 6" xfId="3106" xr:uid="{FB1FAD9B-2363-46A0-BB38-7EADD8AEDEB2}"/>
    <cellStyle name="20% - Accent1 3 2 6 2" xfId="7408" xr:uid="{E64FF826-251F-4B21-B4CC-8662910C4C65}"/>
    <cellStyle name="20% - Accent1 3 2 7" xfId="5342" xr:uid="{31C19097-BCF3-428D-BBB5-C255290D70DC}"/>
    <cellStyle name="20% - Accent1 3 2 8" xfId="1038" xr:uid="{B7BC1C7B-32CA-4A7D-8975-BE5523ABFDC8}"/>
    <cellStyle name="20% - Accent1 3 3" xfId="583" xr:uid="{00000000-0005-0000-0000-00000C000000}"/>
    <cellStyle name="20% - Accent1 3 3 2" xfId="3682" xr:uid="{759D4707-2F01-4C91-889F-4FB9D10A3A9E}"/>
    <cellStyle name="20% - Accent1 3 3 2 2" xfId="7900" xr:uid="{FE4A059D-8954-4748-8D29-14DCF1C62BC0}"/>
    <cellStyle name="20% - Accent1 3 3 3" xfId="5755" xr:uid="{2887BF61-D51C-4E91-87AC-5D410681ECB4}"/>
    <cellStyle name="20% - Accent1 3 3 4" xfId="1451" xr:uid="{92FF4799-7DE9-4E83-A8C4-A6261F08986B}"/>
    <cellStyle name="20% - Accent1 3 4" xfId="1866" xr:uid="{0ADC00C6-7318-4786-88B2-3CF7E8C5FF68}"/>
    <cellStyle name="20% - Accent1 3 4 2" xfId="4095" xr:uid="{0CFA0FA1-89DC-40F7-8705-23E4D0014F46}"/>
    <cellStyle name="20% - Accent1 3 4 2 2" xfId="8313" xr:uid="{2BA99BAB-370B-4C80-B340-F4CAE49CB3CE}"/>
    <cellStyle name="20% - Accent1 3 4 3" xfId="6168" xr:uid="{E804F326-8AC5-4B0C-8C4E-93FB713FC585}"/>
    <cellStyle name="20% - Accent1 3 5" xfId="2279" xr:uid="{66C18EE9-7243-485E-84C1-F4AAD56DBFB5}"/>
    <cellStyle name="20% - Accent1 3 5 2" xfId="4508" xr:uid="{91CEB1E3-212B-4F2B-B424-F4F5C8DC92C3}"/>
    <cellStyle name="20% - Accent1 3 5 2 2" xfId="8726" xr:uid="{89E6E33F-8AC8-4C4C-B92D-2A9D61510C80}"/>
    <cellStyle name="20% - Accent1 3 5 3" xfId="6581" xr:uid="{BCC3DDBE-A914-4E52-AE93-7BCA5B148869}"/>
    <cellStyle name="20% - Accent1 3 6" xfId="2692" xr:uid="{20899082-EBBE-4BAE-9035-F0C58C33516B}"/>
    <cellStyle name="20% - Accent1 3 6 2" xfId="4921" xr:uid="{CD1C4C53-C849-4B09-BCB3-FAE6009595FA}"/>
    <cellStyle name="20% - Accent1 3 6 2 2" xfId="9139" xr:uid="{C6112A65-B19E-4075-ADAA-3C9771AD0722}"/>
    <cellStyle name="20% - Accent1 3 6 3" xfId="6994" xr:uid="{771A3838-3E04-4FDD-A150-E3850278EAF4}"/>
    <cellStyle name="20% - Accent1 3 7" xfId="3105" xr:uid="{35729D92-96E8-4F04-9CF5-B4D917776C78}"/>
    <cellStyle name="20% - Accent1 3 7 2" xfId="7407" xr:uid="{1E691761-DA36-4EC5-9083-C7FD0DDE56C9}"/>
    <cellStyle name="20% - Accent1 3 8" xfId="5341" xr:uid="{2A84948D-8AED-439F-A6F0-90C1024980AE}"/>
    <cellStyle name="20% - Accent1 3 9" xfId="1037" xr:uid="{0459C547-6EB6-4B6F-8507-763D24110AE6}"/>
    <cellStyle name="20% - Accent1 4" xfId="8" xr:uid="{00000000-0005-0000-0000-00000D000000}"/>
    <cellStyle name="20% - Accent1 4 2" xfId="585" xr:uid="{00000000-0005-0000-0000-00000E000000}"/>
    <cellStyle name="20% - Accent1 4 2 2" xfId="3684" xr:uid="{E6BEEB7F-E038-4874-946C-50B77897AA72}"/>
    <cellStyle name="20% - Accent1 4 2 2 2" xfId="7902" xr:uid="{146BD0BD-F157-42DF-B5F7-6F3D679804A0}"/>
    <cellStyle name="20% - Accent1 4 2 3" xfId="5757" xr:uid="{60CCF5A5-3C42-4FCB-8B67-E77D8F895C95}"/>
    <cellStyle name="20% - Accent1 4 2 4" xfId="1453" xr:uid="{61B4D5A4-7821-481B-8AAD-8A280BA2DE86}"/>
    <cellStyle name="20% - Accent1 4 3" xfId="1868" xr:uid="{A14FB49B-D123-4D03-AA42-28E624EB5946}"/>
    <cellStyle name="20% - Accent1 4 3 2" xfId="4097" xr:uid="{6D184057-69FD-48F1-84E8-7A13FBC46EC4}"/>
    <cellStyle name="20% - Accent1 4 3 2 2" xfId="8315" xr:uid="{5D2E7A16-0527-4E6D-8542-7B4843CB5BDA}"/>
    <cellStyle name="20% - Accent1 4 3 3" xfId="6170" xr:uid="{CE28FCAB-612F-4B52-974D-C2AD6A5B66FD}"/>
    <cellStyle name="20% - Accent1 4 4" xfId="2281" xr:uid="{06859191-1B9E-4325-A12A-274ADD94BDA6}"/>
    <cellStyle name="20% - Accent1 4 4 2" xfId="4510" xr:uid="{34B2C39C-5305-4F6B-BF76-EDC3C20E0F38}"/>
    <cellStyle name="20% - Accent1 4 4 2 2" xfId="8728" xr:uid="{7E12414A-2CBA-4E4D-9F4E-FE866882711F}"/>
    <cellStyle name="20% - Accent1 4 4 3" xfId="6583" xr:uid="{35ED3045-F0C8-45BE-8D5C-E694DF19E056}"/>
    <cellStyle name="20% - Accent1 4 5" xfId="2694" xr:uid="{9E52D880-0D9E-496F-88E9-28C9BD9A1CA4}"/>
    <cellStyle name="20% - Accent1 4 5 2" xfId="4923" xr:uid="{92470DBD-E0A4-43F4-A7EC-F37C91F065DF}"/>
    <cellStyle name="20% - Accent1 4 5 2 2" xfId="9141" xr:uid="{BA26C07F-D80D-4BC3-8D2A-4A7B088A1171}"/>
    <cellStyle name="20% - Accent1 4 5 3" xfId="6996" xr:uid="{CA346D5A-070D-4546-9C19-297A99A1ED46}"/>
    <cellStyle name="20% - Accent1 4 6" xfId="3107" xr:uid="{27F637FC-C34D-44CC-91E9-12C9B6584876}"/>
    <cellStyle name="20% - Accent1 4 6 2" xfId="7409" xr:uid="{CFE9F92C-DB65-4DF4-927F-E812FA9AEAC7}"/>
    <cellStyle name="20% - Accent1 4 7" xfId="5343" xr:uid="{9E5C4BC4-9309-4EE9-88B1-C581CFB5DC84}"/>
    <cellStyle name="20% - Accent1 4 8" xfId="1039" xr:uid="{BD114E2B-D600-441D-9BA2-68B931354A47}"/>
    <cellStyle name="20% - Accent1 5" xfId="578" xr:uid="{00000000-0005-0000-0000-00000F000000}"/>
    <cellStyle name="20% - Accent1 5 2" xfId="3677" xr:uid="{95323AF5-225F-4844-9F56-8F572FBC4F64}"/>
    <cellStyle name="20% - Accent1 5 2 2" xfId="7895" xr:uid="{2775CC0D-9461-4A50-9EBD-F4E46146AD59}"/>
    <cellStyle name="20% - Accent1 5 3" xfId="5750" xr:uid="{65C9480D-0C1B-467E-B0DC-C0D7ABD9A2AC}"/>
    <cellStyle name="20% - Accent1 5 4" xfId="1446" xr:uid="{FF806398-0675-40E3-9195-B5BE7F764EA1}"/>
    <cellStyle name="20% - Accent1 6" xfId="1861" xr:uid="{7226E2C1-01D5-40D4-9CFB-FE872B51210D}"/>
    <cellStyle name="20% - Accent1 6 2" xfId="4090" xr:uid="{77E16C6B-BBF2-4953-B3AF-1536928AA767}"/>
    <cellStyle name="20% - Accent1 6 2 2" xfId="8308" xr:uid="{C2D16913-9C80-410A-BE12-70919F2E493A}"/>
    <cellStyle name="20% - Accent1 6 3" xfId="6163" xr:uid="{6FCAFF17-A9BA-47B5-A17D-41D6C0FDD50A}"/>
    <cellStyle name="20% - Accent1 7" xfId="2274" xr:uid="{44E354F5-AA5F-4393-A2A3-0AEF625251C2}"/>
    <cellStyle name="20% - Accent1 7 2" xfId="4503" xr:uid="{555021E9-D2DD-40E6-8791-EC19DA8032CD}"/>
    <cellStyle name="20% - Accent1 7 2 2" xfId="8721" xr:uid="{4C552F43-A963-4C64-B7A8-4F644E5D63EF}"/>
    <cellStyle name="20% - Accent1 7 3" xfId="6576" xr:uid="{5D90912B-5F89-4096-8050-B6366CDF6368}"/>
    <cellStyle name="20% - Accent1 8" xfId="2687" xr:uid="{D93CA0EE-0FD1-48B4-AC0F-5DE41DAA686D}"/>
    <cellStyle name="20% - Accent1 8 2" xfId="4916" xr:uid="{4F684D3A-D4EF-481F-8DEA-C6D729FD119F}"/>
    <cellStyle name="20% - Accent1 8 2 2" xfId="9134" xr:uid="{040184E8-4ABD-4197-935C-C349D48C5C22}"/>
    <cellStyle name="20% - Accent1 8 3" xfId="6989" xr:uid="{A8FBA6C5-0BC9-4D58-AA6B-58612811ABE9}"/>
    <cellStyle name="20% - Accent1 9" xfId="3100" xr:uid="{ED30CC76-9B14-49F6-8ED1-4BDCEBC8F674}"/>
    <cellStyle name="20% - Accent1 9 2" xfId="7402" xr:uid="{EB54A025-0CC8-4729-A3A4-6E745E2902B1}"/>
    <cellStyle name="20% - Accent2" xfId="9" builtinId="34" customBuiltin="1"/>
    <cellStyle name="20% - Accent2 10" xfId="5344" xr:uid="{34C8BDD9-A78C-45B2-9DD0-0B794B5AE541}"/>
    <cellStyle name="20% - Accent2 11" xfId="1040" xr:uid="{2E6A3753-D8DB-4C7C-9991-2E6A4A1F7C22}"/>
    <cellStyle name="20% - Accent2 2" xfId="10" xr:uid="{00000000-0005-0000-0000-000011000000}"/>
    <cellStyle name="20% - Accent2 2 10" xfId="1041" xr:uid="{9280A1E4-40E0-48B0-9C10-1A565CAFB577}"/>
    <cellStyle name="20% - Accent2 2 2" xfId="11" xr:uid="{00000000-0005-0000-0000-000012000000}"/>
    <cellStyle name="20% - Accent2 2 2 2" xfId="12" xr:uid="{00000000-0005-0000-0000-000013000000}"/>
    <cellStyle name="20% - Accent2 2 2 2 2" xfId="589" xr:uid="{00000000-0005-0000-0000-000014000000}"/>
    <cellStyle name="20% - Accent2 2 2 2 2 2" xfId="3688" xr:uid="{85A22A38-5B13-4CF0-BA15-4BD5A2EC21E3}"/>
    <cellStyle name="20% - Accent2 2 2 2 2 2 2" xfId="7906" xr:uid="{3063027B-B442-40EE-9244-4FF9766F88AF}"/>
    <cellStyle name="20% - Accent2 2 2 2 2 3" xfId="5761" xr:uid="{2F9EDFC2-804B-4BFE-9B5B-C74471A1B86A}"/>
    <cellStyle name="20% - Accent2 2 2 2 2 4" xfId="1457" xr:uid="{EC61569E-083D-4272-826D-0F53E5515FF7}"/>
    <cellStyle name="20% - Accent2 2 2 2 3" xfId="1872" xr:uid="{332C5CC3-3CEB-4F65-B708-4A47730C8750}"/>
    <cellStyle name="20% - Accent2 2 2 2 3 2" xfId="4101" xr:uid="{0E5A8831-54E2-4A3F-AFFB-F8A5B0280164}"/>
    <cellStyle name="20% - Accent2 2 2 2 3 2 2" xfId="8319" xr:uid="{1CEAC2CB-0A26-4A25-B652-C2C2CCCDE142}"/>
    <cellStyle name="20% - Accent2 2 2 2 3 3" xfId="6174" xr:uid="{A0C5DB97-F1D8-4D57-BD5D-D3DCFBE87F80}"/>
    <cellStyle name="20% - Accent2 2 2 2 4" xfId="2285" xr:uid="{F298D58B-41C3-4451-9153-7E7B2DC62E53}"/>
    <cellStyle name="20% - Accent2 2 2 2 4 2" xfId="4514" xr:uid="{402DE8B7-3030-4E2A-8884-9BA5223641B3}"/>
    <cellStyle name="20% - Accent2 2 2 2 4 2 2" xfId="8732" xr:uid="{2FC421B9-8F2B-442B-BFE6-3C61988E925C}"/>
    <cellStyle name="20% - Accent2 2 2 2 4 3" xfId="6587" xr:uid="{96AAF281-3C02-4B89-833D-3FD4CEA91CDB}"/>
    <cellStyle name="20% - Accent2 2 2 2 5" xfId="2698" xr:uid="{3064F17F-10DC-40B3-949C-86CA6CA319E5}"/>
    <cellStyle name="20% - Accent2 2 2 2 5 2" xfId="4927" xr:uid="{9B01781F-E5A6-4983-862F-21EE127F5322}"/>
    <cellStyle name="20% - Accent2 2 2 2 5 2 2" xfId="9145" xr:uid="{FF5E5E29-02B8-4467-8AF6-EBBF47D9D0A7}"/>
    <cellStyle name="20% - Accent2 2 2 2 5 3" xfId="7000" xr:uid="{61D2412B-DA18-4A75-9478-088CA9B8B0BA}"/>
    <cellStyle name="20% - Accent2 2 2 2 6" xfId="3111" xr:uid="{046D785E-FEF2-4602-8C47-876BE1F6AB36}"/>
    <cellStyle name="20% - Accent2 2 2 2 6 2" xfId="7413" xr:uid="{14006562-4763-4C40-B403-84AD19467FF8}"/>
    <cellStyle name="20% - Accent2 2 2 2 7" xfId="5347" xr:uid="{FE6DCF48-B7D4-43BF-94DE-582A2BE96BAC}"/>
    <cellStyle name="20% - Accent2 2 2 2 8" xfId="1043" xr:uid="{14F13E8B-038B-49FA-B9CB-F2F6B505DCD7}"/>
    <cellStyle name="20% - Accent2 2 2 3" xfId="588" xr:uid="{00000000-0005-0000-0000-000015000000}"/>
    <cellStyle name="20% - Accent2 2 2 3 2" xfId="3687" xr:uid="{614AC00D-3615-43E7-9AF6-0FF828E5D99C}"/>
    <cellStyle name="20% - Accent2 2 2 3 2 2" xfId="7905" xr:uid="{E2AD9D41-CA41-495A-95AE-42B4F8143B4F}"/>
    <cellStyle name="20% - Accent2 2 2 3 3" xfId="5760" xr:uid="{FA307EE0-9F55-454C-9E56-047216B9ECEC}"/>
    <cellStyle name="20% - Accent2 2 2 3 4" xfId="1456" xr:uid="{F432BDFF-EFDF-4EB2-8E11-4B64D547034C}"/>
    <cellStyle name="20% - Accent2 2 2 4" xfId="1871" xr:uid="{80CE8DB6-5E18-4700-B6D4-7B05B3DDBE4C}"/>
    <cellStyle name="20% - Accent2 2 2 4 2" xfId="4100" xr:uid="{C3F25A4F-6402-4E2F-B398-F21CCB43FE64}"/>
    <cellStyle name="20% - Accent2 2 2 4 2 2" xfId="8318" xr:uid="{137E3A6F-3F81-4285-BB8B-F53439B56DF5}"/>
    <cellStyle name="20% - Accent2 2 2 4 3" xfId="6173" xr:uid="{16C05FC9-F31E-497F-9B4F-22BEC6A4D1D0}"/>
    <cellStyle name="20% - Accent2 2 2 5" xfId="2284" xr:uid="{0ED73FDD-A646-4FF5-9BA4-97DFB049C7CB}"/>
    <cellStyle name="20% - Accent2 2 2 5 2" xfId="4513" xr:uid="{05B48D22-9039-4B27-B9FD-B121AD981BEA}"/>
    <cellStyle name="20% - Accent2 2 2 5 2 2" xfId="8731" xr:uid="{327F74C7-1072-40DF-951A-3CC7427FEB50}"/>
    <cellStyle name="20% - Accent2 2 2 5 3" xfId="6586" xr:uid="{51419F69-84B0-4EC8-9CCB-5B3D7C745BEF}"/>
    <cellStyle name="20% - Accent2 2 2 6" xfId="2697" xr:uid="{7834CAE3-9576-4B7C-97E3-AAF4B499D468}"/>
    <cellStyle name="20% - Accent2 2 2 6 2" xfId="4926" xr:uid="{4F2B4553-9A2B-4D48-9868-C81F4C131848}"/>
    <cellStyle name="20% - Accent2 2 2 6 2 2" xfId="9144" xr:uid="{B2FDE80A-1848-4AF3-B7D4-5EB7FF6C39FA}"/>
    <cellStyle name="20% - Accent2 2 2 6 3" xfId="6999" xr:uid="{BBB402CF-2FD2-4CA3-8C44-C62E3305DE79}"/>
    <cellStyle name="20% - Accent2 2 2 7" xfId="3110" xr:uid="{A941EC37-CF26-4B65-9772-139262C7B192}"/>
    <cellStyle name="20% - Accent2 2 2 7 2" xfId="7412" xr:uid="{2E451C89-CDF7-4C87-B50B-276B53156262}"/>
    <cellStyle name="20% - Accent2 2 2 8" xfId="5346" xr:uid="{1462A3F9-7782-4AAE-B9F6-CD6FD948CB66}"/>
    <cellStyle name="20% - Accent2 2 2 9" xfId="1042" xr:uid="{AD1DADF6-6886-4BE0-8D8D-85DFBFCA4A5A}"/>
    <cellStyle name="20% - Accent2 2 3" xfId="13" xr:uid="{00000000-0005-0000-0000-000016000000}"/>
    <cellStyle name="20% - Accent2 2 3 2" xfId="590" xr:uid="{00000000-0005-0000-0000-000017000000}"/>
    <cellStyle name="20% - Accent2 2 3 2 2" xfId="3689" xr:uid="{59198C52-9D35-42E5-AA20-3332E5975D47}"/>
    <cellStyle name="20% - Accent2 2 3 2 2 2" xfId="7907" xr:uid="{4489F5A4-E0E9-46C1-AD4E-3A05F6F28061}"/>
    <cellStyle name="20% - Accent2 2 3 2 3" xfId="5762" xr:uid="{34D7B3DE-5D40-4207-9B52-E4FE38C0CD7C}"/>
    <cellStyle name="20% - Accent2 2 3 2 4" xfId="1458" xr:uid="{A7E6D1F9-7F08-4885-AD89-4C0EDF743F12}"/>
    <cellStyle name="20% - Accent2 2 3 3" xfId="1873" xr:uid="{E3DB9F7C-D726-4DD3-B0A5-55EE64C81A9B}"/>
    <cellStyle name="20% - Accent2 2 3 3 2" xfId="4102" xr:uid="{29B6D092-F997-4384-A19B-BD6BFD0726F0}"/>
    <cellStyle name="20% - Accent2 2 3 3 2 2" xfId="8320" xr:uid="{F915488F-7608-47AB-98D2-8F3AFEF5C816}"/>
    <cellStyle name="20% - Accent2 2 3 3 3" xfId="6175" xr:uid="{08460B08-A507-4F13-8181-F6793668671E}"/>
    <cellStyle name="20% - Accent2 2 3 4" xfId="2286" xr:uid="{F86E1107-2A2F-40EF-AD8C-BDA55BE895B3}"/>
    <cellStyle name="20% - Accent2 2 3 4 2" xfId="4515" xr:uid="{14423567-6758-49FE-8A5D-D0AF84815DDC}"/>
    <cellStyle name="20% - Accent2 2 3 4 2 2" xfId="8733" xr:uid="{78EAD0F6-A00A-4439-97F7-2753B7FA4C95}"/>
    <cellStyle name="20% - Accent2 2 3 4 3" xfId="6588" xr:uid="{74A3F621-52C3-42C2-8B7C-8D73EEC71496}"/>
    <cellStyle name="20% - Accent2 2 3 5" xfId="2699" xr:uid="{ADD02CE5-32AA-4256-95ED-DD2C9C8FDA37}"/>
    <cellStyle name="20% - Accent2 2 3 5 2" xfId="4928" xr:uid="{D77F6845-6142-41BF-9581-0A8113CBC25E}"/>
    <cellStyle name="20% - Accent2 2 3 5 2 2" xfId="9146" xr:uid="{AA7F3013-EAE5-4615-8741-DBD3EB82715A}"/>
    <cellStyle name="20% - Accent2 2 3 5 3" xfId="7001" xr:uid="{47B28B3A-46F0-43BA-8E75-C2A9C3C4698B}"/>
    <cellStyle name="20% - Accent2 2 3 6" xfId="3112" xr:uid="{0A9DC72E-3613-4C25-96CD-B522E6F435F2}"/>
    <cellStyle name="20% - Accent2 2 3 6 2" xfId="7414" xr:uid="{701D47CE-A926-4AF0-8E23-13DB31286579}"/>
    <cellStyle name="20% - Accent2 2 3 7" xfId="5348" xr:uid="{A987C933-3BB7-411F-A85D-454543E49CC5}"/>
    <cellStyle name="20% - Accent2 2 3 8" xfId="1044" xr:uid="{45813399-0466-4030-AE40-80EABB242648}"/>
    <cellStyle name="20% - Accent2 2 4" xfId="587" xr:uid="{00000000-0005-0000-0000-000018000000}"/>
    <cellStyle name="20% - Accent2 2 4 2" xfId="3686" xr:uid="{9CFA2158-510F-43E4-91C5-180744A43B9A}"/>
    <cellStyle name="20% - Accent2 2 4 2 2" xfId="7904" xr:uid="{C02DF976-7E37-47D5-97D5-3A1343C21A9A}"/>
    <cellStyle name="20% - Accent2 2 4 3" xfId="5759" xr:uid="{1661B7E0-50FC-4021-A012-C20B08C8868E}"/>
    <cellStyle name="20% - Accent2 2 4 4" xfId="1455" xr:uid="{82828C7F-8B6E-4270-9D06-815967021820}"/>
    <cellStyle name="20% - Accent2 2 5" xfId="1870" xr:uid="{7736403C-68B8-405A-AE4D-B46933255C73}"/>
    <cellStyle name="20% - Accent2 2 5 2" xfId="4099" xr:uid="{EE452DA7-F926-40E7-8B43-25F806E0A04B}"/>
    <cellStyle name="20% - Accent2 2 5 2 2" xfId="8317" xr:uid="{DE22C2E2-A0F8-4A15-91CD-2962236674F2}"/>
    <cellStyle name="20% - Accent2 2 5 3" xfId="6172" xr:uid="{7D47B417-9C84-4D48-A454-3F7655999F4D}"/>
    <cellStyle name="20% - Accent2 2 6" xfId="2283" xr:uid="{3A8047D2-026A-4857-8286-17E01DE53310}"/>
    <cellStyle name="20% - Accent2 2 6 2" xfId="4512" xr:uid="{F503F111-2067-47B6-B27A-DC771BE1D0B0}"/>
    <cellStyle name="20% - Accent2 2 6 2 2" xfId="8730" xr:uid="{20548B8A-24C7-43E3-99CA-7400F715420C}"/>
    <cellStyle name="20% - Accent2 2 6 3" xfId="6585" xr:uid="{0B3CC974-5A59-4ED9-AF70-CDB01778AC1D}"/>
    <cellStyle name="20% - Accent2 2 7" xfId="2696" xr:uid="{D4AFDEC6-CA41-4F02-B7C6-1D526BBE2C85}"/>
    <cellStyle name="20% - Accent2 2 7 2" xfId="4925" xr:uid="{EF69E36F-83FD-47A5-97CF-F7A198253A05}"/>
    <cellStyle name="20% - Accent2 2 7 2 2" xfId="9143" xr:uid="{68A248F6-2AD7-4550-BCCE-49CAC998D563}"/>
    <cellStyle name="20% - Accent2 2 7 3" xfId="6998" xr:uid="{64F74382-E963-4D72-AF6D-0DCA03998F65}"/>
    <cellStyle name="20% - Accent2 2 8" xfId="3109" xr:uid="{7B8580A4-D4CA-4D08-A7B3-B1178180A322}"/>
    <cellStyle name="20% - Accent2 2 8 2" xfId="7411" xr:uid="{8315A5A9-A511-403F-A8BE-250501206CEB}"/>
    <cellStyle name="20% - Accent2 2 9" xfId="5345" xr:uid="{1FCD6355-6896-420C-BD91-BBC06F9873C7}"/>
    <cellStyle name="20% - Accent2 3" xfId="14" xr:uid="{00000000-0005-0000-0000-000019000000}"/>
    <cellStyle name="20% - Accent2 3 2" xfId="15" xr:uid="{00000000-0005-0000-0000-00001A000000}"/>
    <cellStyle name="20% - Accent2 3 2 2" xfId="592" xr:uid="{00000000-0005-0000-0000-00001B000000}"/>
    <cellStyle name="20% - Accent2 3 2 2 2" xfId="3691" xr:uid="{59B67EDB-7470-47E7-9145-E74BE51512FB}"/>
    <cellStyle name="20% - Accent2 3 2 2 2 2" xfId="7909" xr:uid="{E1A7213B-7EE2-43EB-8A15-D1970FFD32FF}"/>
    <cellStyle name="20% - Accent2 3 2 2 3" xfId="5764" xr:uid="{D29A322B-D325-437D-9C25-05BEFFDF2980}"/>
    <cellStyle name="20% - Accent2 3 2 2 4" xfId="1460" xr:uid="{9AB22C44-04A8-4380-84A0-2E0104B70676}"/>
    <cellStyle name="20% - Accent2 3 2 3" xfId="1875" xr:uid="{E127AD6B-3408-42E8-9B3C-FE1C7DBE5443}"/>
    <cellStyle name="20% - Accent2 3 2 3 2" xfId="4104" xr:uid="{652357FA-F5E4-45C3-82DF-9DB2085A570A}"/>
    <cellStyle name="20% - Accent2 3 2 3 2 2" xfId="8322" xr:uid="{5E1299AA-809C-43A5-9894-96EA30F075EF}"/>
    <cellStyle name="20% - Accent2 3 2 3 3" xfId="6177" xr:uid="{2F846482-61C0-4C1D-AD37-FB66EF7F5BAD}"/>
    <cellStyle name="20% - Accent2 3 2 4" xfId="2288" xr:uid="{19ACE917-0C2B-48CE-B599-52FE00528860}"/>
    <cellStyle name="20% - Accent2 3 2 4 2" xfId="4517" xr:uid="{5CEB73AA-4AF4-4C4E-9D72-B8C8B0573F76}"/>
    <cellStyle name="20% - Accent2 3 2 4 2 2" xfId="8735" xr:uid="{1B76BF73-F583-46D4-9E8C-9AB401BBBC3E}"/>
    <cellStyle name="20% - Accent2 3 2 4 3" xfId="6590" xr:uid="{A32AF85E-F288-43C9-AACA-AF4C7CE51511}"/>
    <cellStyle name="20% - Accent2 3 2 5" xfId="2701" xr:uid="{DACE18BD-202C-4DB2-80D8-B42E77FC7659}"/>
    <cellStyle name="20% - Accent2 3 2 5 2" xfId="4930" xr:uid="{93EA48F8-09DA-468D-9DBB-353BDDD7F977}"/>
    <cellStyle name="20% - Accent2 3 2 5 2 2" xfId="9148" xr:uid="{FB72ED4C-E1B2-4D2E-AD84-F448B0AD0598}"/>
    <cellStyle name="20% - Accent2 3 2 5 3" xfId="7003" xr:uid="{C03CAB0F-C707-4055-9523-8ABD75BBE520}"/>
    <cellStyle name="20% - Accent2 3 2 6" xfId="3114" xr:uid="{7A7CD1BB-9F98-4E0D-B71C-8BF101FD590C}"/>
    <cellStyle name="20% - Accent2 3 2 6 2" xfId="7416" xr:uid="{32420769-57AC-456A-9911-ADA3748EB3E2}"/>
    <cellStyle name="20% - Accent2 3 2 7" xfId="5350" xr:uid="{9D38115F-C2BF-4915-B33C-0F43945DDE21}"/>
    <cellStyle name="20% - Accent2 3 2 8" xfId="1046" xr:uid="{D590730D-5A94-4C0E-B5F8-FA0D1B4F7FEC}"/>
    <cellStyle name="20% - Accent2 3 3" xfId="591" xr:uid="{00000000-0005-0000-0000-00001C000000}"/>
    <cellStyle name="20% - Accent2 3 3 2" xfId="3690" xr:uid="{03B273EE-AC3B-42CC-A83B-92BCD3C5DC2F}"/>
    <cellStyle name="20% - Accent2 3 3 2 2" xfId="7908" xr:uid="{DC968098-8CFF-459F-B8C5-A7F92E2162D4}"/>
    <cellStyle name="20% - Accent2 3 3 3" xfId="5763" xr:uid="{396FEC1A-2751-44D7-B459-39427364DCE2}"/>
    <cellStyle name="20% - Accent2 3 3 4" xfId="1459" xr:uid="{A02507FE-D7B1-4715-BB1B-5B30A614C394}"/>
    <cellStyle name="20% - Accent2 3 4" xfId="1874" xr:uid="{258C4195-2FD5-4297-80F7-BA38EE17DD64}"/>
    <cellStyle name="20% - Accent2 3 4 2" xfId="4103" xr:uid="{E0EFF235-E192-4084-A64B-E59800B380D3}"/>
    <cellStyle name="20% - Accent2 3 4 2 2" xfId="8321" xr:uid="{7DDEBBEB-C79A-4DAA-8030-2421FC9239F0}"/>
    <cellStyle name="20% - Accent2 3 4 3" xfId="6176" xr:uid="{7AAFA003-45D8-40E9-97C1-884CB61B88A4}"/>
    <cellStyle name="20% - Accent2 3 5" xfId="2287" xr:uid="{A4358AA2-B3C2-47F5-9000-7724C7B17F0F}"/>
    <cellStyle name="20% - Accent2 3 5 2" xfId="4516" xr:uid="{EEAD3D9E-ACA3-43CC-A8E1-BD1C5567A69D}"/>
    <cellStyle name="20% - Accent2 3 5 2 2" xfId="8734" xr:uid="{56A6DD50-6B12-43D1-9457-FF40B6F7DF70}"/>
    <cellStyle name="20% - Accent2 3 5 3" xfId="6589" xr:uid="{5CE3C49A-3833-4BC5-9C76-FE557DE89380}"/>
    <cellStyle name="20% - Accent2 3 6" xfId="2700" xr:uid="{D85CB9E9-5AA8-4FEC-ABF6-6BC170964AA2}"/>
    <cellStyle name="20% - Accent2 3 6 2" xfId="4929" xr:uid="{0F711F98-72EC-46DD-9DB4-F86E1B9D4BB2}"/>
    <cellStyle name="20% - Accent2 3 6 2 2" xfId="9147" xr:uid="{AAC708AC-BDD0-40F5-A1A5-1955CED3965D}"/>
    <cellStyle name="20% - Accent2 3 6 3" xfId="7002" xr:uid="{D31A4AF8-F8B4-4748-B565-E1D9BA2B1CD7}"/>
    <cellStyle name="20% - Accent2 3 7" xfId="3113" xr:uid="{746FDEBA-73E0-435E-8FB0-F6A16B6B7FCE}"/>
    <cellStyle name="20% - Accent2 3 7 2" xfId="7415" xr:uid="{11644BB9-5500-414C-87DE-17B9DF6AF889}"/>
    <cellStyle name="20% - Accent2 3 8" xfId="5349" xr:uid="{537C91BF-D694-4375-980B-4E92C359F726}"/>
    <cellStyle name="20% - Accent2 3 9" xfId="1045" xr:uid="{429AC5F4-2FB3-4D67-8C18-63CE0A5D13F0}"/>
    <cellStyle name="20% - Accent2 4" xfId="16" xr:uid="{00000000-0005-0000-0000-00001D000000}"/>
    <cellStyle name="20% - Accent2 4 2" xfId="593" xr:uid="{00000000-0005-0000-0000-00001E000000}"/>
    <cellStyle name="20% - Accent2 4 2 2" xfId="3692" xr:uid="{93AC55FB-EA5D-4656-9FBD-5D6EBDAF2EC0}"/>
    <cellStyle name="20% - Accent2 4 2 2 2" xfId="7910" xr:uid="{B7F91053-7949-4C39-A896-CD6E22CCDD32}"/>
    <cellStyle name="20% - Accent2 4 2 3" xfId="5765" xr:uid="{DD284018-7810-4515-B9C7-9C7FEB3031BC}"/>
    <cellStyle name="20% - Accent2 4 2 4" xfId="1461" xr:uid="{7A12C79D-4616-4D2F-937E-7E135D275B81}"/>
    <cellStyle name="20% - Accent2 4 3" xfId="1876" xr:uid="{C4C44077-EA5C-443D-86C7-B876E8AD233E}"/>
    <cellStyle name="20% - Accent2 4 3 2" xfId="4105" xr:uid="{7665F732-4CC8-4818-BC1E-43F052C2A933}"/>
    <cellStyle name="20% - Accent2 4 3 2 2" xfId="8323" xr:uid="{189E8A1E-C25B-4570-9D26-ECF93532E281}"/>
    <cellStyle name="20% - Accent2 4 3 3" xfId="6178" xr:uid="{093F92CA-5771-4C75-BB45-1B5483D98C76}"/>
    <cellStyle name="20% - Accent2 4 4" xfId="2289" xr:uid="{45391E6C-5682-46DF-BFBE-E44DD45C33A2}"/>
    <cellStyle name="20% - Accent2 4 4 2" xfId="4518" xr:uid="{7BEAA1F9-6B62-45EA-9B79-ED07D87635C9}"/>
    <cellStyle name="20% - Accent2 4 4 2 2" xfId="8736" xr:uid="{DFF043C8-E143-44DF-A0EF-331A352F5B75}"/>
    <cellStyle name="20% - Accent2 4 4 3" xfId="6591" xr:uid="{0783409B-C740-4BA0-946A-96B9AC4ADCEE}"/>
    <cellStyle name="20% - Accent2 4 5" xfId="2702" xr:uid="{DFBB03DA-C765-465B-AA28-42A68493866D}"/>
    <cellStyle name="20% - Accent2 4 5 2" xfId="4931" xr:uid="{75BC61A9-EE4C-45AE-B938-101D150C362C}"/>
    <cellStyle name="20% - Accent2 4 5 2 2" xfId="9149" xr:uid="{7552AF41-945D-4E23-835C-727803D6BD3A}"/>
    <cellStyle name="20% - Accent2 4 5 3" xfId="7004" xr:uid="{074ACC67-7076-4284-9B12-0799FE730D15}"/>
    <cellStyle name="20% - Accent2 4 6" xfId="3115" xr:uid="{F0B73E7D-BE67-434E-92AE-7A01DBF66A5B}"/>
    <cellStyle name="20% - Accent2 4 6 2" xfId="7417" xr:uid="{2105A46E-3F5B-4195-B5F5-50D9FE3A9157}"/>
    <cellStyle name="20% - Accent2 4 7" xfId="5351" xr:uid="{32BDD870-918E-4163-966E-8F3F66D346A6}"/>
    <cellStyle name="20% - Accent2 4 8" xfId="1047" xr:uid="{B0ABFB24-3C3C-44A6-A16F-D51E2C82E71D}"/>
    <cellStyle name="20% - Accent2 5" xfId="586" xr:uid="{00000000-0005-0000-0000-00001F000000}"/>
    <cellStyle name="20% - Accent2 5 2" xfId="3685" xr:uid="{8EBFEBC3-15A0-4CC4-9659-EB5DD1C3725A}"/>
    <cellStyle name="20% - Accent2 5 2 2" xfId="7903" xr:uid="{5EEE40D6-DC16-4533-BB64-EAE8F66A598F}"/>
    <cellStyle name="20% - Accent2 5 3" xfId="5758" xr:uid="{1FF52957-84CE-439E-B2E3-53BED4B10F8E}"/>
    <cellStyle name="20% - Accent2 5 4" xfId="1454" xr:uid="{3B8A19AC-5411-4A17-9FC3-F21D91918373}"/>
    <cellStyle name="20% - Accent2 6" xfId="1869" xr:uid="{1AA1869F-F806-44AD-B064-EA0002D02555}"/>
    <cellStyle name="20% - Accent2 6 2" xfId="4098" xr:uid="{2080178C-CAD4-4C83-AA6A-671462732E3D}"/>
    <cellStyle name="20% - Accent2 6 2 2" xfId="8316" xr:uid="{A5ABD12C-C018-41F3-BAB0-A592090A442E}"/>
    <cellStyle name="20% - Accent2 6 3" xfId="6171" xr:uid="{B6FCEC4E-04ED-417D-B498-757CCD719E2C}"/>
    <cellStyle name="20% - Accent2 7" xfId="2282" xr:uid="{29370789-3A9B-4CB3-9F30-8E66E241748D}"/>
    <cellStyle name="20% - Accent2 7 2" xfId="4511" xr:uid="{BDF4A4D0-A8EC-4D8B-AE4A-DFD1A0BBFD8C}"/>
    <cellStyle name="20% - Accent2 7 2 2" xfId="8729" xr:uid="{C53702F2-EEA5-4F58-AA20-F890122D10C4}"/>
    <cellStyle name="20% - Accent2 7 3" xfId="6584" xr:uid="{66C373C6-F655-4D01-A58E-D28A89F8F574}"/>
    <cellStyle name="20% - Accent2 8" xfId="2695" xr:uid="{965FA6B4-27BA-4884-9324-561A5BAE434E}"/>
    <cellStyle name="20% - Accent2 8 2" xfId="4924" xr:uid="{D2232184-5FC9-441D-86DE-E8FCF4AA456E}"/>
    <cellStyle name="20% - Accent2 8 2 2" xfId="9142" xr:uid="{8F00F3A5-6323-4D96-82DF-5B0BA366D995}"/>
    <cellStyle name="20% - Accent2 8 3" xfId="6997" xr:uid="{33C52DB3-B3CD-4D5E-8CEC-7072E82CD632}"/>
    <cellStyle name="20% - Accent2 9" xfId="3108" xr:uid="{B4AAF35A-F08E-441A-8118-994A7866F239}"/>
    <cellStyle name="20% - Accent2 9 2" xfId="7410" xr:uid="{A356A62A-0B55-4561-9281-5EF2B1E9D275}"/>
    <cellStyle name="20% - Accent3" xfId="17" builtinId="38" customBuiltin="1"/>
    <cellStyle name="20% - Accent3 10" xfId="5352" xr:uid="{F7C83147-A289-4DFD-A60D-B30467363AA0}"/>
    <cellStyle name="20% - Accent3 11" xfId="1048" xr:uid="{A42CB773-8E7E-4F4D-9E58-7D63013E88DE}"/>
    <cellStyle name="20% - Accent3 2" xfId="18" xr:uid="{00000000-0005-0000-0000-000021000000}"/>
    <cellStyle name="20% - Accent3 2 10" xfId="1049" xr:uid="{BBCDC7F5-FA33-4683-8345-1508B350EAC5}"/>
    <cellStyle name="20% - Accent3 2 2" xfId="19" xr:uid="{00000000-0005-0000-0000-000022000000}"/>
    <cellStyle name="20% - Accent3 2 2 2" xfId="20" xr:uid="{00000000-0005-0000-0000-000023000000}"/>
    <cellStyle name="20% - Accent3 2 2 2 2" xfId="597" xr:uid="{00000000-0005-0000-0000-000024000000}"/>
    <cellStyle name="20% - Accent3 2 2 2 2 2" xfId="3696" xr:uid="{2E6BC2DA-7DFB-4B78-97ED-6EE9FC957ECC}"/>
    <cellStyle name="20% - Accent3 2 2 2 2 2 2" xfId="7914" xr:uid="{FD8A3E59-F21E-4DDF-8A43-4484532CAFAA}"/>
    <cellStyle name="20% - Accent3 2 2 2 2 3" xfId="5769" xr:uid="{C490E9C9-BB27-40C2-BE84-D385C26E033B}"/>
    <cellStyle name="20% - Accent3 2 2 2 2 4" xfId="1465" xr:uid="{A755B612-57AA-49D3-AEF0-9D2DD1DE71ED}"/>
    <cellStyle name="20% - Accent3 2 2 2 3" xfId="1880" xr:uid="{63DF8414-EA0F-41BB-827E-F67A8BDA5C0A}"/>
    <cellStyle name="20% - Accent3 2 2 2 3 2" xfId="4109" xr:uid="{69B97329-64C1-4C4A-A4A9-76A781668D0D}"/>
    <cellStyle name="20% - Accent3 2 2 2 3 2 2" xfId="8327" xr:uid="{399DC256-1A92-4986-AACE-85C2FD34FDBA}"/>
    <cellStyle name="20% - Accent3 2 2 2 3 3" xfId="6182" xr:uid="{CCE4A677-A844-422E-917E-CD4A57965D7B}"/>
    <cellStyle name="20% - Accent3 2 2 2 4" xfId="2293" xr:uid="{8E836304-41D5-4357-B11C-A816876079FB}"/>
    <cellStyle name="20% - Accent3 2 2 2 4 2" xfId="4522" xr:uid="{ED50D4B4-9276-4CFE-9767-6AF4FC5CEF0B}"/>
    <cellStyle name="20% - Accent3 2 2 2 4 2 2" xfId="8740" xr:uid="{F30C9A70-177F-497B-8EAF-5FECE55DA7BC}"/>
    <cellStyle name="20% - Accent3 2 2 2 4 3" xfId="6595" xr:uid="{9019747F-2E49-45CF-9DAD-83AACEB7B4B8}"/>
    <cellStyle name="20% - Accent3 2 2 2 5" xfId="2706" xr:uid="{2D2663ED-77DC-4B46-9F4E-8F5750AA100E}"/>
    <cellStyle name="20% - Accent3 2 2 2 5 2" xfId="4935" xr:uid="{92AB0B65-5B15-4271-97AE-0D332FB05F2C}"/>
    <cellStyle name="20% - Accent3 2 2 2 5 2 2" xfId="9153" xr:uid="{3AFAEDFA-4853-4C14-B8F1-EF0BDC6A6C02}"/>
    <cellStyle name="20% - Accent3 2 2 2 5 3" xfId="7008" xr:uid="{EE16D3C0-97FE-498E-8ABD-27E01C0CC6A4}"/>
    <cellStyle name="20% - Accent3 2 2 2 6" xfId="3119" xr:uid="{7865881B-1AD9-4336-8896-B762D5CE09AA}"/>
    <cellStyle name="20% - Accent3 2 2 2 6 2" xfId="7421" xr:uid="{68536C05-0A8B-4706-A49A-EDE5E82727A3}"/>
    <cellStyle name="20% - Accent3 2 2 2 7" xfId="5355" xr:uid="{19BA52F2-6690-45F4-96F0-ED9577A7C791}"/>
    <cellStyle name="20% - Accent3 2 2 2 8" xfId="1051" xr:uid="{1AC6BC54-D58B-4B19-8967-EB8CFEB28151}"/>
    <cellStyle name="20% - Accent3 2 2 3" xfId="596" xr:uid="{00000000-0005-0000-0000-000025000000}"/>
    <cellStyle name="20% - Accent3 2 2 3 2" xfId="3695" xr:uid="{5AC88DAB-FD54-45D0-A4A0-18DC7ACD79E0}"/>
    <cellStyle name="20% - Accent3 2 2 3 2 2" xfId="7913" xr:uid="{923BA10A-CDF1-4116-B027-1699F634DD14}"/>
    <cellStyle name="20% - Accent3 2 2 3 3" xfId="5768" xr:uid="{DDC3DE9E-3AD9-4B9C-98B9-A6AA88129F5F}"/>
    <cellStyle name="20% - Accent3 2 2 3 4" xfId="1464" xr:uid="{EE70C474-7E6D-4CB2-BA26-130ED5B08D6A}"/>
    <cellStyle name="20% - Accent3 2 2 4" xfId="1879" xr:uid="{81DAEF46-B1C2-47C3-9E9A-CA291B286DED}"/>
    <cellStyle name="20% - Accent3 2 2 4 2" xfId="4108" xr:uid="{05B4AEB6-34FA-49FB-9E1D-78715A6E8803}"/>
    <cellStyle name="20% - Accent3 2 2 4 2 2" xfId="8326" xr:uid="{4ECC93ED-8DD9-4ED6-B71D-FEED261FEB94}"/>
    <cellStyle name="20% - Accent3 2 2 4 3" xfId="6181" xr:uid="{ADB8F684-AA2F-4B80-B109-7087D7B84FF2}"/>
    <cellStyle name="20% - Accent3 2 2 5" xfId="2292" xr:uid="{0390CDAE-3D43-46FB-B0A4-C330832594C8}"/>
    <cellStyle name="20% - Accent3 2 2 5 2" xfId="4521" xr:uid="{22B0E384-0F76-407D-9A07-E887910887B9}"/>
    <cellStyle name="20% - Accent3 2 2 5 2 2" xfId="8739" xr:uid="{587E5116-4E05-4B37-A6D1-997AF8F7F8B0}"/>
    <cellStyle name="20% - Accent3 2 2 5 3" xfId="6594" xr:uid="{96AC1DA9-ED9F-4FA8-B83C-ED259A488C1E}"/>
    <cellStyle name="20% - Accent3 2 2 6" xfId="2705" xr:uid="{C0517EBB-31D8-4C66-8272-A16DE1905EC9}"/>
    <cellStyle name="20% - Accent3 2 2 6 2" xfId="4934" xr:uid="{B26D5C1B-A7AF-4DB7-BEC0-D5E7DA7B6C04}"/>
    <cellStyle name="20% - Accent3 2 2 6 2 2" xfId="9152" xr:uid="{FE16BA62-5B46-46A3-B4E6-7E1086D8C0C4}"/>
    <cellStyle name="20% - Accent3 2 2 6 3" xfId="7007" xr:uid="{E1B930A8-DC70-4B5F-87B3-3BBAB3AA6D87}"/>
    <cellStyle name="20% - Accent3 2 2 7" xfId="3118" xr:uid="{FF02B80C-26E6-420B-B857-E13B714E0C77}"/>
    <cellStyle name="20% - Accent3 2 2 7 2" xfId="7420" xr:uid="{B09FCCC9-3F20-4A34-A5AD-9956E3E750B5}"/>
    <cellStyle name="20% - Accent3 2 2 8" xfId="5354" xr:uid="{50F79A71-D864-414D-A404-824901693C12}"/>
    <cellStyle name="20% - Accent3 2 2 9" xfId="1050" xr:uid="{A8C2D76D-92F9-4616-9D4B-9107DE7E8BF4}"/>
    <cellStyle name="20% - Accent3 2 3" xfId="21" xr:uid="{00000000-0005-0000-0000-000026000000}"/>
    <cellStyle name="20% - Accent3 2 3 2" xfId="598" xr:uid="{00000000-0005-0000-0000-000027000000}"/>
    <cellStyle name="20% - Accent3 2 3 2 2" xfId="3697" xr:uid="{4BFEBC18-4BAB-435C-993A-99DECBCE025B}"/>
    <cellStyle name="20% - Accent3 2 3 2 2 2" xfId="7915" xr:uid="{BE146E19-84D6-4784-937F-8987273F091D}"/>
    <cellStyle name="20% - Accent3 2 3 2 3" xfId="5770" xr:uid="{0A8718AD-FBA6-4F0A-BAD4-62F31EC3D959}"/>
    <cellStyle name="20% - Accent3 2 3 2 4" xfId="1466" xr:uid="{8CCEE228-23FB-4F90-B927-CE84066259BF}"/>
    <cellStyle name="20% - Accent3 2 3 3" xfId="1881" xr:uid="{B75DFB22-BC23-4106-9341-BC1774C1CA9A}"/>
    <cellStyle name="20% - Accent3 2 3 3 2" xfId="4110" xr:uid="{99388E4B-B2C2-45B8-9EA7-17B8BA86916D}"/>
    <cellStyle name="20% - Accent3 2 3 3 2 2" xfId="8328" xr:uid="{56AF8AF2-D0BD-40E8-9CE4-EA366A845C92}"/>
    <cellStyle name="20% - Accent3 2 3 3 3" xfId="6183" xr:uid="{E3484D11-C5BF-41E6-BFC8-DCEB44A41DAC}"/>
    <cellStyle name="20% - Accent3 2 3 4" xfId="2294" xr:uid="{E0491783-5EA6-43CA-AF7B-B0B4344CBFE6}"/>
    <cellStyle name="20% - Accent3 2 3 4 2" xfId="4523" xr:uid="{20A5D99B-A00F-49A0-9069-9E864F2F0FD9}"/>
    <cellStyle name="20% - Accent3 2 3 4 2 2" xfId="8741" xr:uid="{B4E3EA1F-811E-42BB-B383-26D0BB536676}"/>
    <cellStyle name="20% - Accent3 2 3 4 3" xfId="6596" xr:uid="{2E2EA897-A33E-46FB-904D-A048224965C8}"/>
    <cellStyle name="20% - Accent3 2 3 5" xfId="2707" xr:uid="{B3750FA6-800C-41BA-8770-0CA492321521}"/>
    <cellStyle name="20% - Accent3 2 3 5 2" xfId="4936" xr:uid="{365DF1A1-5163-42AF-A312-4F3CB333864F}"/>
    <cellStyle name="20% - Accent3 2 3 5 2 2" xfId="9154" xr:uid="{E1CC6018-8A24-4867-BD10-F6142AE95A40}"/>
    <cellStyle name="20% - Accent3 2 3 5 3" xfId="7009" xr:uid="{6221B41E-229B-406A-8AB0-27FC72763E2E}"/>
    <cellStyle name="20% - Accent3 2 3 6" xfId="3120" xr:uid="{C7B3A764-B169-4ECE-AEB7-A003CAA7C4EB}"/>
    <cellStyle name="20% - Accent3 2 3 6 2" xfId="7422" xr:uid="{2F338692-8B89-48E0-8BD8-4D5AF734F115}"/>
    <cellStyle name="20% - Accent3 2 3 7" xfId="5356" xr:uid="{3FBE0DFC-2746-424E-A71D-D57236F2CB46}"/>
    <cellStyle name="20% - Accent3 2 3 8" xfId="1052" xr:uid="{B50C6A4E-F4F1-45E3-88C7-AC9871437CD2}"/>
    <cellStyle name="20% - Accent3 2 4" xfId="595" xr:uid="{00000000-0005-0000-0000-000028000000}"/>
    <cellStyle name="20% - Accent3 2 4 2" xfId="3694" xr:uid="{11DEAAED-0B49-4ADF-9B75-4B389058D478}"/>
    <cellStyle name="20% - Accent3 2 4 2 2" xfId="7912" xr:uid="{0256725C-ECA7-4F39-9D7C-08BE2BE9769C}"/>
    <cellStyle name="20% - Accent3 2 4 3" xfId="5767" xr:uid="{92BA826D-71DA-41DB-A013-7427CEF920F3}"/>
    <cellStyle name="20% - Accent3 2 4 4" xfId="1463" xr:uid="{EB63587E-15AC-494C-A8C2-A6413708411F}"/>
    <cellStyle name="20% - Accent3 2 5" xfId="1878" xr:uid="{06EDB138-7DA1-4223-A42C-3F3A81B0A12C}"/>
    <cellStyle name="20% - Accent3 2 5 2" xfId="4107" xr:uid="{386BE96B-4518-455E-86D5-B652AEFD3301}"/>
    <cellStyle name="20% - Accent3 2 5 2 2" xfId="8325" xr:uid="{B0F2694C-64DD-42F7-A4FA-E26F97F9B49A}"/>
    <cellStyle name="20% - Accent3 2 5 3" xfId="6180" xr:uid="{9E63A694-0DB2-45DC-AC16-AD65CC634384}"/>
    <cellStyle name="20% - Accent3 2 6" xfId="2291" xr:uid="{A93494C2-85E8-4CFA-93CC-02CCBED8BF34}"/>
    <cellStyle name="20% - Accent3 2 6 2" xfId="4520" xr:uid="{A9D1C6FE-5785-48BE-8ECC-7577F060F42D}"/>
    <cellStyle name="20% - Accent3 2 6 2 2" xfId="8738" xr:uid="{42460EFD-0C48-46C0-BCB5-F4EE0B8C3176}"/>
    <cellStyle name="20% - Accent3 2 6 3" xfId="6593" xr:uid="{6EA15DB7-84DE-41E9-AEE0-CF83977D09D3}"/>
    <cellStyle name="20% - Accent3 2 7" xfId="2704" xr:uid="{E9F522D1-143D-474A-903D-860E9A28D6F8}"/>
    <cellStyle name="20% - Accent3 2 7 2" xfId="4933" xr:uid="{B1EB6100-3468-44AC-A884-BBA2ACA15ECF}"/>
    <cellStyle name="20% - Accent3 2 7 2 2" xfId="9151" xr:uid="{9B35FAF6-79BD-4411-AB4B-DD2A6AA0A137}"/>
    <cellStyle name="20% - Accent3 2 7 3" xfId="7006" xr:uid="{2D2C3B2A-4568-4B5D-AB1F-7BB5DA7099A1}"/>
    <cellStyle name="20% - Accent3 2 8" xfId="3117" xr:uid="{D87C5A5D-0365-4F5D-8633-AD7D20785A6B}"/>
    <cellStyle name="20% - Accent3 2 8 2" xfId="7419" xr:uid="{52F7EB2B-F3B1-434C-BFE2-C10B45D5F211}"/>
    <cellStyle name="20% - Accent3 2 9" xfId="5353" xr:uid="{CF1BCFCA-169A-4B65-9BFE-C68E3E6B46B6}"/>
    <cellStyle name="20% - Accent3 3" xfId="22" xr:uid="{00000000-0005-0000-0000-000029000000}"/>
    <cellStyle name="20% - Accent3 3 2" xfId="23" xr:uid="{00000000-0005-0000-0000-00002A000000}"/>
    <cellStyle name="20% - Accent3 3 2 2" xfId="600" xr:uid="{00000000-0005-0000-0000-00002B000000}"/>
    <cellStyle name="20% - Accent3 3 2 2 2" xfId="3699" xr:uid="{08D599D8-F5BF-40F3-A1D4-082264AC0103}"/>
    <cellStyle name="20% - Accent3 3 2 2 2 2" xfId="7917" xr:uid="{3E58829F-3CC3-4977-9E5D-4E5AC4F285A0}"/>
    <cellStyle name="20% - Accent3 3 2 2 3" xfId="5772" xr:uid="{214C07DC-3394-479E-9588-80ADDF8CA422}"/>
    <cellStyle name="20% - Accent3 3 2 2 4" xfId="1468" xr:uid="{1FE02815-1644-409B-9253-6BF564DFD1FA}"/>
    <cellStyle name="20% - Accent3 3 2 3" xfId="1883" xr:uid="{543CE34A-57AD-4584-9A2F-67F4407AB85A}"/>
    <cellStyle name="20% - Accent3 3 2 3 2" xfId="4112" xr:uid="{CB106432-BA3E-488A-BEEC-927B14D1BD5C}"/>
    <cellStyle name="20% - Accent3 3 2 3 2 2" xfId="8330" xr:uid="{C5B6FF99-F132-4F11-B9E7-4D2BC58B8747}"/>
    <cellStyle name="20% - Accent3 3 2 3 3" xfId="6185" xr:uid="{951EE527-1B70-4575-8327-B9975860EE29}"/>
    <cellStyle name="20% - Accent3 3 2 4" xfId="2296" xr:uid="{6DCD7730-5C61-4434-8DC1-0870A0FA2717}"/>
    <cellStyle name="20% - Accent3 3 2 4 2" xfId="4525" xr:uid="{9598EBB9-14B4-4A46-8E4F-1BB413CDA428}"/>
    <cellStyle name="20% - Accent3 3 2 4 2 2" xfId="8743" xr:uid="{AB93416F-8B05-4FEC-8755-1ED7ABAECC18}"/>
    <cellStyle name="20% - Accent3 3 2 4 3" xfId="6598" xr:uid="{817CCB8D-532C-4E6D-A950-8A9746B95A84}"/>
    <cellStyle name="20% - Accent3 3 2 5" xfId="2709" xr:uid="{C81F8EFB-1C8F-4F0A-AE30-1C3D63D273AF}"/>
    <cellStyle name="20% - Accent3 3 2 5 2" xfId="4938" xr:uid="{A0095B09-63C7-4720-99FF-A05CEDCC231C}"/>
    <cellStyle name="20% - Accent3 3 2 5 2 2" xfId="9156" xr:uid="{D0760E36-2DA0-4D87-B197-43BB80A79E65}"/>
    <cellStyle name="20% - Accent3 3 2 5 3" xfId="7011" xr:uid="{EA57096B-19CC-40F7-8858-6755DAFF9D72}"/>
    <cellStyle name="20% - Accent3 3 2 6" xfId="3122" xr:uid="{B4232C87-6924-4897-B7CB-9A4ECBC565BA}"/>
    <cellStyle name="20% - Accent3 3 2 6 2" xfId="7424" xr:uid="{19E4EEF8-DF38-4B21-9EF9-63494BE9A5D8}"/>
    <cellStyle name="20% - Accent3 3 2 7" xfId="5358" xr:uid="{122CB505-FF89-4A9B-967F-59676D0A9C43}"/>
    <cellStyle name="20% - Accent3 3 2 8" xfId="1054" xr:uid="{2FADDBB3-30AE-4C12-A0DC-4B87348ACCC2}"/>
    <cellStyle name="20% - Accent3 3 3" xfId="599" xr:uid="{00000000-0005-0000-0000-00002C000000}"/>
    <cellStyle name="20% - Accent3 3 3 2" xfId="3698" xr:uid="{81C04C0A-E2D3-4B08-8056-91286129419E}"/>
    <cellStyle name="20% - Accent3 3 3 2 2" xfId="7916" xr:uid="{EEBF0AD8-4A70-481F-8DEF-DE2CF1D8CCF2}"/>
    <cellStyle name="20% - Accent3 3 3 3" xfId="5771" xr:uid="{28DF29C4-B7A1-44DE-AD84-307CF7119CB7}"/>
    <cellStyle name="20% - Accent3 3 3 4" xfId="1467" xr:uid="{4B765076-E348-4DD0-AC46-081329F364F0}"/>
    <cellStyle name="20% - Accent3 3 4" xfId="1882" xr:uid="{98400333-C155-48B2-9ECF-C1B10A21C390}"/>
    <cellStyle name="20% - Accent3 3 4 2" xfId="4111" xr:uid="{C70DB2EB-17B9-4948-9A19-C7F173A10C10}"/>
    <cellStyle name="20% - Accent3 3 4 2 2" xfId="8329" xr:uid="{C09D91DA-9D96-4B5F-B6E7-CFBF0951FA26}"/>
    <cellStyle name="20% - Accent3 3 4 3" xfId="6184" xr:uid="{B85F6365-7552-4BC9-8897-CE2AF6AE15C2}"/>
    <cellStyle name="20% - Accent3 3 5" xfId="2295" xr:uid="{1A7ECE79-3543-4B45-AD4C-606BA60B444B}"/>
    <cellStyle name="20% - Accent3 3 5 2" xfId="4524" xr:uid="{E91E6BB7-14C2-48CA-88BE-D0DA05904F8E}"/>
    <cellStyle name="20% - Accent3 3 5 2 2" xfId="8742" xr:uid="{0B51AE00-7D8A-4CEB-8B6F-D570849119FE}"/>
    <cellStyle name="20% - Accent3 3 5 3" xfId="6597" xr:uid="{7E2A4FBB-5452-4CB6-99E0-6681C96E9EAC}"/>
    <cellStyle name="20% - Accent3 3 6" xfId="2708" xr:uid="{2B355A84-5398-41F4-A502-F2D555F20969}"/>
    <cellStyle name="20% - Accent3 3 6 2" xfId="4937" xr:uid="{9571EE99-8697-40BC-953C-9646802243F4}"/>
    <cellStyle name="20% - Accent3 3 6 2 2" xfId="9155" xr:uid="{6058E6FF-0E20-4BDF-A28E-B5CC210123D6}"/>
    <cellStyle name="20% - Accent3 3 6 3" xfId="7010" xr:uid="{2F55A837-F8F3-43FE-A2B7-C87E31C745F1}"/>
    <cellStyle name="20% - Accent3 3 7" xfId="3121" xr:uid="{B6D5FD0D-8125-4638-9056-44DB273FDD6F}"/>
    <cellStyle name="20% - Accent3 3 7 2" xfId="7423" xr:uid="{D77E44DE-B0D9-4B2A-A772-2E875130D19B}"/>
    <cellStyle name="20% - Accent3 3 8" xfId="5357" xr:uid="{736B2D4A-5B3E-4AD3-9027-C6A9A59610DF}"/>
    <cellStyle name="20% - Accent3 3 9" xfId="1053" xr:uid="{1C05D1E4-9428-45B0-948A-5286456EE706}"/>
    <cellStyle name="20% - Accent3 4" xfId="24" xr:uid="{00000000-0005-0000-0000-00002D000000}"/>
    <cellStyle name="20% - Accent3 4 2" xfId="601" xr:uid="{00000000-0005-0000-0000-00002E000000}"/>
    <cellStyle name="20% - Accent3 4 2 2" xfId="3700" xr:uid="{99AA811E-0815-4194-98BE-1823E3723BB4}"/>
    <cellStyle name="20% - Accent3 4 2 2 2" xfId="7918" xr:uid="{49B5A264-C456-470C-84F0-8B22E9738DDB}"/>
    <cellStyle name="20% - Accent3 4 2 3" xfId="5773" xr:uid="{C51B4323-B876-473E-BB46-B2C3C9E96A10}"/>
    <cellStyle name="20% - Accent3 4 2 4" xfId="1469" xr:uid="{FD816C4F-DCDC-4D7A-ADD3-39A7B991E0E6}"/>
    <cellStyle name="20% - Accent3 4 3" xfId="1884" xr:uid="{1A0E5864-6FF2-4881-AE11-2A0CCD9A7A32}"/>
    <cellStyle name="20% - Accent3 4 3 2" xfId="4113" xr:uid="{6611B432-C076-40D9-8A03-DAB77673759D}"/>
    <cellStyle name="20% - Accent3 4 3 2 2" xfId="8331" xr:uid="{F87C7AC4-4379-44E9-830F-E0B98FA43654}"/>
    <cellStyle name="20% - Accent3 4 3 3" xfId="6186" xr:uid="{66F45C9F-60A8-420E-BFD3-014417DEF0F5}"/>
    <cellStyle name="20% - Accent3 4 4" xfId="2297" xr:uid="{B0809353-5CA2-4B5D-AA03-877BA7531EEC}"/>
    <cellStyle name="20% - Accent3 4 4 2" xfId="4526" xr:uid="{9B4C107D-FB77-4D00-BE42-413DB015B69D}"/>
    <cellStyle name="20% - Accent3 4 4 2 2" xfId="8744" xr:uid="{C6CFECE9-53E0-44A4-B3C2-300EED60EDEC}"/>
    <cellStyle name="20% - Accent3 4 4 3" xfId="6599" xr:uid="{3F92FE78-E1A4-4802-B0BD-7480216EFD0D}"/>
    <cellStyle name="20% - Accent3 4 5" xfId="2710" xr:uid="{BF0767B6-7CD2-4A9C-9D68-45C7C0374B06}"/>
    <cellStyle name="20% - Accent3 4 5 2" xfId="4939" xr:uid="{2B54BB8E-5262-4984-85AE-1FB1157DCC43}"/>
    <cellStyle name="20% - Accent3 4 5 2 2" xfId="9157" xr:uid="{54B7EBBD-037D-4AD1-ABFB-417F8046E41A}"/>
    <cellStyle name="20% - Accent3 4 5 3" xfId="7012" xr:uid="{FA76ACD3-2396-49B7-9EE4-0BD79E31A36E}"/>
    <cellStyle name="20% - Accent3 4 6" xfId="3123" xr:uid="{6D6AB181-0C16-4ED2-98A8-40B6EDAFADC2}"/>
    <cellStyle name="20% - Accent3 4 6 2" xfId="7425" xr:uid="{1C3D1C3E-B49A-4E25-8EB5-6469FC68E3E9}"/>
    <cellStyle name="20% - Accent3 4 7" xfId="5359" xr:uid="{E344001A-6B33-4EBF-8B7C-C13F875D4E48}"/>
    <cellStyle name="20% - Accent3 4 8" xfId="1055" xr:uid="{D585FA8F-EE20-4DFE-8289-757E7AE85506}"/>
    <cellStyle name="20% - Accent3 5" xfId="594" xr:uid="{00000000-0005-0000-0000-00002F000000}"/>
    <cellStyle name="20% - Accent3 5 2" xfId="3693" xr:uid="{9499050F-046B-4B44-9374-CEDDDB838E5D}"/>
    <cellStyle name="20% - Accent3 5 2 2" xfId="7911" xr:uid="{28896CBC-73E8-44B2-9518-57F2D7AEB1E6}"/>
    <cellStyle name="20% - Accent3 5 3" xfId="5766" xr:uid="{055893E6-B58E-4F7D-87C0-4B3693FE3A6C}"/>
    <cellStyle name="20% - Accent3 5 4" xfId="1462" xr:uid="{4239D56F-BBA2-4458-A4E4-D7B5028BC9D4}"/>
    <cellStyle name="20% - Accent3 6" xfId="1877" xr:uid="{C8D3A3E0-63FE-498B-97B4-19E7915CD686}"/>
    <cellStyle name="20% - Accent3 6 2" xfId="4106" xr:uid="{19E91CF2-F81F-4C77-BA8F-67A4912F81DC}"/>
    <cellStyle name="20% - Accent3 6 2 2" xfId="8324" xr:uid="{1B44FD78-E8AE-4463-8145-82FB264B0630}"/>
    <cellStyle name="20% - Accent3 6 3" xfId="6179" xr:uid="{4DEB6608-E80E-45B6-9282-606F926C81C2}"/>
    <cellStyle name="20% - Accent3 7" xfId="2290" xr:uid="{B9B6AB45-3E25-464C-A99F-5106F0139E93}"/>
    <cellStyle name="20% - Accent3 7 2" xfId="4519" xr:uid="{FD3A8C31-B3A8-4571-9254-F8C1371D90C0}"/>
    <cellStyle name="20% - Accent3 7 2 2" xfId="8737" xr:uid="{A61A809E-5E67-4309-8618-11BA1AE74278}"/>
    <cellStyle name="20% - Accent3 7 3" xfId="6592" xr:uid="{DE7C393D-CB80-4EFE-8D0C-023A915CCDBB}"/>
    <cellStyle name="20% - Accent3 8" xfId="2703" xr:uid="{6549E795-05E0-4992-89E9-E6F3476B7E91}"/>
    <cellStyle name="20% - Accent3 8 2" xfId="4932" xr:uid="{364EE3B4-1AB8-41AC-84C8-DC26BB8DCCE0}"/>
    <cellStyle name="20% - Accent3 8 2 2" xfId="9150" xr:uid="{F225BDBF-9C52-4623-A18E-49DB274D53FD}"/>
    <cellStyle name="20% - Accent3 8 3" xfId="7005" xr:uid="{9E78009A-3BC8-4161-AE51-CE1C682DBC83}"/>
    <cellStyle name="20% - Accent3 9" xfId="3116" xr:uid="{80675E2B-C5F2-4BDC-A79A-00AF98E536D1}"/>
    <cellStyle name="20% - Accent3 9 2" xfId="7418" xr:uid="{DAAD5071-81DC-45BC-B9C6-91BBB651EBE0}"/>
    <cellStyle name="20% - Accent4" xfId="25" builtinId="42" customBuiltin="1"/>
    <cellStyle name="20% - Accent4 10" xfId="5360" xr:uid="{BCEE2B24-C0EF-4165-88DE-84546B04C9FE}"/>
    <cellStyle name="20% - Accent4 11" xfId="1056" xr:uid="{CBC59630-72FD-45EF-AEE6-D9C5B0BE59A1}"/>
    <cellStyle name="20% - Accent4 2" xfId="26" xr:uid="{00000000-0005-0000-0000-000031000000}"/>
    <cellStyle name="20% - Accent4 2 10" xfId="1057" xr:uid="{AFC70742-2A7E-4A5C-9D98-2149A50B60EF}"/>
    <cellStyle name="20% - Accent4 2 2" xfId="27" xr:uid="{00000000-0005-0000-0000-000032000000}"/>
    <cellStyle name="20% - Accent4 2 2 2" xfId="28" xr:uid="{00000000-0005-0000-0000-000033000000}"/>
    <cellStyle name="20% - Accent4 2 2 2 2" xfId="605" xr:uid="{00000000-0005-0000-0000-000034000000}"/>
    <cellStyle name="20% - Accent4 2 2 2 2 2" xfId="3704" xr:uid="{938478B1-1511-4894-9956-843200D645BC}"/>
    <cellStyle name="20% - Accent4 2 2 2 2 2 2" xfId="7922" xr:uid="{234FCF89-CEB0-4550-9479-A791B9ABB134}"/>
    <cellStyle name="20% - Accent4 2 2 2 2 3" xfId="5777" xr:uid="{99DCD07A-9E4A-4F3F-8F30-C8F8F086D22E}"/>
    <cellStyle name="20% - Accent4 2 2 2 2 4" xfId="1473" xr:uid="{47CC4A2E-EF50-4429-A6F8-DCABE87EB4CB}"/>
    <cellStyle name="20% - Accent4 2 2 2 3" xfId="1888" xr:uid="{A33E9A73-F1B0-4EC8-A376-3854A8FEFE9E}"/>
    <cellStyle name="20% - Accent4 2 2 2 3 2" xfId="4117" xr:uid="{CC1CB2FB-D8C3-4068-B77B-1232087228B4}"/>
    <cellStyle name="20% - Accent4 2 2 2 3 2 2" xfId="8335" xr:uid="{90744179-11E0-462A-94A9-9B4AE7650AB6}"/>
    <cellStyle name="20% - Accent4 2 2 2 3 3" xfId="6190" xr:uid="{68328B80-C5E5-4728-B2D0-BCD263261A9E}"/>
    <cellStyle name="20% - Accent4 2 2 2 4" xfId="2301" xr:uid="{B5DE4505-B1A1-4692-B346-42F0D58C2063}"/>
    <cellStyle name="20% - Accent4 2 2 2 4 2" xfId="4530" xr:uid="{29145D77-10A1-4A95-AB73-BDC5D62EC2CC}"/>
    <cellStyle name="20% - Accent4 2 2 2 4 2 2" xfId="8748" xr:uid="{2EC97F25-F569-4CED-B259-CE16AD638F5D}"/>
    <cellStyle name="20% - Accent4 2 2 2 4 3" xfId="6603" xr:uid="{FDA115C8-F217-4FF9-A27C-29CD8EAA2D6E}"/>
    <cellStyle name="20% - Accent4 2 2 2 5" xfId="2714" xr:uid="{94768FC4-0C07-4EEC-9D4D-5DEA5AFF38CB}"/>
    <cellStyle name="20% - Accent4 2 2 2 5 2" xfId="4943" xr:uid="{AC381523-816A-4BCC-97B6-576896FCAF0D}"/>
    <cellStyle name="20% - Accent4 2 2 2 5 2 2" xfId="9161" xr:uid="{3313A58D-3E80-4C0E-9DCC-08F2C920928D}"/>
    <cellStyle name="20% - Accent4 2 2 2 5 3" xfId="7016" xr:uid="{56FFC5F3-5194-4129-A659-FF65E96C3598}"/>
    <cellStyle name="20% - Accent4 2 2 2 6" xfId="3127" xr:uid="{014E2602-1B73-4B01-8B8F-71E6E8BC0623}"/>
    <cellStyle name="20% - Accent4 2 2 2 6 2" xfId="7429" xr:uid="{1AA9562C-7CAF-4BC5-A2A7-992B02B83673}"/>
    <cellStyle name="20% - Accent4 2 2 2 7" xfId="5363" xr:uid="{A26128CC-6DC8-4ABB-997C-2D5BCA2685C3}"/>
    <cellStyle name="20% - Accent4 2 2 2 8" xfId="1059" xr:uid="{191F4242-77B5-42A5-B512-CDB4F2A197ED}"/>
    <cellStyle name="20% - Accent4 2 2 3" xfId="604" xr:uid="{00000000-0005-0000-0000-000035000000}"/>
    <cellStyle name="20% - Accent4 2 2 3 2" xfId="3703" xr:uid="{9A6FB19F-4C16-48CE-8E01-6B3A28520821}"/>
    <cellStyle name="20% - Accent4 2 2 3 2 2" xfId="7921" xr:uid="{77D2B61F-7089-477A-981D-22DE84836446}"/>
    <cellStyle name="20% - Accent4 2 2 3 3" xfId="5776" xr:uid="{0B2B6888-B88B-40CE-A588-68DA47ED409A}"/>
    <cellStyle name="20% - Accent4 2 2 3 4" xfId="1472" xr:uid="{D6379892-283F-4921-BBEC-7997968519F1}"/>
    <cellStyle name="20% - Accent4 2 2 4" xfId="1887" xr:uid="{AAC01C28-546F-4133-BA76-A704BAB501A0}"/>
    <cellStyle name="20% - Accent4 2 2 4 2" xfId="4116" xr:uid="{E20FFC54-9B0C-4F23-A6DA-713C73EAE8C9}"/>
    <cellStyle name="20% - Accent4 2 2 4 2 2" xfId="8334" xr:uid="{F205BBD5-7CC3-4030-BB8C-E21ACE86C8D6}"/>
    <cellStyle name="20% - Accent4 2 2 4 3" xfId="6189" xr:uid="{0F069A4A-7607-46D2-9DD7-8D227CA1C204}"/>
    <cellStyle name="20% - Accent4 2 2 5" xfId="2300" xr:uid="{4C0F23ED-DFF4-4012-B8DB-FED74EF8D7BE}"/>
    <cellStyle name="20% - Accent4 2 2 5 2" xfId="4529" xr:uid="{1281F8EE-DA5B-457A-AB89-9A051FA725E5}"/>
    <cellStyle name="20% - Accent4 2 2 5 2 2" xfId="8747" xr:uid="{84392D62-7754-439D-8983-BFABC2A63524}"/>
    <cellStyle name="20% - Accent4 2 2 5 3" xfId="6602" xr:uid="{92B2A30C-2821-45AE-AB18-098A26C29865}"/>
    <cellStyle name="20% - Accent4 2 2 6" xfId="2713" xr:uid="{EB2AC9A0-FFB0-4A94-9DA1-A0A4F25B1B55}"/>
    <cellStyle name="20% - Accent4 2 2 6 2" xfId="4942" xr:uid="{3FCEDFEA-692A-4C31-AD09-41B7CFB82E1D}"/>
    <cellStyle name="20% - Accent4 2 2 6 2 2" xfId="9160" xr:uid="{744EA7B6-AB66-499F-8C7F-C4B34DDF7649}"/>
    <cellStyle name="20% - Accent4 2 2 6 3" xfId="7015" xr:uid="{FEEAE5D0-F277-45CE-AE3D-3CA49B63AEE9}"/>
    <cellStyle name="20% - Accent4 2 2 7" xfId="3126" xr:uid="{4D1C9EF8-D334-43EF-B84B-0859A0B4E0A7}"/>
    <cellStyle name="20% - Accent4 2 2 7 2" xfId="7428" xr:uid="{746046A5-D311-46E4-80A0-AB2730419105}"/>
    <cellStyle name="20% - Accent4 2 2 8" xfId="5362" xr:uid="{D386F6CD-9891-4C58-A118-571FE427D768}"/>
    <cellStyle name="20% - Accent4 2 2 9" xfId="1058" xr:uid="{E83618A6-A7DE-4E3C-9FC4-4BC1EC2D2D5D}"/>
    <cellStyle name="20% - Accent4 2 3" xfId="29" xr:uid="{00000000-0005-0000-0000-000036000000}"/>
    <cellStyle name="20% - Accent4 2 3 2" xfId="606" xr:uid="{00000000-0005-0000-0000-000037000000}"/>
    <cellStyle name="20% - Accent4 2 3 2 2" xfId="3705" xr:uid="{BB13546C-20BA-40A0-97BD-A20B117CC820}"/>
    <cellStyle name="20% - Accent4 2 3 2 2 2" xfId="7923" xr:uid="{6D1B5574-6F0B-45C6-891F-34DEC1DB4923}"/>
    <cellStyle name="20% - Accent4 2 3 2 3" xfId="5778" xr:uid="{19156D25-4519-41FB-B85E-B74EB4FBD73C}"/>
    <cellStyle name="20% - Accent4 2 3 2 4" xfId="1474" xr:uid="{4FBFB42B-3C53-4309-A11C-FB0C74AC26C2}"/>
    <cellStyle name="20% - Accent4 2 3 3" xfId="1889" xr:uid="{89B08CA8-070D-4C68-8DF7-7CB1DE308D58}"/>
    <cellStyle name="20% - Accent4 2 3 3 2" xfId="4118" xr:uid="{AC8F4C79-DD07-44EB-AD36-978300F4932A}"/>
    <cellStyle name="20% - Accent4 2 3 3 2 2" xfId="8336" xr:uid="{D571A336-5F71-4839-91CA-B16C4AD54A88}"/>
    <cellStyle name="20% - Accent4 2 3 3 3" xfId="6191" xr:uid="{E6AE828C-4CEF-4A93-BE92-C84DD7C93AF6}"/>
    <cellStyle name="20% - Accent4 2 3 4" xfId="2302" xr:uid="{69B2A7F0-9B45-4A44-B135-B0D99EA279A9}"/>
    <cellStyle name="20% - Accent4 2 3 4 2" xfId="4531" xr:uid="{87A72B14-04CE-4242-9B44-13DDF34E1881}"/>
    <cellStyle name="20% - Accent4 2 3 4 2 2" xfId="8749" xr:uid="{B0225864-1CCA-442D-9D37-F36193DF300F}"/>
    <cellStyle name="20% - Accent4 2 3 4 3" xfId="6604" xr:uid="{44F81340-39A9-4A18-BBFB-09C4AD0311D0}"/>
    <cellStyle name="20% - Accent4 2 3 5" xfId="2715" xr:uid="{E3C5B70A-9D35-4A84-9FBE-6E912F1E34A9}"/>
    <cellStyle name="20% - Accent4 2 3 5 2" xfId="4944" xr:uid="{767D2CE6-565D-4114-A76E-ABB437B52DF8}"/>
    <cellStyle name="20% - Accent4 2 3 5 2 2" xfId="9162" xr:uid="{6617E11A-7B66-4C4E-8856-1C31C47E5C6C}"/>
    <cellStyle name="20% - Accent4 2 3 5 3" xfId="7017" xr:uid="{6A7B17D5-113F-47C2-9B47-946DFFB6A802}"/>
    <cellStyle name="20% - Accent4 2 3 6" xfId="3128" xr:uid="{6731696E-E045-44AC-8987-C35C560B27CC}"/>
    <cellStyle name="20% - Accent4 2 3 6 2" xfId="7430" xr:uid="{85700015-8710-4F8F-988A-EE17E8698162}"/>
    <cellStyle name="20% - Accent4 2 3 7" xfId="5364" xr:uid="{C4F6DD96-8D90-4BC7-8134-A0A6B2877541}"/>
    <cellStyle name="20% - Accent4 2 3 8" xfId="1060" xr:uid="{297CA5A3-6212-497D-A2DB-63C28737AA04}"/>
    <cellStyle name="20% - Accent4 2 4" xfId="603" xr:uid="{00000000-0005-0000-0000-000038000000}"/>
    <cellStyle name="20% - Accent4 2 4 2" xfId="3702" xr:uid="{B9648E72-082B-4887-8145-531484E4F121}"/>
    <cellStyle name="20% - Accent4 2 4 2 2" xfId="7920" xr:uid="{EB14215F-F13F-451F-A8CD-02468C98760C}"/>
    <cellStyle name="20% - Accent4 2 4 3" xfId="5775" xr:uid="{D220E28D-541C-412E-8DD7-01D4139E4A52}"/>
    <cellStyle name="20% - Accent4 2 4 4" xfId="1471" xr:uid="{3B7F3AFB-AA35-4647-A0E4-7BCD62372B4F}"/>
    <cellStyle name="20% - Accent4 2 5" xfId="1886" xr:uid="{28B66536-8290-4F8B-B799-BCD91CC4E9E5}"/>
    <cellStyle name="20% - Accent4 2 5 2" xfId="4115" xr:uid="{1EFE1903-A9FB-40EF-90F5-70821C97BEBC}"/>
    <cellStyle name="20% - Accent4 2 5 2 2" xfId="8333" xr:uid="{33BF60FB-C7EB-4DA4-8600-1335E89164B1}"/>
    <cellStyle name="20% - Accent4 2 5 3" xfId="6188" xr:uid="{4D13C5A0-241D-4372-AC03-1A289E1D7A77}"/>
    <cellStyle name="20% - Accent4 2 6" xfId="2299" xr:uid="{DB887CE1-73C5-4E7B-AE9F-2D059A98573C}"/>
    <cellStyle name="20% - Accent4 2 6 2" xfId="4528" xr:uid="{DA439EE6-0A92-453D-A0A7-57B4D492D7A6}"/>
    <cellStyle name="20% - Accent4 2 6 2 2" xfId="8746" xr:uid="{2FA35EC5-90F0-4800-A48C-C8AB263FD151}"/>
    <cellStyle name="20% - Accent4 2 6 3" xfId="6601" xr:uid="{5BDC7E65-04E0-4320-8129-945EFB30670B}"/>
    <cellStyle name="20% - Accent4 2 7" xfId="2712" xr:uid="{C469F579-E0C4-4869-82E9-FDEF35113EFA}"/>
    <cellStyle name="20% - Accent4 2 7 2" xfId="4941" xr:uid="{D6F9DE49-C4B4-4E9A-B15A-DB4A5EED9EDD}"/>
    <cellStyle name="20% - Accent4 2 7 2 2" xfId="9159" xr:uid="{AB004E6A-4697-4B84-9AEE-2BE892B8DB0D}"/>
    <cellStyle name="20% - Accent4 2 7 3" xfId="7014" xr:uid="{7E77586D-F912-4671-BFA9-8C416FA88C3D}"/>
    <cellStyle name="20% - Accent4 2 8" xfId="3125" xr:uid="{923A5360-A3D2-4655-A98C-55AF2DE461DE}"/>
    <cellStyle name="20% - Accent4 2 8 2" xfId="7427" xr:uid="{A612FF46-DB16-4197-A4CD-323DA3A42638}"/>
    <cellStyle name="20% - Accent4 2 9" xfId="5361" xr:uid="{F3A2CAC3-090D-4F6F-9826-866344761C42}"/>
    <cellStyle name="20% - Accent4 3" xfId="30" xr:uid="{00000000-0005-0000-0000-000039000000}"/>
    <cellStyle name="20% - Accent4 3 2" xfId="31" xr:uid="{00000000-0005-0000-0000-00003A000000}"/>
    <cellStyle name="20% - Accent4 3 2 2" xfId="608" xr:uid="{00000000-0005-0000-0000-00003B000000}"/>
    <cellStyle name="20% - Accent4 3 2 2 2" xfId="3707" xr:uid="{3734352C-B6BD-4338-861D-3FBA630E0086}"/>
    <cellStyle name="20% - Accent4 3 2 2 2 2" xfId="7925" xr:uid="{438CEC45-4870-4183-8396-63462F0ACB44}"/>
    <cellStyle name="20% - Accent4 3 2 2 3" xfId="5780" xr:uid="{4F072AB5-BE2D-4388-A612-78A4E5A1125B}"/>
    <cellStyle name="20% - Accent4 3 2 2 4" xfId="1476" xr:uid="{7D967C02-088B-46D7-8170-DB07EC40C641}"/>
    <cellStyle name="20% - Accent4 3 2 3" xfId="1891" xr:uid="{78920F2F-E48A-48FE-BC9A-4392770F1E2E}"/>
    <cellStyle name="20% - Accent4 3 2 3 2" xfId="4120" xr:uid="{8FE4EF44-68D3-4596-B104-E13C3B3EF998}"/>
    <cellStyle name="20% - Accent4 3 2 3 2 2" xfId="8338" xr:uid="{A11DEF01-C798-4EE8-B937-A2BC73113F46}"/>
    <cellStyle name="20% - Accent4 3 2 3 3" xfId="6193" xr:uid="{39CBAE72-0F4D-4298-8D9C-FBC865625DE0}"/>
    <cellStyle name="20% - Accent4 3 2 4" xfId="2304" xr:uid="{81B08873-41FE-4155-A74C-AF1B9A70AA34}"/>
    <cellStyle name="20% - Accent4 3 2 4 2" xfId="4533" xr:uid="{A24066D3-D8BE-457E-BD34-ECE07A0E820D}"/>
    <cellStyle name="20% - Accent4 3 2 4 2 2" xfId="8751" xr:uid="{EEF8A274-BDD7-4BDC-8EBC-07AD378EFB46}"/>
    <cellStyle name="20% - Accent4 3 2 4 3" xfId="6606" xr:uid="{619959E7-7A2A-4CB2-B7D0-5A36CAFF1A0B}"/>
    <cellStyle name="20% - Accent4 3 2 5" xfId="2717" xr:uid="{4DB5EB4A-F48E-45C4-B218-F652C77B82BE}"/>
    <cellStyle name="20% - Accent4 3 2 5 2" xfId="4946" xr:uid="{83CBB2BF-ECEC-4515-88A9-4E78B8782FF1}"/>
    <cellStyle name="20% - Accent4 3 2 5 2 2" xfId="9164" xr:uid="{AC94C24E-F019-4891-AB47-4544471A45D7}"/>
    <cellStyle name="20% - Accent4 3 2 5 3" xfId="7019" xr:uid="{75DCC399-5720-4845-942C-6A36A19D04F7}"/>
    <cellStyle name="20% - Accent4 3 2 6" xfId="3130" xr:uid="{FA8DF1DE-68E9-4940-AE7B-5B6B695A56DD}"/>
    <cellStyle name="20% - Accent4 3 2 6 2" xfId="7432" xr:uid="{10565AFF-88E3-45EC-8E18-36A17B7674C2}"/>
    <cellStyle name="20% - Accent4 3 2 7" xfId="5366" xr:uid="{BFAD2BCE-AA58-408B-8896-8988E687EC10}"/>
    <cellStyle name="20% - Accent4 3 2 8" xfId="1062" xr:uid="{8C2D57F0-8A8A-4C20-A588-2D002C66F472}"/>
    <cellStyle name="20% - Accent4 3 3" xfId="607" xr:uid="{00000000-0005-0000-0000-00003C000000}"/>
    <cellStyle name="20% - Accent4 3 3 2" xfId="3706" xr:uid="{7CC82EFA-3412-4604-9F3B-690278A8937F}"/>
    <cellStyle name="20% - Accent4 3 3 2 2" xfId="7924" xr:uid="{3E53DBC8-B4C3-4F40-BF0E-1F3D1E6132E6}"/>
    <cellStyle name="20% - Accent4 3 3 3" xfId="5779" xr:uid="{B23DB886-E861-4308-BC52-B577330408F2}"/>
    <cellStyle name="20% - Accent4 3 3 4" xfId="1475" xr:uid="{ACDC4A36-9F49-403C-9C85-6976A7D133AF}"/>
    <cellStyle name="20% - Accent4 3 4" xfId="1890" xr:uid="{FB1C950C-E04A-48F2-BEEB-15DF22921F08}"/>
    <cellStyle name="20% - Accent4 3 4 2" xfId="4119" xr:uid="{99324C94-0D7E-4786-9DB6-3453A8493B13}"/>
    <cellStyle name="20% - Accent4 3 4 2 2" xfId="8337" xr:uid="{2033272B-F9F6-4407-8E30-63D5BDE68E51}"/>
    <cellStyle name="20% - Accent4 3 4 3" xfId="6192" xr:uid="{38CD0C01-01D0-4C65-B163-0BBD0E08DBF6}"/>
    <cellStyle name="20% - Accent4 3 5" xfId="2303" xr:uid="{E30DA9C0-873D-458B-8213-C964D946A52C}"/>
    <cellStyle name="20% - Accent4 3 5 2" xfId="4532" xr:uid="{26FB5834-5AD5-47B3-9196-1F79E45EF7F6}"/>
    <cellStyle name="20% - Accent4 3 5 2 2" xfId="8750" xr:uid="{67BDCDEC-F6DD-4D64-99C4-95E18AB25178}"/>
    <cellStyle name="20% - Accent4 3 5 3" xfId="6605" xr:uid="{0E6A071C-ABDC-4848-9DC7-86DB1CE92BF0}"/>
    <cellStyle name="20% - Accent4 3 6" xfId="2716" xr:uid="{4C0E66FE-CABF-4AD1-B5FE-34118EFF2B6D}"/>
    <cellStyle name="20% - Accent4 3 6 2" xfId="4945" xr:uid="{14A74EE1-DFF6-46B1-A429-B81B49E36337}"/>
    <cellStyle name="20% - Accent4 3 6 2 2" xfId="9163" xr:uid="{01B9C633-EFBE-489D-81F7-50F3FFF52FAD}"/>
    <cellStyle name="20% - Accent4 3 6 3" xfId="7018" xr:uid="{63F58DC6-AB6A-461A-BAB7-1D636E6F7259}"/>
    <cellStyle name="20% - Accent4 3 7" xfId="3129" xr:uid="{FD7EE1DA-F89E-4429-B7E7-131F52F6D10B}"/>
    <cellStyle name="20% - Accent4 3 7 2" xfId="7431" xr:uid="{58FC2B51-B4DC-4132-9C54-DCE50626E6B7}"/>
    <cellStyle name="20% - Accent4 3 8" xfId="5365" xr:uid="{347A1A8C-CF11-4A04-A5AF-5D41AF20F9DA}"/>
    <cellStyle name="20% - Accent4 3 9" xfId="1061" xr:uid="{55825780-1A55-4B6F-8809-BDB901D28E01}"/>
    <cellStyle name="20% - Accent4 4" xfId="32" xr:uid="{00000000-0005-0000-0000-00003D000000}"/>
    <cellStyle name="20% - Accent4 4 2" xfId="609" xr:uid="{00000000-0005-0000-0000-00003E000000}"/>
    <cellStyle name="20% - Accent4 4 2 2" xfId="3708" xr:uid="{829EE712-C4A8-466B-A6DD-CD7F8A35B633}"/>
    <cellStyle name="20% - Accent4 4 2 2 2" xfId="7926" xr:uid="{655CD4B4-090A-4876-B3D1-81DC5464D8DC}"/>
    <cellStyle name="20% - Accent4 4 2 3" xfId="5781" xr:uid="{BF1E5754-BF0D-4B21-831A-E5128FF1166F}"/>
    <cellStyle name="20% - Accent4 4 2 4" xfId="1477" xr:uid="{5C2D84E9-5D35-4726-8588-64D9D0FA879D}"/>
    <cellStyle name="20% - Accent4 4 3" xfId="1892" xr:uid="{29A43650-43A1-45B2-8F54-D998F821BF8B}"/>
    <cellStyle name="20% - Accent4 4 3 2" xfId="4121" xr:uid="{FE3C7702-B981-45A7-9635-4C25BE4F2359}"/>
    <cellStyle name="20% - Accent4 4 3 2 2" xfId="8339" xr:uid="{E9F00B58-86C2-429A-AC42-B4E69BED2AB9}"/>
    <cellStyle name="20% - Accent4 4 3 3" xfId="6194" xr:uid="{72FFD3A4-A737-4D6D-8BFA-DA0D64943945}"/>
    <cellStyle name="20% - Accent4 4 4" xfId="2305" xr:uid="{8FBEE8F4-D73E-4E5F-A437-3FB0FC605895}"/>
    <cellStyle name="20% - Accent4 4 4 2" xfId="4534" xr:uid="{E95E2BE4-D61E-4F57-8DF3-2C9C1CE0E8BA}"/>
    <cellStyle name="20% - Accent4 4 4 2 2" xfId="8752" xr:uid="{00757590-E88A-4209-B499-154069EDF40E}"/>
    <cellStyle name="20% - Accent4 4 4 3" xfId="6607" xr:uid="{6DD02A35-F92A-48FB-BEA7-6F35C5FCBD3D}"/>
    <cellStyle name="20% - Accent4 4 5" xfId="2718" xr:uid="{6A120BF9-BFF3-4679-A91D-29A753002B84}"/>
    <cellStyle name="20% - Accent4 4 5 2" xfId="4947" xr:uid="{09322335-4F19-4E8A-A8C8-3EACCD3A0293}"/>
    <cellStyle name="20% - Accent4 4 5 2 2" xfId="9165" xr:uid="{E4383DE7-59C0-4FD6-8733-03DC8E6826FC}"/>
    <cellStyle name="20% - Accent4 4 5 3" xfId="7020" xr:uid="{5DB1CB81-8A5C-4D45-A1A9-5746802E45E5}"/>
    <cellStyle name="20% - Accent4 4 6" xfId="3131" xr:uid="{FE3FB49D-4E2F-42E9-A459-5C0D7113EAFF}"/>
    <cellStyle name="20% - Accent4 4 6 2" xfId="7433" xr:uid="{722AA2B7-04AE-4862-84CC-70EB8B369AD3}"/>
    <cellStyle name="20% - Accent4 4 7" xfId="5367" xr:uid="{1F958728-CF1F-482C-977C-BD7E0CF93C70}"/>
    <cellStyle name="20% - Accent4 4 8" xfId="1063" xr:uid="{5CE4EC78-7179-4A2B-A566-09F76A8271DA}"/>
    <cellStyle name="20% - Accent4 5" xfId="602" xr:uid="{00000000-0005-0000-0000-00003F000000}"/>
    <cellStyle name="20% - Accent4 5 2" xfId="3701" xr:uid="{811D28CA-A637-4D1D-8564-C0A99C4EA752}"/>
    <cellStyle name="20% - Accent4 5 2 2" xfId="7919" xr:uid="{B9755974-AEF3-4E34-B35D-0F15C8099B35}"/>
    <cellStyle name="20% - Accent4 5 3" xfId="5774" xr:uid="{61AD479F-1906-4C7A-80BE-C7D22168ABCB}"/>
    <cellStyle name="20% - Accent4 5 4" xfId="1470" xr:uid="{AAD88E30-0B1C-426F-96E5-AB2ECF2DD7F5}"/>
    <cellStyle name="20% - Accent4 6" xfId="1885" xr:uid="{32C62E6C-75FC-4A64-9D41-42B33840802A}"/>
    <cellStyle name="20% - Accent4 6 2" xfId="4114" xr:uid="{D9E88F59-9EB6-44DF-A4B1-445EEE7D05E7}"/>
    <cellStyle name="20% - Accent4 6 2 2" xfId="8332" xr:uid="{C0ECA0EB-B063-474E-9AE1-0D1643B88AFF}"/>
    <cellStyle name="20% - Accent4 6 3" xfId="6187" xr:uid="{50732D27-68C2-429E-A32C-D9D200DE3B04}"/>
    <cellStyle name="20% - Accent4 7" xfId="2298" xr:uid="{8CD5E7FC-9A1E-4A96-85A2-2AF70B02F808}"/>
    <cellStyle name="20% - Accent4 7 2" xfId="4527" xr:uid="{E20C283D-7ABA-41CC-AF0C-89037C25FEF9}"/>
    <cellStyle name="20% - Accent4 7 2 2" xfId="8745" xr:uid="{9AC7C1BA-2EA0-453D-8B49-33B2A7AD5303}"/>
    <cellStyle name="20% - Accent4 7 3" xfId="6600" xr:uid="{E88DFE23-5E1B-411C-B454-F3948C5ED22F}"/>
    <cellStyle name="20% - Accent4 8" xfId="2711" xr:uid="{74C057C9-3FB7-4199-92B7-957A500DD670}"/>
    <cellStyle name="20% - Accent4 8 2" xfId="4940" xr:uid="{8EA0AA86-1874-4CA6-A0E2-AA25978BFCE1}"/>
    <cellStyle name="20% - Accent4 8 2 2" xfId="9158" xr:uid="{20F0F9DF-8C0D-49BE-A66E-B977944572DA}"/>
    <cellStyle name="20% - Accent4 8 3" xfId="7013" xr:uid="{AE07E187-0120-405A-9388-5A12686468F8}"/>
    <cellStyle name="20% - Accent4 9" xfId="3124" xr:uid="{5F9C5DE7-FF2A-45AA-8B3A-10BDB8F96089}"/>
    <cellStyle name="20% - Accent4 9 2" xfId="7426" xr:uid="{DD7C71F1-8FD4-4D70-B4D9-06AA6BC41C1A}"/>
    <cellStyle name="20% - Accent5" xfId="33" builtinId="46" customBuiltin="1"/>
    <cellStyle name="20% - Accent5 10" xfId="5368" xr:uid="{1ABC416D-B60D-4AB9-A9A6-3DE6E22AE618}"/>
    <cellStyle name="20% - Accent5 11" xfId="1064" xr:uid="{1F34DEE8-2B5F-4728-BC28-B9C4444FCA19}"/>
    <cellStyle name="20% - Accent5 2" xfId="34" xr:uid="{00000000-0005-0000-0000-000041000000}"/>
    <cellStyle name="20% - Accent5 2 10" xfId="1065" xr:uid="{24829501-9758-4C03-8CB3-55D5FF63CBD8}"/>
    <cellStyle name="20% - Accent5 2 2" xfId="35" xr:uid="{00000000-0005-0000-0000-000042000000}"/>
    <cellStyle name="20% - Accent5 2 2 2" xfId="36" xr:uid="{00000000-0005-0000-0000-000043000000}"/>
    <cellStyle name="20% - Accent5 2 2 2 2" xfId="613" xr:uid="{00000000-0005-0000-0000-000044000000}"/>
    <cellStyle name="20% - Accent5 2 2 2 2 2" xfId="3712" xr:uid="{B7775769-A9A8-44AC-9D31-3ACC0F544892}"/>
    <cellStyle name="20% - Accent5 2 2 2 2 2 2" xfId="7930" xr:uid="{47250AEC-5A0F-42C2-B0D4-AB5D5D81217F}"/>
    <cellStyle name="20% - Accent5 2 2 2 2 3" xfId="5785" xr:uid="{2DBB1CBF-6834-478C-86C6-3F15411FAEC3}"/>
    <cellStyle name="20% - Accent5 2 2 2 2 4" xfId="1481" xr:uid="{DCEAECAF-5CC1-4325-BB31-6E7FC4F3811D}"/>
    <cellStyle name="20% - Accent5 2 2 2 3" xfId="1896" xr:uid="{515825FD-949F-48B3-B292-C6617726442C}"/>
    <cellStyle name="20% - Accent5 2 2 2 3 2" xfId="4125" xr:uid="{30311799-87EB-4032-8291-11E063A18816}"/>
    <cellStyle name="20% - Accent5 2 2 2 3 2 2" xfId="8343" xr:uid="{C98B2293-ECE8-4A4B-8DE9-3C60610B73CB}"/>
    <cellStyle name="20% - Accent5 2 2 2 3 3" xfId="6198" xr:uid="{AA18B24B-D125-49E3-8F1F-7BC3F608F078}"/>
    <cellStyle name="20% - Accent5 2 2 2 4" xfId="2309" xr:uid="{BBE71DD0-8419-43DF-81EB-222743D3BE09}"/>
    <cellStyle name="20% - Accent5 2 2 2 4 2" xfId="4538" xr:uid="{D2AAFB4F-69D4-4205-B990-B5433A646D4F}"/>
    <cellStyle name="20% - Accent5 2 2 2 4 2 2" xfId="8756" xr:uid="{826C3B4F-0A0C-4A4B-9296-2B5787FB74B9}"/>
    <cellStyle name="20% - Accent5 2 2 2 4 3" xfId="6611" xr:uid="{FA51E90D-8016-4EA4-A540-BB9661A88CA6}"/>
    <cellStyle name="20% - Accent5 2 2 2 5" xfId="2722" xr:uid="{2B0574FD-3AF8-4D60-AE3D-9F012153E05F}"/>
    <cellStyle name="20% - Accent5 2 2 2 5 2" xfId="4951" xr:uid="{8B44AEB0-306B-4D1F-BA8D-F289C0F7E99C}"/>
    <cellStyle name="20% - Accent5 2 2 2 5 2 2" xfId="9169" xr:uid="{7F7CAF60-73F5-4624-A68C-3FD98FBDC77D}"/>
    <cellStyle name="20% - Accent5 2 2 2 5 3" xfId="7024" xr:uid="{FD1DC82D-C7B4-48A8-8AFC-9DB11E4E2F8B}"/>
    <cellStyle name="20% - Accent5 2 2 2 6" xfId="3135" xr:uid="{E3A5159E-92D4-477A-8759-44C813AB0C9C}"/>
    <cellStyle name="20% - Accent5 2 2 2 6 2" xfId="7437" xr:uid="{D63ABAA2-87F8-43F6-8AE3-8BCFA5B997EE}"/>
    <cellStyle name="20% - Accent5 2 2 2 7" xfId="5371" xr:uid="{203B760C-ABFA-445B-AF0C-491F21052495}"/>
    <cellStyle name="20% - Accent5 2 2 2 8" xfId="1067" xr:uid="{ED662F02-6ED4-46E8-8225-47A847F107B0}"/>
    <cellStyle name="20% - Accent5 2 2 3" xfId="612" xr:uid="{00000000-0005-0000-0000-000045000000}"/>
    <cellStyle name="20% - Accent5 2 2 3 2" xfId="3711" xr:uid="{49A73873-CEA8-4137-BBC1-70EE5CBB0327}"/>
    <cellStyle name="20% - Accent5 2 2 3 2 2" xfId="7929" xr:uid="{7525A2F6-C584-4320-B31B-D1353138E517}"/>
    <cellStyle name="20% - Accent5 2 2 3 3" xfId="5784" xr:uid="{30F810C7-9E22-42A0-9343-5C2F1194816C}"/>
    <cellStyle name="20% - Accent5 2 2 3 4" xfId="1480" xr:uid="{09D31CCB-AF7B-4FF5-8786-829D4992A50B}"/>
    <cellStyle name="20% - Accent5 2 2 4" xfId="1895" xr:uid="{B3B55CBC-2869-4296-AB31-1FEE9F2EFB22}"/>
    <cellStyle name="20% - Accent5 2 2 4 2" xfId="4124" xr:uid="{7C4C1CF5-E5E4-42EF-ACCC-D3B96E0BC7F6}"/>
    <cellStyle name="20% - Accent5 2 2 4 2 2" xfId="8342" xr:uid="{AE4CFECE-1F73-46E2-87C3-EFBB4740D0BE}"/>
    <cellStyle name="20% - Accent5 2 2 4 3" xfId="6197" xr:uid="{CB03D08B-B520-401B-B487-C0AE86AB8242}"/>
    <cellStyle name="20% - Accent5 2 2 5" xfId="2308" xr:uid="{C49323C4-82C2-4B23-AED7-DA3A4FA4866C}"/>
    <cellStyle name="20% - Accent5 2 2 5 2" xfId="4537" xr:uid="{D5D47140-DA1C-47AB-A15A-0121696F3358}"/>
    <cellStyle name="20% - Accent5 2 2 5 2 2" xfId="8755" xr:uid="{B1B732CA-DB78-499E-B8BA-CA44AD69C107}"/>
    <cellStyle name="20% - Accent5 2 2 5 3" xfId="6610" xr:uid="{AFA85A6C-F905-4B7A-8108-20BF114AF779}"/>
    <cellStyle name="20% - Accent5 2 2 6" xfId="2721" xr:uid="{45697189-F569-439E-962A-4286E4EFF892}"/>
    <cellStyle name="20% - Accent5 2 2 6 2" xfId="4950" xr:uid="{1618C32F-0189-4649-B703-97EACC77BE2D}"/>
    <cellStyle name="20% - Accent5 2 2 6 2 2" xfId="9168" xr:uid="{18C7C3AB-6341-4C6D-888F-D24267F1FCC7}"/>
    <cellStyle name="20% - Accent5 2 2 6 3" xfId="7023" xr:uid="{E670364A-E8CF-4F75-A88F-877916E5CF8C}"/>
    <cellStyle name="20% - Accent5 2 2 7" xfId="3134" xr:uid="{2CAD895B-9CEA-4ECB-8DF9-0AE247B33E86}"/>
    <cellStyle name="20% - Accent5 2 2 7 2" xfId="7436" xr:uid="{931DC65B-102D-451A-9D57-48ADD538170A}"/>
    <cellStyle name="20% - Accent5 2 2 8" xfId="5370" xr:uid="{E0A7FDD4-6868-4D90-9028-902CD893F5AE}"/>
    <cellStyle name="20% - Accent5 2 2 9" xfId="1066" xr:uid="{1CDDD8F1-C023-4F37-9408-DB28DC735372}"/>
    <cellStyle name="20% - Accent5 2 3" xfId="37" xr:uid="{00000000-0005-0000-0000-000046000000}"/>
    <cellStyle name="20% - Accent5 2 3 2" xfId="614" xr:uid="{00000000-0005-0000-0000-000047000000}"/>
    <cellStyle name="20% - Accent5 2 3 2 2" xfId="3713" xr:uid="{A4B348C3-977A-4F23-B4C7-81118DB09155}"/>
    <cellStyle name="20% - Accent5 2 3 2 2 2" xfId="7931" xr:uid="{8FBEFF33-5AFE-49C1-86A5-830499B4A9F7}"/>
    <cellStyle name="20% - Accent5 2 3 2 3" xfId="5786" xr:uid="{CDE4174E-403A-42C6-AFA2-32C56E8F9329}"/>
    <cellStyle name="20% - Accent5 2 3 2 4" xfId="1482" xr:uid="{EAACE503-1D1D-43EC-9A67-12716C8FA54E}"/>
    <cellStyle name="20% - Accent5 2 3 3" xfId="1897" xr:uid="{CE922661-3FFB-495B-95E0-CF8B9BFAE56D}"/>
    <cellStyle name="20% - Accent5 2 3 3 2" xfId="4126" xr:uid="{3259CF0A-9419-44CA-B644-D48E648EB88A}"/>
    <cellStyle name="20% - Accent5 2 3 3 2 2" xfId="8344" xr:uid="{1F867E72-918D-459E-A0DA-8F46A7EB3379}"/>
    <cellStyle name="20% - Accent5 2 3 3 3" xfId="6199" xr:uid="{C5667819-6DA5-448B-BBA4-E1097468C533}"/>
    <cellStyle name="20% - Accent5 2 3 4" xfId="2310" xr:uid="{38426229-1C9C-4277-B10D-1DABFF6472EE}"/>
    <cellStyle name="20% - Accent5 2 3 4 2" xfId="4539" xr:uid="{6050769A-957B-45B4-BCCF-E0CCA64BF878}"/>
    <cellStyle name="20% - Accent5 2 3 4 2 2" xfId="8757" xr:uid="{E6F3B858-D391-45D2-9EBA-2B033B989AD3}"/>
    <cellStyle name="20% - Accent5 2 3 4 3" xfId="6612" xr:uid="{FCE41A63-E7C9-4F03-AE5D-3AB3386AB176}"/>
    <cellStyle name="20% - Accent5 2 3 5" xfId="2723" xr:uid="{78C9ED4D-1434-40D2-A710-9EB759331D50}"/>
    <cellStyle name="20% - Accent5 2 3 5 2" xfId="4952" xr:uid="{23105C70-EB81-4505-9AF5-4EF5DF61862D}"/>
    <cellStyle name="20% - Accent5 2 3 5 2 2" xfId="9170" xr:uid="{6BAC877F-6850-4A4E-8905-D2E01BAB4C0C}"/>
    <cellStyle name="20% - Accent5 2 3 5 3" xfId="7025" xr:uid="{C0C332B4-FEBD-48FB-A04D-BA60B2DCE07C}"/>
    <cellStyle name="20% - Accent5 2 3 6" xfId="3136" xr:uid="{D3A37CC6-427C-413B-945F-8653B5BCBD0C}"/>
    <cellStyle name="20% - Accent5 2 3 6 2" xfId="7438" xr:uid="{2790A472-7EBA-4027-B9E7-0504284C6BB0}"/>
    <cellStyle name="20% - Accent5 2 3 7" xfId="5372" xr:uid="{48162A2E-D612-4246-A9F3-1E3690FA0912}"/>
    <cellStyle name="20% - Accent5 2 3 8" xfId="1068" xr:uid="{3795C704-ED56-4C33-A4E7-30D0608A1498}"/>
    <cellStyle name="20% - Accent5 2 4" xfId="611" xr:uid="{00000000-0005-0000-0000-000048000000}"/>
    <cellStyle name="20% - Accent5 2 4 2" xfId="3710" xr:uid="{060A4B0C-5457-4C09-B5ED-C467DF894CAA}"/>
    <cellStyle name="20% - Accent5 2 4 2 2" xfId="7928" xr:uid="{D20851E9-576F-4A08-9CD7-5A5F3036DE93}"/>
    <cellStyle name="20% - Accent5 2 4 3" xfId="5783" xr:uid="{4FF65F1F-AD14-44A8-8931-9A7E6BE26A62}"/>
    <cellStyle name="20% - Accent5 2 4 4" xfId="1479" xr:uid="{303E18C2-DA8C-45AD-A6DD-6AA7244511DA}"/>
    <cellStyle name="20% - Accent5 2 5" xfId="1894" xr:uid="{847A8B36-ADE8-40DF-800A-E49E48A629BF}"/>
    <cellStyle name="20% - Accent5 2 5 2" xfId="4123" xr:uid="{212FE14E-7959-48E1-8EC3-4DFB282507A3}"/>
    <cellStyle name="20% - Accent5 2 5 2 2" xfId="8341" xr:uid="{041F3497-F5D2-415C-A7A6-D18223F86738}"/>
    <cellStyle name="20% - Accent5 2 5 3" xfId="6196" xr:uid="{64C0B7D5-16C0-472A-A2FC-3FA97DF0AE12}"/>
    <cellStyle name="20% - Accent5 2 6" xfId="2307" xr:uid="{C4EACA80-EBB6-4401-A2D7-7419B70E4E5B}"/>
    <cellStyle name="20% - Accent5 2 6 2" xfId="4536" xr:uid="{6771A11C-95CB-4619-9DED-A8D79540ED46}"/>
    <cellStyle name="20% - Accent5 2 6 2 2" xfId="8754" xr:uid="{2569A04F-34AF-4BB1-A7F4-22C8E4986FB1}"/>
    <cellStyle name="20% - Accent5 2 6 3" xfId="6609" xr:uid="{BBF981DF-C1AD-49E0-8B31-EC2667750B85}"/>
    <cellStyle name="20% - Accent5 2 7" xfId="2720" xr:uid="{DAE7B750-3BEE-4575-BC3D-62D3C108F4BC}"/>
    <cellStyle name="20% - Accent5 2 7 2" xfId="4949" xr:uid="{565C65C0-3F5B-405A-A23F-45BF274BB9E0}"/>
    <cellStyle name="20% - Accent5 2 7 2 2" xfId="9167" xr:uid="{7DD6112F-3DEF-49BC-9C7A-382F8BB33B0C}"/>
    <cellStyle name="20% - Accent5 2 7 3" xfId="7022" xr:uid="{60CC4EEB-1298-4838-8522-FC5F576FDB1A}"/>
    <cellStyle name="20% - Accent5 2 8" xfId="3133" xr:uid="{EBDA11AF-8B4A-4116-ACA2-7B706BFEF0E8}"/>
    <cellStyle name="20% - Accent5 2 8 2" xfId="7435" xr:uid="{7B4180EE-02F8-4ADA-A7F5-85828C04BCC0}"/>
    <cellStyle name="20% - Accent5 2 9" xfId="5369" xr:uid="{0840BA1C-4FCC-4AEB-ACEF-E1C56171CEC4}"/>
    <cellStyle name="20% - Accent5 3" xfId="38" xr:uid="{00000000-0005-0000-0000-000049000000}"/>
    <cellStyle name="20% - Accent5 3 2" xfId="39" xr:uid="{00000000-0005-0000-0000-00004A000000}"/>
    <cellStyle name="20% - Accent5 3 2 2" xfId="616" xr:uid="{00000000-0005-0000-0000-00004B000000}"/>
    <cellStyle name="20% - Accent5 3 2 2 2" xfId="3715" xr:uid="{6943DA5E-3DA7-482B-A069-9119CEA38B84}"/>
    <cellStyle name="20% - Accent5 3 2 2 2 2" xfId="7933" xr:uid="{E0A92E40-7CD7-49A8-843A-87A0EDA4CF5E}"/>
    <cellStyle name="20% - Accent5 3 2 2 3" xfId="5788" xr:uid="{D760B011-8AC8-4DC6-823F-E950C9474CAB}"/>
    <cellStyle name="20% - Accent5 3 2 2 4" xfId="1484" xr:uid="{F9650210-8241-4CAC-97E8-E6AA0FEE2326}"/>
    <cellStyle name="20% - Accent5 3 2 3" xfId="1899" xr:uid="{15A8EB74-A83A-4073-81B1-A4B5B7501B14}"/>
    <cellStyle name="20% - Accent5 3 2 3 2" xfId="4128" xr:uid="{B8526328-CFD2-495A-93A5-A4393AFC3CDC}"/>
    <cellStyle name="20% - Accent5 3 2 3 2 2" xfId="8346" xr:uid="{7FD3F4EF-CC2A-4A7B-AE94-43B5E94909B4}"/>
    <cellStyle name="20% - Accent5 3 2 3 3" xfId="6201" xr:uid="{AA3BE5B3-54C6-41DA-852C-CD84F2CD1999}"/>
    <cellStyle name="20% - Accent5 3 2 4" xfId="2312" xr:uid="{2A62E05B-24F7-444A-8DA2-1E5A97ED680E}"/>
    <cellStyle name="20% - Accent5 3 2 4 2" xfId="4541" xr:uid="{12F11D5C-C989-4E44-8B76-324FF86BE0F6}"/>
    <cellStyle name="20% - Accent5 3 2 4 2 2" xfId="8759" xr:uid="{E31D79B3-FB67-4A2F-94A3-3D8ABA62BD5A}"/>
    <cellStyle name="20% - Accent5 3 2 4 3" xfId="6614" xr:uid="{3A656F36-E349-448C-8356-B61625B360D6}"/>
    <cellStyle name="20% - Accent5 3 2 5" xfId="2725" xr:uid="{EF658871-785C-4CC6-96D1-2C7B88405B3C}"/>
    <cellStyle name="20% - Accent5 3 2 5 2" xfId="4954" xr:uid="{2EE5B656-FD45-4A4B-B978-994B26DD3037}"/>
    <cellStyle name="20% - Accent5 3 2 5 2 2" xfId="9172" xr:uid="{BF38A22C-F50F-44F6-BA62-9AD0A1CADC71}"/>
    <cellStyle name="20% - Accent5 3 2 5 3" xfId="7027" xr:uid="{858CA73D-80EB-423F-B8AE-A98FE6801F4A}"/>
    <cellStyle name="20% - Accent5 3 2 6" xfId="3138" xr:uid="{581D7F59-A28F-46F0-9AEA-9883C9A7C7F8}"/>
    <cellStyle name="20% - Accent5 3 2 6 2" xfId="7440" xr:uid="{B9739B5A-7BC4-407A-93E2-F7D10E8BF7A8}"/>
    <cellStyle name="20% - Accent5 3 2 7" xfId="5374" xr:uid="{537F39B3-5513-4771-8D48-EC7783BC5F41}"/>
    <cellStyle name="20% - Accent5 3 2 8" xfId="1070" xr:uid="{054700CA-9447-4FC8-94A3-32D6E22B1064}"/>
    <cellStyle name="20% - Accent5 3 3" xfId="615" xr:uid="{00000000-0005-0000-0000-00004C000000}"/>
    <cellStyle name="20% - Accent5 3 3 2" xfId="3714" xr:uid="{5C38B1D2-35EB-460D-B6BD-DD2ED01AB34D}"/>
    <cellStyle name="20% - Accent5 3 3 2 2" xfId="7932" xr:uid="{E491FC83-ADAB-4874-9AC0-D27251FB2205}"/>
    <cellStyle name="20% - Accent5 3 3 3" xfId="5787" xr:uid="{7E34D32F-133C-454D-B2FE-BF9DC90983F3}"/>
    <cellStyle name="20% - Accent5 3 3 4" xfId="1483" xr:uid="{7AB740C7-550C-48C3-AB4E-BFC79076CE36}"/>
    <cellStyle name="20% - Accent5 3 4" xfId="1898" xr:uid="{07590728-F39B-4577-B6A5-4EA79C7742CE}"/>
    <cellStyle name="20% - Accent5 3 4 2" xfId="4127" xr:uid="{4043F226-D3F5-4282-B7DF-FB3D8CC95C5B}"/>
    <cellStyle name="20% - Accent5 3 4 2 2" xfId="8345" xr:uid="{7D692E3F-80F8-4C00-83DC-D804162EC283}"/>
    <cellStyle name="20% - Accent5 3 4 3" xfId="6200" xr:uid="{C45B5EFE-8B49-4EBF-A3F3-7ECA8574C308}"/>
    <cellStyle name="20% - Accent5 3 5" xfId="2311" xr:uid="{5517E81B-9D76-4C34-BB01-2D28D8D0FF58}"/>
    <cellStyle name="20% - Accent5 3 5 2" xfId="4540" xr:uid="{6D7ADDDF-2047-4B8E-98B7-F5D182FB8974}"/>
    <cellStyle name="20% - Accent5 3 5 2 2" xfId="8758" xr:uid="{D3997012-D1C0-4E43-B5AF-8B32BF224C83}"/>
    <cellStyle name="20% - Accent5 3 5 3" xfId="6613" xr:uid="{F649F0F8-4350-436E-98ED-B7AFC57F686B}"/>
    <cellStyle name="20% - Accent5 3 6" xfId="2724" xr:uid="{525A56FF-83A0-4B48-9D31-9A5C728B550B}"/>
    <cellStyle name="20% - Accent5 3 6 2" xfId="4953" xr:uid="{BDC578C3-7303-4808-979A-A6F4907F5C07}"/>
    <cellStyle name="20% - Accent5 3 6 2 2" xfId="9171" xr:uid="{9B6DD4B2-BB49-450E-ACB4-8D2EDE5951BE}"/>
    <cellStyle name="20% - Accent5 3 6 3" xfId="7026" xr:uid="{C64A8209-9A07-46D5-A977-30FDA10D4BE6}"/>
    <cellStyle name="20% - Accent5 3 7" xfId="3137" xr:uid="{A9C00C77-656F-4D55-9A28-F7B679A7606F}"/>
    <cellStyle name="20% - Accent5 3 7 2" xfId="7439" xr:uid="{4F3817C1-ABBD-49B0-AB58-43459D7C73D4}"/>
    <cellStyle name="20% - Accent5 3 8" xfId="5373" xr:uid="{01858DFF-F561-4F31-A512-8AC104E1A810}"/>
    <cellStyle name="20% - Accent5 3 9" xfId="1069" xr:uid="{999E86AB-FC28-4FB3-A2CA-8B64CFCA0319}"/>
    <cellStyle name="20% - Accent5 4" xfId="40" xr:uid="{00000000-0005-0000-0000-00004D000000}"/>
    <cellStyle name="20% - Accent5 4 2" xfId="617" xr:uid="{00000000-0005-0000-0000-00004E000000}"/>
    <cellStyle name="20% - Accent5 4 2 2" xfId="3716" xr:uid="{D8FF3EBA-3125-4CD1-8CC5-55CF2C3CD53E}"/>
    <cellStyle name="20% - Accent5 4 2 2 2" xfId="7934" xr:uid="{AB49C6B2-8827-436E-B540-666089562608}"/>
    <cellStyle name="20% - Accent5 4 2 3" xfId="5789" xr:uid="{E7BB991A-A37B-4CF4-880B-F43A597FA4C6}"/>
    <cellStyle name="20% - Accent5 4 2 4" xfId="1485" xr:uid="{9B74921B-182F-4EFA-9C40-2E3292F989F5}"/>
    <cellStyle name="20% - Accent5 4 3" xfId="1900" xr:uid="{E47F6811-E888-4F9E-9551-538B5DB7FBE5}"/>
    <cellStyle name="20% - Accent5 4 3 2" xfId="4129" xr:uid="{2B584CE1-236E-4F9A-8849-52C1F7FFFD7E}"/>
    <cellStyle name="20% - Accent5 4 3 2 2" xfId="8347" xr:uid="{1A1B5560-B88F-432B-B58C-B08A1A78A321}"/>
    <cellStyle name="20% - Accent5 4 3 3" xfId="6202" xr:uid="{BADDF439-9683-466C-842D-37F2EC06F1D9}"/>
    <cellStyle name="20% - Accent5 4 4" xfId="2313" xr:uid="{0B80246C-D5FD-434E-ABCD-2CC1F05C1063}"/>
    <cellStyle name="20% - Accent5 4 4 2" xfId="4542" xr:uid="{A093A330-5A83-41F1-A430-30D0A812094D}"/>
    <cellStyle name="20% - Accent5 4 4 2 2" xfId="8760" xr:uid="{F0DB8955-4BBA-4FF5-B09C-248B76FE9079}"/>
    <cellStyle name="20% - Accent5 4 4 3" xfId="6615" xr:uid="{67120ADC-24FB-4B27-8EAB-76CB31FB80D6}"/>
    <cellStyle name="20% - Accent5 4 5" xfId="2726" xr:uid="{A73BF9CE-E5F1-4A59-A168-14267F41C6B9}"/>
    <cellStyle name="20% - Accent5 4 5 2" xfId="4955" xr:uid="{DB545DA7-57CC-4AFE-81E6-9BC7D89E848E}"/>
    <cellStyle name="20% - Accent5 4 5 2 2" xfId="9173" xr:uid="{4BE01300-AB65-4948-B275-B5E2A17AEB86}"/>
    <cellStyle name="20% - Accent5 4 5 3" xfId="7028" xr:uid="{103122A7-087E-4114-812C-62F32CF73B1E}"/>
    <cellStyle name="20% - Accent5 4 6" xfId="3139" xr:uid="{CD05888D-A364-474F-B0B0-69747CE371C5}"/>
    <cellStyle name="20% - Accent5 4 6 2" xfId="7441" xr:uid="{D9058A2C-40A5-4F6D-A5B7-9EC49419C125}"/>
    <cellStyle name="20% - Accent5 4 7" xfId="5375" xr:uid="{96CF8C17-B3F8-4D60-976B-9BAE457064DA}"/>
    <cellStyle name="20% - Accent5 4 8" xfId="1071" xr:uid="{A01D44E3-7413-46F8-B21F-2E0D7BF45E11}"/>
    <cellStyle name="20% - Accent5 5" xfId="610" xr:uid="{00000000-0005-0000-0000-00004F000000}"/>
    <cellStyle name="20% - Accent5 5 2" xfId="3709" xr:uid="{4A35A2DD-3EC4-4005-A11B-F04FA428ED90}"/>
    <cellStyle name="20% - Accent5 5 2 2" xfId="7927" xr:uid="{07A721D5-77A6-4C08-B6CE-C83CFDC029F3}"/>
    <cellStyle name="20% - Accent5 5 3" xfId="5782" xr:uid="{CCA56881-56FE-418E-A9A8-D6F1C439D858}"/>
    <cellStyle name="20% - Accent5 5 4" xfId="1478" xr:uid="{FA373CE8-43E4-4849-969C-87FBE774E646}"/>
    <cellStyle name="20% - Accent5 6" xfId="1893" xr:uid="{847B10B7-A558-440C-B179-D2A46E843BE5}"/>
    <cellStyle name="20% - Accent5 6 2" xfId="4122" xr:uid="{052D39F0-037C-4BF7-A183-7F8648715E92}"/>
    <cellStyle name="20% - Accent5 6 2 2" xfId="8340" xr:uid="{7D8E7C42-38C9-42F7-806F-FBFC820C892D}"/>
    <cellStyle name="20% - Accent5 6 3" xfId="6195" xr:uid="{CA38F7E0-F2F4-4371-924F-1D6FB7241A10}"/>
    <cellStyle name="20% - Accent5 7" xfId="2306" xr:uid="{650473FD-E310-4761-9C6A-C612F9F034B4}"/>
    <cellStyle name="20% - Accent5 7 2" xfId="4535" xr:uid="{172B9CD6-80C4-4A5C-9781-1A33C2915BF0}"/>
    <cellStyle name="20% - Accent5 7 2 2" xfId="8753" xr:uid="{B764A7DB-933F-4913-AEE7-133269ACB0B7}"/>
    <cellStyle name="20% - Accent5 7 3" xfId="6608" xr:uid="{7B318308-BCDB-43E6-B8FA-F027AFB134A5}"/>
    <cellStyle name="20% - Accent5 8" xfId="2719" xr:uid="{9412D978-6C9E-42DD-8F62-2894FE1624F6}"/>
    <cellStyle name="20% - Accent5 8 2" xfId="4948" xr:uid="{7EA5D975-FFD0-4548-9D02-413201D7F7F4}"/>
    <cellStyle name="20% - Accent5 8 2 2" xfId="9166" xr:uid="{38FE7165-638D-4547-88FC-B4AE3A7843E0}"/>
    <cellStyle name="20% - Accent5 8 3" xfId="7021" xr:uid="{1383563D-4678-474D-BDE6-041163E1C5EA}"/>
    <cellStyle name="20% - Accent5 9" xfId="3132" xr:uid="{4D4B3F08-DA9D-4D4A-B09B-BD5874D56B8F}"/>
    <cellStyle name="20% - Accent5 9 2" xfId="7434" xr:uid="{77CE6E84-3423-4E90-AE19-62D8D25691A0}"/>
    <cellStyle name="20% - Accent6" xfId="41" builtinId="50" customBuiltin="1"/>
    <cellStyle name="20% - Accent6 10" xfId="5376" xr:uid="{5B8ACFCD-1CA2-4F95-A821-E3A06CD5A516}"/>
    <cellStyle name="20% - Accent6 11" xfId="1072" xr:uid="{1697F99A-12B6-4309-B2DA-B9C4CB55E7B0}"/>
    <cellStyle name="20% - Accent6 2" xfId="42" xr:uid="{00000000-0005-0000-0000-000051000000}"/>
    <cellStyle name="20% - Accent6 2 10" xfId="1073" xr:uid="{36CFCEC0-E9F3-4F6F-9DB0-A534E263CA25}"/>
    <cellStyle name="20% - Accent6 2 2" xfId="43" xr:uid="{00000000-0005-0000-0000-000052000000}"/>
    <cellStyle name="20% - Accent6 2 2 2" xfId="44" xr:uid="{00000000-0005-0000-0000-000053000000}"/>
    <cellStyle name="20% - Accent6 2 2 2 2" xfId="621" xr:uid="{00000000-0005-0000-0000-000054000000}"/>
    <cellStyle name="20% - Accent6 2 2 2 2 2" xfId="3720" xr:uid="{9A27FA74-1A72-4E86-9E1C-138CF79A3881}"/>
    <cellStyle name="20% - Accent6 2 2 2 2 2 2" xfId="7938" xr:uid="{B422D265-0614-41E1-8526-C0077A955A27}"/>
    <cellStyle name="20% - Accent6 2 2 2 2 3" xfId="5793" xr:uid="{69FA7B8B-FA4C-47C8-80C9-C852068506BE}"/>
    <cellStyle name="20% - Accent6 2 2 2 2 4" xfId="1489" xr:uid="{6A720410-ADD2-440A-9CB5-CA1DF65EAC9D}"/>
    <cellStyle name="20% - Accent6 2 2 2 3" xfId="1904" xr:uid="{CA7DB447-A6AD-4DD1-91C5-4AF2FC2FED96}"/>
    <cellStyle name="20% - Accent6 2 2 2 3 2" xfId="4133" xr:uid="{A64B5D1E-4002-4C1D-9012-DB37542600B3}"/>
    <cellStyle name="20% - Accent6 2 2 2 3 2 2" xfId="8351" xr:uid="{F4D3142A-2F26-4349-923C-F3A2AEEAD064}"/>
    <cellStyle name="20% - Accent6 2 2 2 3 3" xfId="6206" xr:uid="{B144FE36-A6E0-4D42-A0CB-F2CF7341188D}"/>
    <cellStyle name="20% - Accent6 2 2 2 4" xfId="2317" xr:uid="{97A394BD-6681-4D01-9CD3-CAEB4CC0F165}"/>
    <cellStyle name="20% - Accent6 2 2 2 4 2" xfId="4546" xr:uid="{074E5296-2AE0-4ABE-B901-D86E94DDA499}"/>
    <cellStyle name="20% - Accent6 2 2 2 4 2 2" xfId="8764" xr:uid="{AF365F9B-90C1-4B8B-B262-8ACB787EB704}"/>
    <cellStyle name="20% - Accent6 2 2 2 4 3" xfId="6619" xr:uid="{423BC20D-0F82-46A7-91AA-9A0C02D66B14}"/>
    <cellStyle name="20% - Accent6 2 2 2 5" xfId="2730" xr:uid="{BC56FA91-B28C-45C3-9C2D-263DA26F8DF6}"/>
    <cellStyle name="20% - Accent6 2 2 2 5 2" xfId="4959" xr:uid="{F8664B00-E7D8-4F0E-AC75-E39DCAFFDB30}"/>
    <cellStyle name="20% - Accent6 2 2 2 5 2 2" xfId="9177" xr:uid="{D50E4AD2-625C-4C14-A81D-F00B04660A1C}"/>
    <cellStyle name="20% - Accent6 2 2 2 5 3" xfId="7032" xr:uid="{2CE0F21D-EF5A-41E3-9532-7E539D14961B}"/>
    <cellStyle name="20% - Accent6 2 2 2 6" xfId="3143" xr:uid="{844C30F8-E342-4F49-AC41-39544A1D6596}"/>
    <cellStyle name="20% - Accent6 2 2 2 6 2" xfId="7445" xr:uid="{B3B0F499-2C63-41DC-B27D-A56F7E904D4F}"/>
    <cellStyle name="20% - Accent6 2 2 2 7" xfId="5379" xr:uid="{C751F51F-41AC-430F-8EEB-25B2981B4F3B}"/>
    <cellStyle name="20% - Accent6 2 2 2 8" xfId="1075" xr:uid="{8FB5067A-C471-419A-A619-757FE56E4F0E}"/>
    <cellStyle name="20% - Accent6 2 2 3" xfId="620" xr:uid="{00000000-0005-0000-0000-000055000000}"/>
    <cellStyle name="20% - Accent6 2 2 3 2" xfId="3719" xr:uid="{2663C1E3-9971-4323-A7B6-7EABEF9E8FD1}"/>
    <cellStyle name="20% - Accent6 2 2 3 2 2" xfId="7937" xr:uid="{C347CAFB-1E0D-46FB-9519-7B903B82D952}"/>
    <cellStyle name="20% - Accent6 2 2 3 3" xfId="5792" xr:uid="{6D563838-E0C5-4FD2-998F-F6AD7CC05F3C}"/>
    <cellStyle name="20% - Accent6 2 2 3 4" xfId="1488" xr:uid="{055CC01A-7D7B-47B1-9819-FE542754C7BE}"/>
    <cellStyle name="20% - Accent6 2 2 4" xfId="1903" xr:uid="{260C3D6E-2C2D-433A-9E21-5CBC3A727AB8}"/>
    <cellStyle name="20% - Accent6 2 2 4 2" xfId="4132" xr:uid="{9FA3B5CA-181B-4854-B132-92BC2404478C}"/>
    <cellStyle name="20% - Accent6 2 2 4 2 2" xfId="8350" xr:uid="{CD8FD456-68AD-4823-9182-0ADA4A5A3B72}"/>
    <cellStyle name="20% - Accent6 2 2 4 3" xfId="6205" xr:uid="{2E0DF490-2FD3-49F4-8189-3817D341A8B9}"/>
    <cellStyle name="20% - Accent6 2 2 5" xfId="2316" xr:uid="{8EB7368B-8996-48D7-B2E6-F3247AECCE54}"/>
    <cellStyle name="20% - Accent6 2 2 5 2" xfId="4545" xr:uid="{6C4C34C7-4E1A-4051-99EA-3B33FF476C4E}"/>
    <cellStyle name="20% - Accent6 2 2 5 2 2" xfId="8763" xr:uid="{48EF4FE4-FD8F-4971-B8F1-E88EC91C9F63}"/>
    <cellStyle name="20% - Accent6 2 2 5 3" xfId="6618" xr:uid="{C0BDAEE8-5FB5-42A3-BB69-BA9CAACE0E79}"/>
    <cellStyle name="20% - Accent6 2 2 6" xfId="2729" xr:uid="{CB4A53C8-15FA-41E4-94D9-5D69E8EC97A1}"/>
    <cellStyle name="20% - Accent6 2 2 6 2" xfId="4958" xr:uid="{9F318FDC-8AA4-4B7F-ADA9-F26CB582A869}"/>
    <cellStyle name="20% - Accent6 2 2 6 2 2" xfId="9176" xr:uid="{FA35A713-9909-456C-9B40-1F50FBC7D0B8}"/>
    <cellStyle name="20% - Accent6 2 2 6 3" xfId="7031" xr:uid="{35927028-BF5B-4631-803C-F754D246E64B}"/>
    <cellStyle name="20% - Accent6 2 2 7" xfId="3142" xr:uid="{A712B63C-52DE-4E99-B0B7-7C901EDDBDF7}"/>
    <cellStyle name="20% - Accent6 2 2 7 2" xfId="7444" xr:uid="{6505C373-1FB7-443D-862D-AF1C26F3C5D4}"/>
    <cellStyle name="20% - Accent6 2 2 8" xfId="5378" xr:uid="{AA306989-416C-4A46-AE47-D21A185A675B}"/>
    <cellStyle name="20% - Accent6 2 2 9" xfId="1074" xr:uid="{88B312C6-D43E-4B48-B717-1112EEA73B51}"/>
    <cellStyle name="20% - Accent6 2 3" xfId="45" xr:uid="{00000000-0005-0000-0000-000056000000}"/>
    <cellStyle name="20% - Accent6 2 3 2" xfId="622" xr:uid="{00000000-0005-0000-0000-000057000000}"/>
    <cellStyle name="20% - Accent6 2 3 2 2" xfId="3721" xr:uid="{77B67B36-1535-443B-9C1A-7B1A334F9A18}"/>
    <cellStyle name="20% - Accent6 2 3 2 2 2" xfId="7939" xr:uid="{4C350BE7-4C9D-4224-862D-D8B942E84FC7}"/>
    <cellStyle name="20% - Accent6 2 3 2 3" xfId="5794" xr:uid="{AE51A934-6ADA-42B4-8731-B3390CA560AF}"/>
    <cellStyle name="20% - Accent6 2 3 2 4" xfId="1490" xr:uid="{B223A388-DD5E-4A16-AB2C-2BFC9232E539}"/>
    <cellStyle name="20% - Accent6 2 3 3" xfId="1905" xr:uid="{AEED61DB-5293-4D08-982C-F38BAEC39584}"/>
    <cellStyle name="20% - Accent6 2 3 3 2" xfId="4134" xr:uid="{980028F7-FFD2-4426-BB16-C57524BCE9D6}"/>
    <cellStyle name="20% - Accent6 2 3 3 2 2" xfId="8352" xr:uid="{BA8BBD67-5F32-49E7-80CE-64E0755FFC6A}"/>
    <cellStyle name="20% - Accent6 2 3 3 3" xfId="6207" xr:uid="{FD91952F-6AB0-4C9F-9CE2-2AA43A8E90F8}"/>
    <cellStyle name="20% - Accent6 2 3 4" xfId="2318" xr:uid="{6628B017-7073-41D0-AEC7-AEE396A51D8D}"/>
    <cellStyle name="20% - Accent6 2 3 4 2" xfId="4547" xr:uid="{90C2D4C5-0C03-4AE8-B8F1-44AE3CDF5AF1}"/>
    <cellStyle name="20% - Accent6 2 3 4 2 2" xfId="8765" xr:uid="{92E498C8-C13B-4E8F-B29F-E9ACE1B8F825}"/>
    <cellStyle name="20% - Accent6 2 3 4 3" xfId="6620" xr:uid="{E07E573B-9B77-484D-A84E-F55EC9B220D0}"/>
    <cellStyle name="20% - Accent6 2 3 5" xfId="2731" xr:uid="{D74FB85B-981F-46B5-AF6B-FC991151BF68}"/>
    <cellStyle name="20% - Accent6 2 3 5 2" xfId="4960" xr:uid="{E1D99650-BBB8-41FB-A752-8D1D985E8524}"/>
    <cellStyle name="20% - Accent6 2 3 5 2 2" xfId="9178" xr:uid="{A98B7AAA-9916-45C0-836B-8B2D73D9A069}"/>
    <cellStyle name="20% - Accent6 2 3 5 3" xfId="7033" xr:uid="{44EA727E-A61F-4F58-92B4-640988B21D44}"/>
    <cellStyle name="20% - Accent6 2 3 6" xfId="3144" xr:uid="{5D9A2BD5-4F24-47F3-AE74-59E60124E906}"/>
    <cellStyle name="20% - Accent6 2 3 6 2" xfId="7446" xr:uid="{4FC38260-D048-4024-BE90-FC2518A54A5F}"/>
    <cellStyle name="20% - Accent6 2 3 7" xfId="5380" xr:uid="{4730DD6B-D72B-4A43-9576-B86D3B207C3F}"/>
    <cellStyle name="20% - Accent6 2 3 8" xfId="1076" xr:uid="{B35EE13B-9EFE-4199-9237-A0DF1F1F2844}"/>
    <cellStyle name="20% - Accent6 2 4" xfId="619" xr:uid="{00000000-0005-0000-0000-000058000000}"/>
    <cellStyle name="20% - Accent6 2 4 2" xfId="3718" xr:uid="{21683F17-DFFA-4A25-93DC-0156B28C2818}"/>
    <cellStyle name="20% - Accent6 2 4 2 2" xfId="7936" xr:uid="{6695A941-C227-4D43-A5A6-93A3DD1D2A91}"/>
    <cellStyle name="20% - Accent6 2 4 3" xfId="5791" xr:uid="{20FF7F71-4301-472F-966F-1B39B46419C9}"/>
    <cellStyle name="20% - Accent6 2 4 4" xfId="1487" xr:uid="{2E24AD7C-FD70-4FE3-9A5F-342065015890}"/>
    <cellStyle name="20% - Accent6 2 5" xfId="1902" xr:uid="{C6E09091-5B46-449D-A523-4D218E8A6B81}"/>
    <cellStyle name="20% - Accent6 2 5 2" xfId="4131" xr:uid="{5B590C52-B6C5-4B08-9424-8F649988F041}"/>
    <cellStyle name="20% - Accent6 2 5 2 2" xfId="8349" xr:uid="{1CD60880-7347-412E-B29D-51866C7ED091}"/>
    <cellStyle name="20% - Accent6 2 5 3" xfId="6204" xr:uid="{55069646-6661-4500-A714-EF453196826E}"/>
    <cellStyle name="20% - Accent6 2 6" xfId="2315" xr:uid="{6D7F95B1-4EAE-40D4-9856-44637EE998B7}"/>
    <cellStyle name="20% - Accent6 2 6 2" xfId="4544" xr:uid="{BA0C28C8-8F34-403B-B2B5-A7AFE8CC30AF}"/>
    <cellStyle name="20% - Accent6 2 6 2 2" xfId="8762" xr:uid="{3EA6DBA7-C4DD-4F13-A158-35170527DD0E}"/>
    <cellStyle name="20% - Accent6 2 6 3" xfId="6617" xr:uid="{8771A088-1142-4B12-973F-C4C98BC048CF}"/>
    <cellStyle name="20% - Accent6 2 7" xfId="2728" xr:uid="{AEE5ED2C-A1D8-4AB1-813E-EE2F581DB0EC}"/>
    <cellStyle name="20% - Accent6 2 7 2" xfId="4957" xr:uid="{E663A860-D3A9-419D-8297-A82509F4786C}"/>
    <cellStyle name="20% - Accent6 2 7 2 2" xfId="9175" xr:uid="{748CD36D-A9E9-4493-BE17-5F777620411D}"/>
    <cellStyle name="20% - Accent6 2 7 3" xfId="7030" xr:uid="{80823BE2-322B-4ABF-A5E6-5FA285329EC9}"/>
    <cellStyle name="20% - Accent6 2 8" xfId="3141" xr:uid="{3D68825E-5CEE-449E-9D51-585051F49AD9}"/>
    <cellStyle name="20% - Accent6 2 8 2" xfId="7443" xr:uid="{3F7AC3AA-9FB2-429D-91F6-D64B0F85A4E2}"/>
    <cellStyle name="20% - Accent6 2 9" xfId="5377" xr:uid="{8D4C45BC-DEDE-47A4-9DE6-78BC56B3BC4C}"/>
    <cellStyle name="20% - Accent6 3" xfId="46" xr:uid="{00000000-0005-0000-0000-000059000000}"/>
    <cellStyle name="20% - Accent6 3 2" xfId="47" xr:uid="{00000000-0005-0000-0000-00005A000000}"/>
    <cellStyle name="20% - Accent6 3 2 2" xfId="624" xr:uid="{00000000-0005-0000-0000-00005B000000}"/>
    <cellStyle name="20% - Accent6 3 2 2 2" xfId="3723" xr:uid="{912E1D51-C430-49A1-A442-6BCBA3418431}"/>
    <cellStyle name="20% - Accent6 3 2 2 2 2" xfId="7941" xr:uid="{9097E0C7-019E-4129-AB30-55B08D33DB81}"/>
    <cellStyle name="20% - Accent6 3 2 2 3" xfId="5796" xr:uid="{E66B21B8-279F-4144-A9EB-C07D8B520ABF}"/>
    <cellStyle name="20% - Accent6 3 2 2 4" xfId="1492" xr:uid="{072EB8B4-EF26-4DE0-BDB7-FE1B968088FC}"/>
    <cellStyle name="20% - Accent6 3 2 3" xfId="1907" xr:uid="{6F3FB142-301E-44E1-9484-D57896E26BA9}"/>
    <cellStyle name="20% - Accent6 3 2 3 2" xfId="4136" xr:uid="{EED5BD57-67C4-480A-830B-2EA493425A81}"/>
    <cellStyle name="20% - Accent6 3 2 3 2 2" xfId="8354" xr:uid="{CB06E9E3-F146-47D4-9C0C-7C67436A584A}"/>
    <cellStyle name="20% - Accent6 3 2 3 3" xfId="6209" xr:uid="{007EFD3E-1B13-41B6-B81A-0A239D3851FA}"/>
    <cellStyle name="20% - Accent6 3 2 4" xfId="2320" xr:uid="{967239DF-21AF-4D25-80E6-126C55E7EB4D}"/>
    <cellStyle name="20% - Accent6 3 2 4 2" xfId="4549" xr:uid="{F6E07F56-0DBE-4F20-9DE3-0E1C680FBF69}"/>
    <cellStyle name="20% - Accent6 3 2 4 2 2" xfId="8767" xr:uid="{4328FB1F-BD34-4E07-ACC2-24AE6116E2F3}"/>
    <cellStyle name="20% - Accent6 3 2 4 3" xfId="6622" xr:uid="{88321E00-D160-4DFF-9B70-83166FCAA27A}"/>
    <cellStyle name="20% - Accent6 3 2 5" xfId="2733" xr:uid="{BD08DB9F-3F53-47B7-A6F4-152936180D89}"/>
    <cellStyle name="20% - Accent6 3 2 5 2" xfId="4962" xr:uid="{A2A30746-853C-4794-BC53-0322237B0A8F}"/>
    <cellStyle name="20% - Accent6 3 2 5 2 2" xfId="9180" xr:uid="{66A86A2D-4789-4EA1-B076-D3021E5D0CCA}"/>
    <cellStyle name="20% - Accent6 3 2 5 3" xfId="7035" xr:uid="{441800FA-7C17-48A5-882D-57F8FA211C33}"/>
    <cellStyle name="20% - Accent6 3 2 6" xfId="3146" xr:uid="{682E7189-D547-436D-8772-A5A341FAE139}"/>
    <cellStyle name="20% - Accent6 3 2 6 2" xfId="7448" xr:uid="{7227E54C-7C04-4346-992B-854716243471}"/>
    <cellStyle name="20% - Accent6 3 2 7" xfId="5382" xr:uid="{A6407F73-76EA-44F0-9ED8-112695663F03}"/>
    <cellStyle name="20% - Accent6 3 2 8" xfId="1078" xr:uid="{84BBE74B-B0D6-4890-92A5-2F62E04135CA}"/>
    <cellStyle name="20% - Accent6 3 3" xfId="623" xr:uid="{00000000-0005-0000-0000-00005C000000}"/>
    <cellStyle name="20% - Accent6 3 3 2" xfId="3722" xr:uid="{FD1EB4F6-5F65-4F40-BC4A-AF7B08E7DA7C}"/>
    <cellStyle name="20% - Accent6 3 3 2 2" xfId="7940" xr:uid="{48477459-02E2-488B-93CE-292E18C6992A}"/>
    <cellStyle name="20% - Accent6 3 3 3" xfId="5795" xr:uid="{E33E459A-9E31-4004-BA57-FDE3447287AC}"/>
    <cellStyle name="20% - Accent6 3 3 4" xfId="1491" xr:uid="{0BCA9FE5-0538-47BC-A58D-BB588B6CD3E5}"/>
    <cellStyle name="20% - Accent6 3 4" xfId="1906" xr:uid="{585701F5-C267-43D9-B49F-10545AEA8BEF}"/>
    <cellStyle name="20% - Accent6 3 4 2" xfId="4135" xr:uid="{C3D45DCA-EF09-4A10-9347-484BAC830CC9}"/>
    <cellStyle name="20% - Accent6 3 4 2 2" xfId="8353" xr:uid="{AC80AC5F-021A-4AAC-9C8D-B77E54F15E61}"/>
    <cellStyle name="20% - Accent6 3 4 3" xfId="6208" xr:uid="{D8BD1058-C304-44DD-94C5-138CEB0D2100}"/>
    <cellStyle name="20% - Accent6 3 5" xfId="2319" xr:uid="{A55D8768-217D-4CD1-8E32-2847ED8DB9C2}"/>
    <cellStyle name="20% - Accent6 3 5 2" xfId="4548" xr:uid="{5D7DD632-AE63-4DB2-AC2D-A305D671AD3B}"/>
    <cellStyle name="20% - Accent6 3 5 2 2" xfId="8766" xr:uid="{F9506B74-9F03-46C6-B7C6-F7758AF02C71}"/>
    <cellStyle name="20% - Accent6 3 5 3" xfId="6621" xr:uid="{0607CFB5-F62D-433A-9014-8E7BC3BAC8DA}"/>
    <cellStyle name="20% - Accent6 3 6" xfId="2732" xr:uid="{9E310753-DB96-4B02-A0B0-4E11F9300E7D}"/>
    <cellStyle name="20% - Accent6 3 6 2" xfId="4961" xr:uid="{5688B85A-DEF4-4ED1-8ADA-51D87E784B98}"/>
    <cellStyle name="20% - Accent6 3 6 2 2" xfId="9179" xr:uid="{BAE4B07B-6F28-451F-B96D-FA6F9AE107A2}"/>
    <cellStyle name="20% - Accent6 3 6 3" xfId="7034" xr:uid="{9D3C40B9-5714-4ED8-AAAF-BA941678A4BA}"/>
    <cellStyle name="20% - Accent6 3 7" xfId="3145" xr:uid="{F334FE79-FDD8-4830-AE92-6574FD2AA41A}"/>
    <cellStyle name="20% - Accent6 3 7 2" xfId="7447" xr:uid="{FA37D41F-2D6C-4388-86AA-96F72EA26E67}"/>
    <cellStyle name="20% - Accent6 3 8" xfId="5381" xr:uid="{B55CF186-DCAA-4F17-8463-E0E4597314E6}"/>
    <cellStyle name="20% - Accent6 3 9" xfId="1077" xr:uid="{859E1F32-369F-4F16-B98E-668FAEFE0AA0}"/>
    <cellStyle name="20% - Accent6 4" xfId="48" xr:uid="{00000000-0005-0000-0000-00005D000000}"/>
    <cellStyle name="20% - Accent6 4 2" xfId="625" xr:uid="{00000000-0005-0000-0000-00005E000000}"/>
    <cellStyle name="20% - Accent6 4 2 2" xfId="3724" xr:uid="{A95E274A-106A-47A1-9295-B7530A7D2C77}"/>
    <cellStyle name="20% - Accent6 4 2 2 2" xfId="7942" xr:uid="{976FEE0F-CD95-4D2E-A1A4-65302B69CEDC}"/>
    <cellStyle name="20% - Accent6 4 2 3" xfId="5797" xr:uid="{B82889CB-859D-411F-8612-7D7EEA6D5FF0}"/>
    <cellStyle name="20% - Accent6 4 2 4" xfId="1493" xr:uid="{7DB2B42A-A3EB-420C-8FD8-E58036E2AFBA}"/>
    <cellStyle name="20% - Accent6 4 3" xfId="1908" xr:uid="{687317B3-F571-419E-B230-18F19EBF73CF}"/>
    <cellStyle name="20% - Accent6 4 3 2" xfId="4137" xr:uid="{E7DE4725-2948-47A9-A1B8-ABBF00DB0BD7}"/>
    <cellStyle name="20% - Accent6 4 3 2 2" xfId="8355" xr:uid="{A8BF2EBD-2299-4073-9FB2-C11EC4F8896E}"/>
    <cellStyle name="20% - Accent6 4 3 3" xfId="6210" xr:uid="{42B298E6-6CB6-4ECF-A60C-4411B037BDF3}"/>
    <cellStyle name="20% - Accent6 4 4" xfId="2321" xr:uid="{2BA889FD-6D9E-4BF6-904E-D0CBA5F523B1}"/>
    <cellStyle name="20% - Accent6 4 4 2" xfId="4550" xr:uid="{905E2E97-3E51-426E-ADC0-929F03ED76EF}"/>
    <cellStyle name="20% - Accent6 4 4 2 2" xfId="8768" xr:uid="{A515B4B8-CA8A-4284-B4EE-A96A274C6F13}"/>
    <cellStyle name="20% - Accent6 4 4 3" xfId="6623" xr:uid="{A11402B5-DD15-4B0D-9678-6DD75366F456}"/>
    <cellStyle name="20% - Accent6 4 5" xfId="2734" xr:uid="{7E90FF22-136E-4D58-A668-7877C09B3D25}"/>
    <cellStyle name="20% - Accent6 4 5 2" xfId="4963" xr:uid="{BE93F229-9FD0-4349-B3E9-69038D5B9840}"/>
    <cellStyle name="20% - Accent6 4 5 2 2" xfId="9181" xr:uid="{2A1920F5-2256-4DBD-915E-472D6E83086C}"/>
    <cellStyle name="20% - Accent6 4 5 3" xfId="7036" xr:uid="{B16CB9B4-D95B-4DB9-9783-E38C47F3C5AD}"/>
    <cellStyle name="20% - Accent6 4 6" xfId="3147" xr:uid="{D89EC72E-8567-4FD6-9BEF-26A2C864FC74}"/>
    <cellStyle name="20% - Accent6 4 6 2" xfId="7449" xr:uid="{EBD187BF-85CB-412A-8FBE-8D1AFBC5862C}"/>
    <cellStyle name="20% - Accent6 4 7" xfId="5383" xr:uid="{0EB86154-453B-4388-AAFF-C5D9337E66F6}"/>
    <cellStyle name="20% - Accent6 4 8" xfId="1079" xr:uid="{4D031606-E4A7-4C51-A2E7-CC0D8B11223A}"/>
    <cellStyle name="20% - Accent6 5" xfId="618" xr:uid="{00000000-0005-0000-0000-00005F000000}"/>
    <cellStyle name="20% - Accent6 5 2" xfId="3717" xr:uid="{B5DD6D05-9E9E-4EBA-9C1A-266810952489}"/>
    <cellStyle name="20% - Accent6 5 2 2" xfId="7935" xr:uid="{1EAB4B0A-314F-41F0-8380-E6744E5CED1B}"/>
    <cellStyle name="20% - Accent6 5 3" xfId="5790" xr:uid="{EB6AFDBF-492F-4E6D-9472-B34D77EA2436}"/>
    <cellStyle name="20% - Accent6 5 4" xfId="1486" xr:uid="{304CC080-6EA6-4E96-9C3F-55098A980D6B}"/>
    <cellStyle name="20% - Accent6 6" xfId="1901" xr:uid="{3EC2C08D-B94A-4E49-B59D-72F623FCEE03}"/>
    <cellStyle name="20% - Accent6 6 2" xfId="4130" xr:uid="{EBE8F7A1-E240-48F1-9759-0109CCFF3E1B}"/>
    <cellStyle name="20% - Accent6 6 2 2" xfId="8348" xr:uid="{91814A0F-05A4-4FC1-912D-A6C12DE67F4F}"/>
    <cellStyle name="20% - Accent6 6 3" xfId="6203" xr:uid="{1B7D8807-74C2-4555-94C3-6A0226659FA5}"/>
    <cellStyle name="20% - Accent6 7" xfId="2314" xr:uid="{7B467F5E-C168-4079-9A32-021A1D621A42}"/>
    <cellStyle name="20% - Accent6 7 2" xfId="4543" xr:uid="{BD7D4348-A58B-4015-A05A-D91E633F67B0}"/>
    <cellStyle name="20% - Accent6 7 2 2" xfId="8761" xr:uid="{EAB0B5E9-2059-4E97-8EB0-8381D7EEC07F}"/>
    <cellStyle name="20% - Accent6 7 3" xfId="6616" xr:uid="{3ECDEE75-4120-4DE7-AA56-DE5F7C03ED9F}"/>
    <cellStyle name="20% - Accent6 8" xfId="2727" xr:uid="{E48AD6C0-7603-4D52-93B2-8D8449DC89D2}"/>
    <cellStyle name="20% - Accent6 8 2" xfId="4956" xr:uid="{8688FBFE-6482-4C13-A1A5-BB6DF95A2D76}"/>
    <cellStyle name="20% - Accent6 8 2 2" xfId="9174" xr:uid="{98D949D4-1C37-422C-BFAE-83119CA84DEB}"/>
    <cellStyle name="20% - Accent6 8 3" xfId="7029" xr:uid="{AA6CDA0C-4CDD-44F3-A291-8AB1995B5924}"/>
    <cellStyle name="20% - Accent6 9" xfId="3140" xr:uid="{4BC1C922-A543-4A51-9D09-8D4E4ADE5E9C}"/>
    <cellStyle name="20% - Accent6 9 2" xfId="7442" xr:uid="{05CD3032-EC7B-48F4-BEC2-53FD35202C7B}"/>
    <cellStyle name="40% - Accent1" xfId="49" builtinId="31" customBuiltin="1"/>
    <cellStyle name="40% - Accent1 10" xfId="5384" xr:uid="{EA09DD05-F2A4-4569-A01A-E042EE29FE37}"/>
    <cellStyle name="40% - Accent1 11" xfId="1080" xr:uid="{EAFD9B38-4E27-4B96-8691-291B27558A03}"/>
    <cellStyle name="40% - Accent1 2" xfId="50" xr:uid="{00000000-0005-0000-0000-000061000000}"/>
    <cellStyle name="40% - Accent1 2 10" xfId="1081" xr:uid="{3DDA08DE-343F-4A81-9730-BDBEFE603320}"/>
    <cellStyle name="40% - Accent1 2 2" xfId="51" xr:uid="{00000000-0005-0000-0000-000062000000}"/>
    <cellStyle name="40% - Accent1 2 2 2" xfId="52" xr:uid="{00000000-0005-0000-0000-000063000000}"/>
    <cellStyle name="40% - Accent1 2 2 2 2" xfId="629" xr:uid="{00000000-0005-0000-0000-000064000000}"/>
    <cellStyle name="40% - Accent1 2 2 2 2 2" xfId="3728" xr:uid="{48E96CC4-B068-421E-A675-5D07CECFABE1}"/>
    <cellStyle name="40% - Accent1 2 2 2 2 2 2" xfId="7946" xr:uid="{59F1CC5E-9F18-4F6E-8780-4515953106C5}"/>
    <cellStyle name="40% - Accent1 2 2 2 2 3" xfId="5801" xr:uid="{5E14CABE-A92D-47F4-A8AB-ABEA8A8185E4}"/>
    <cellStyle name="40% - Accent1 2 2 2 2 4" xfId="1497" xr:uid="{8949B300-29AD-4B16-AB50-E2B97CC1204C}"/>
    <cellStyle name="40% - Accent1 2 2 2 3" xfId="1912" xr:uid="{768869AB-1097-4D94-9A29-F695D2FB6C6C}"/>
    <cellStyle name="40% - Accent1 2 2 2 3 2" xfId="4141" xr:uid="{497DD858-D59B-48B9-B247-34EC8531D91C}"/>
    <cellStyle name="40% - Accent1 2 2 2 3 2 2" xfId="8359" xr:uid="{C639EDA8-2E8E-4EBD-8B23-33203D5BD7AC}"/>
    <cellStyle name="40% - Accent1 2 2 2 3 3" xfId="6214" xr:uid="{1A748DD4-6BC0-4A61-B1FB-19D5ECAC7C6E}"/>
    <cellStyle name="40% - Accent1 2 2 2 4" xfId="2325" xr:uid="{BF2BD2D1-95FE-47DE-892B-D022CA564B28}"/>
    <cellStyle name="40% - Accent1 2 2 2 4 2" xfId="4554" xr:uid="{D1651180-A894-4373-9BD2-E94CF89DF3E3}"/>
    <cellStyle name="40% - Accent1 2 2 2 4 2 2" xfId="8772" xr:uid="{22C97530-4EF3-4D2C-909E-2FEF73E75D75}"/>
    <cellStyle name="40% - Accent1 2 2 2 4 3" xfId="6627" xr:uid="{DBE85C29-31C0-4EC0-8AB6-B367355A8882}"/>
    <cellStyle name="40% - Accent1 2 2 2 5" xfId="2738" xr:uid="{7E683CAB-F7A6-42C4-B109-57850A9F4C88}"/>
    <cellStyle name="40% - Accent1 2 2 2 5 2" xfId="4967" xr:uid="{C1400185-5BAC-408C-9327-7F4FF1424EEA}"/>
    <cellStyle name="40% - Accent1 2 2 2 5 2 2" xfId="9185" xr:uid="{CEDEF05E-281B-498D-B025-B2E52B209AD1}"/>
    <cellStyle name="40% - Accent1 2 2 2 5 3" xfId="7040" xr:uid="{7F8FC441-6B6C-4545-8BAF-483499147983}"/>
    <cellStyle name="40% - Accent1 2 2 2 6" xfId="3151" xr:uid="{522D058E-6EBF-4A9B-8FCB-AC46F3B011D9}"/>
    <cellStyle name="40% - Accent1 2 2 2 6 2" xfId="7453" xr:uid="{1A56D89D-4DEC-48C2-BA03-8BB614724F0F}"/>
    <cellStyle name="40% - Accent1 2 2 2 7" xfId="5387" xr:uid="{A64F6803-EA34-4EA5-A431-3E1AF4B159F7}"/>
    <cellStyle name="40% - Accent1 2 2 2 8" xfId="1083" xr:uid="{C2D8C814-A080-44A1-B8E1-3AEBF3D5BE29}"/>
    <cellStyle name="40% - Accent1 2 2 3" xfId="628" xr:uid="{00000000-0005-0000-0000-000065000000}"/>
    <cellStyle name="40% - Accent1 2 2 3 2" xfId="3727" xr:uid="{FB01DE62-22B3-4468-AD8F-69F94AD7F89D}"/>
    <cellStyle name="40% - Accent1 2 2 3 2 2" xfId="7945" xr:uid="{E584AE07-7FFF-407C-9AA1-89FE6D1AB823}"/>
    <cellStyle name="40% - Accent1 2 2 3 3" xfId="5800" xr:uid="{14224F4D-64DB-4433-A15C-4CD4C1756EC8}"/>
    <cellStyle name="40% - Accent1 2 2 3 4" xfId="1496" xr:uid="{09CF1477-7AA2-4CA0-B350-9EBEF6A91F0A}"/>
    <cellStyle name="40% - Accent1 2 2 4" xfId="1911" xr:uid="{423D679A-5DE5-463A-8E72-8781CAE57A05}"/>
    <cellStyle name="40% - Accent1 2 2 4 2" xfId="4140" xr:uid="{D04525D3-AFF3-4877-9311-C85A0ECA082F}"/>
    <cellStyle name="40% - Accent1 2 2 4 2 2" xfId="8358" xr:uid="{4561D69A-89B4-4E10-9406-55988A8DCD53}"/>
    <cellStyle name="40% - Accent1 2 2 4 3" xfId="6213" xr:uid="{55BF494C-9D67-4A44-B591-B8DEA71A152D}"/>
    <cellStyle name="40% - Accent1 2 2 5" xfId="2324" xr:uid="{367DCB9A-A482-46AB-9BA0-58A90599D617}"/>
    <cellStyle name="40% - Accent1 2 2 5 2" xfId="4553" xr:uid="{640FA71F-4CFF-4A5B-993C-8BA777A32636}"/>
    <cellStyle name="40% - Accent1 2 2 5 2 2" xfId="8771" xr:uid="{67FB1888-96D2-4DD8-ABBA-CB6A188C66B8}"/>
    <cellStyle name="40% - Accent1 2 2 5 3" xfId="6626" xr:uid="{C254A460-585A-4356-8EC4-056EA8B293DB}"/>
    <cellStyle name="40% - Accent1 2 2 6" xfId="2737" xr:uid="{BD056D02-2F72-4425-9D17-AE3A59034C62}"/>
    <cellStyle name="40% - Accent1 2 2 6 2" xfId="4966" xr:uid="{1A4F486D-2A4D-43D1-92AB-8B9A4056FC92}"/>
    <cellStyle name="40% - Accent1 2 2 6 2 2" xfId="9184" xr:uid="{49E0ABDC-AD3C-4225-BE56-D224695F72D4}"/>
    <cellStyle name="40% - Accent1 2 2 6 3" xfId="7039" xr:uid="{6D7FD793-9B95-42BB-B265-DB9A5A47F34A}"/>
    <cellStyle name="40% - Accent1 2 2 7" xfId="3150" xr:uid="{9DBA8D44-CF47-4CCF-B92F-ED8F1C1988AB}"/>
    <cellStyle name="40% - Accent1 2 2 7 2" xfId="7452" xr:uid="{9C99C912-7674-4FBF-B64E-FC7E05423FCF}"/>
    <cellStyle name="40% - Accent1 2 2 8" xfId="5386" xr:uid="{77792630-2C69-437A-9B0B-4D68777A033D}"/>
    <cellStyle name="40% - Accent1 2 2 9" xfId="1082" xr:uid="{5E401FD9-C6B8-4370-AE54-F17896D3CCB6}"/>
    <cellStyle name="40% - Accent1 2 3" xfId="53" xr:uid="{00000000-0005-0000-0000-000066000000}"/>
    <cellStyle name="40% - Accent1 2 3 2" xfId="630" xr:uid="{00000000-0005-0000-0000-000067000000}"/>
    <cellStyle name="40% - Accent1 2 3 2 2" xfId="3729" xr:uid="{BAA8883E-3BD9-4269-8B81-E8BDBD59303B}"/>
    <cellStyle name="40% - Accent1 2 3 2 2 2" xfId="7947" xr:uid="{53FA855C-B1D0-46E8-8C4E-FD3B8095C122}"/>
    <cellStyle name="40% - Accent1 2 3 2 3" xfId="5802" xr:uid="{8623971D-7D69-4C26-82CE-8E51A5F83A52}"/>
    <cellStyle name="40% - Accent1 2 3 2 4" xfId="1498" xr:uid="{30F5435D-354C-4D4C-9ECC-64F33986082F}"/>
    <cellStyle name="40% - Accent1 2 3 3" xfId="1913" xr:uid="{AED5A056-AD97-4554-A81C-51F2E2905A33}"/>
    <cellStyle name="40% - Accent1 2 3 3 2" xfId="4142" xr:uid="{19BDAE91-A6C2-474B-BEAC-084F23AF9574}"/>
    <cellStyle name="40% - Accent1 2 3 3 2 2" xfId="8360" xr:uid="{F3FE5256-2AEB-4E59-B1B7-E2921BCB611B}"/>
    <cellStyle name="40% - Accent1 2 3 3 3" xfId="6215" xr:uid="{CC7BDE06-6831-45AC-95AE-B67FD4E053E8}"/>
    <cellStyle name="40% - Accent1 2 3 4" xfId="2326" xr:uid="{BD60D7D1-C725-4182-AC50-1C8D2C8991D1}"/>
    <cellStyle name="40% - Accent1 2 3 4 2" xfId="4555" xr:uid="{C927240C-96FB-483B-8EA2-7CCABB2CF0FC}"/>
    <cellStyle name="40% - Accent1 2 3 4 2 2" xfId="8773" xr:uid="{EB429D00-7721-41EE-A94E-51FA8186AB36}"/>
    <cellStyle name="40% - Accent1 2 3 4 3" xfId="6628" xr:uid="{B85FA789-0840-4F21-872B-371311F62479}"/>
    <cellStyle name="40% - Accent1 2 3 5" xfId="2739" xr:uid="{435294C8-816E-4942-BB2A-FA26A2D8D540}"/>
    <cellStyle name="40% - Accent1 2 3 5 2" xfId="4968" xr:uid="{17C0A2A0-53F4-4383-8201-18055C423140}"/>
    <cellStyle name="40% - Accent1 2 3 5 2 2" xfId="9186" xr:uid="{6041C0D6-D336-471B-A035-53AD22F4FC56}"/>
    <cellStyle name="40% - Accent1 2 3 5 3" xfId="7041" xr:uid="{E40668D4-5DBC-4043-9285-944F72D09305}"/>
    <cellStyle name="40% - Accent1 2 3 6" xfId="3152" xr:uid="{55F8E225-65BC-4463-9730-F4C817E103D3}"/>
    <cellStyle name="40% - Accent1 2 3 6 2" xfId="7454" xr:uid="{1A52CBC2-8FBB-4E3C-A641-2F7558D755D7}"/>
    <cellStyle name="40% - Accent1 2 3 7" xfId="5388" xr:uid="{7C6A4B4D-D5FE-45D9-B701-61C84D5841D3}"/>
    <cellStyle name="40% - Accent1 2 3 8" xfId="1084" xr:uid="{DE419A46-8242-4202-BD7C-8A16F0BF4E1A}"/>
    <cellStyle name="40% - Accent1 2 4" xfId="627" xr:uid="{00000000-0005-0000-0000-000068000000}"/>
    <cellStyle name="40% - Accent1 2 4 2" xfId="3726" xr:uid="{3F3ACE79-BD48-4986-912E-D9FB6F807D4D}"/>
    <cellStyle name="40% - Accent1 2 4 2 2" xfId="7944" xr:uid="{7B3497F0-4AD2-4284-936C-D90C097586C9}"/>
    <cellStyle name="40% - Accent1 2 4 3" xfId="5799" xr:uid="{F4D33F1E-024D-497D-8BF2-6666DA37C4B1}"/>
    <cellStyle name="40% - Accent1 2 4 4" xfId="1495" xr:uid="{6E0BD9D7-80C9-4B10-9816-9B705252340A}"/>
    <cellStyle name="40% - Accent1 2 5" xfId="1910" xr:uid="{0DAD9289-50E3-4D69-A73A-2581FE0D1C89}"/>
    <cellStyle name="40% - Accent1 2 5 2" xfId="4139" xr:uid="{30891FE6-9529-4036-BA72-41FC14DCAA99}"/>
    <cellStyle name="40% - Accent1 2 5 2 2" xfId="8357" xr:uid="{8C136037-B02C-452B-8CB4-DC9BEB51EFA8}"/>
    <cellStyle name="40% - Accent1 2 5 3" xfId="6212" xr:uid="{DC0C3D0B-2D45-4D36-84EC-CAC39E317ED5}"/>
    <cellStyle name="40% - Accent1 2 6" xfId="2323" xr:uid="{4BE213CB-4BF7-4F2C-A898-43DD0CA5EF26}"/>
    <cellStyle name="40% - Accent1 2 6 2" xfId="4552" xr:uid="{C66BD910-240C-4A41-A036-52A14CCB4FC2}"/>
    <cellStyle name="40% - Accent1 2 6 2 2" xfId="8770" xr:uid="{8860C3CA-7C1A-4985-9D1A-7A190145F66E}"/>
    <cellStyle name="40% - Accent1 2 6 3" xfId="6625" xr:uid="{DBCD4716-2B94-4FF0-A54A-EA85683D306D}"/>
    <cellStyle name="40% - Accent1 2 7" xfId="2736" xr:uid="{6E640D60-01C6-49B3-B388-15631D498151}"/>
    <cellStyle name="40% - Accent1 2 7 2" xfId="4965" xr:uid="{DA8C8C77-10FB-447B-973A-86F155911A2B}"/>
    <cellStyle name="40% - Accent1 2 7 2 2" xfId="9183" xr:uid="{CFFEABA2-8EDB-4EDC-901B-269DC1DD78E3}"/>
    <cellStyle name="40% - Accent1 2 7 3" xfId="7038" xr:uid="{38B77D04-4062-470F-901B-8AC969BD661A}"/>
    <cellStyle name="40% - Accent1 2 8" xfId="3149" xr:uid="{D0FDDD86-D667-4348-8B58-C6F9C45ECB66}"/>
    <cellStyle name="40% - Accent1 2 8 2" xfId="7451" xr:uid="{8B1B6B03-5CD2-4E1A-91A7-9A58952B4DCF}"/>
    <cellStyle name="40% - Accent1 2 9" xfId="5385" xr:uid="{DC77C6A5-1D7F-4A68-BDD3-2090DB8E1ED2}"/>
    <cellStyle name="40% - Accent1 3" xfId="54" xr:uid="{00000000-0005-0000-0000-000069000000}"/>
    <cellStyle name="40% - Accent1 3 2" xfId="55" xr:uid="{00000000-0005-0000-0000-00006A000000}"/>
    <cellStyle name="40% - Accent1 3 2 2" xfId="632" xr:uid="{00000000-0005-0000-0000-00006B000000}"/>
    <cellStyle name="40% - Accent1 3 2 2 2" xfId="3731" xr:uid="{2D1D4324-8ED9-4A2F-BDA3-1E33538656D0}"/>
    <cellStyle name="40% - Accent1 3 2 2 2 2" xfId="7949" xr:uid="{00725EC6-01FE-451A-823B-A5F39C82230C}"/>
    <cellStyle name="40% - Accent1 3 2 2 3" xfId="5804" xr:uid="{FA024157-55F1-4E3B-A6E4-6D99D739ED94}"/>
    <cellStyle name="40% - Accent1 3 2 2 4" xfId="1500" xr:uid="{3E438978-BFA7-48C3-900D-165DD4C38006}"/>
    <cellStyle name="40% - Accent1 3 2 3" xfId="1915" xr:uid="{6E492701-BCD4-4958-9758-3F37ACDDF811}"/>
    <cellStyle name="40% - Accent1 3 2 3 2" xfId="4144" xr:uid="{B40351D9-9CEB-4704-95C5-D9C08F81D619}"/>
    <cellStyle name="40% - Accent1 3 2 3 2 2" xfId="8362" xr:uid="{C379A1D4-15A5-49B5-81A8-CCCE2D2F93B5}"/>
    <cellStyle name="40% - Accent1 3 2 3 3" xfId="6217" xr:uid="{955BEDF8-5BAC-4341-92A4-5F95A4F39DFC}"/>
    <cellStyle name="40% - Accent1 3 2 4" xfId="2328" xr:uid="{16E44B6C-3516-4F12-A8EA-900BDCFAAD6D}"/>
    <cellStyle name="40% - Accent1 3 2 4 2" xfId="4557" xr:uid="{D9802F08-20CE-4EAF-9C11-7E7F956864CF}"/>
    <cellStyle name="40% - Accent1 3 2 4 2 2" xfId="8775" xr:uid="{C148DDF4-5310-4020-AB11-F79E73BB0DD8}"/>
    <cellStyle name="40% - Accent1 3 2 4 3" xfId="6630" xr:uid="{1E9DB687-1539-4CDF-BBBE-27151BE3C3B7}"/>
    <cellStyle name="40% - Accent1 3 2 5" xfId="2741" xr:uid="{A84B5DDE-0199-4823-8842-0942059D22C8}"/>
    <cellStyle name="40% - Accent1 3 2 5 2" xfId="4970" xr:uid="{A793A5B5-CEDE-4CCD-B153-EFDAC3327962}"/>
    <cellStyle name="40% - Accent1 3 2 5 2 2" xfId="9188" xr:uid="{E9AA3F01-8678-45F0-ABC5-14974021DD08}"/>
    <cellStyle name="40% - Accent1 3 2 5 3" xfId="7043" xr:uid="{E2BD9577-9036-4517-A2DF-3D18592832E7}"/>
    <cellStyle name="40% - Accent1 3 2 6" xfId="3154" xr:uid="{668648F1-BEEE-4B86-A60F-9DA10B29A33B}"/>
    <cellStyle name="40% - Accent1 3 2 6 2" xfId="7456" xr:uid="{011377B9-A710-4352-8534-3D8C64D6DE8A}"/>
    <cellStyle name="40% - Accent1 3 2 7" xfId="5390" xr:uid="{C85EC6F9-9679-48CA-93BB-EDC82417192A}"/>
    <cellStyle name="40% - Accent1 3 2 8" xfId="1086" xr:uid="{FC99632B-9AEB-4340-A027-B91A1AA9406A}"/>
    <cellStyle name="40% - Accent1 3 3" xfId="631" xr:uid="{00000000-0005-0000-0000-00006C000000}"/>
    <cellStyle name="40% - Accent1 3 3 2" xfId="3730" xr:uid="{A0F39F16-39B8-4CDF-9A7C-AEE1C5A6964B}"/>
    <cellStyle name="40% - Accent1 3 3 2 2" xfId="7948" xr:uid="{C1501FD3-2495-47C0-BD18-6D91AA8E1270}"/>
    <cellStyle name="40% - Accent1 3 3 3" xfId="5803" xr:uid="{154D367C-0D8E-4359-A780-0FCF4CBD705E}"/>
    <cellStyle name="40% - Accent1 3 3 4" xfId="1499" xr:uid="{F2AF1C5A-AD94-4141-93F1-C4F69A77966C}"/>
    <cellStyle name="40% - Accent1 3 4" xfId="1914" xr:uid="{E802EBA0-70A5-4E45-B135-B92DE86BF630}"/>
    <cellStyle name="40% - Accent1 3 4 2" xfId="4143" xr:uid="{34C61FFF-E048-4A59-B9BC-97C680F9175C}"/>
    <cellStyle name="40% - Accent1 3 4 2 2" xfId="8361" xr:uid="{AD6BB712-6AD1-4C2E-B49A-5517890CD5B5}"/>
    <cellStyle name="40% - Accent1 3 4 3" xfId="6216" xr:uid="{4133DE6F-ABAE-4DA2-81B6-DC21C6E87C48}"/>
    <cellStyle name="40% - Accent1 3 5" xfId="2327" xr:uid="{51E399EF-D3B9-4CAA-8650-C10D242E1446}"/>
    <cellStyle name="40% - Accent1 3 5 2" xfId="4556" xr:uid="{9E691768-5C6E-4667-889A-0A06CE9D2AB4}"/>
    <cellStyle name="40% - Accent1 3 5 2 2" xfId="8774" xr:uid="{93A778A8-4558-440F-ACF9-A0BE09D791DD}"/>
    <cellStyle name="40% - Accent1 3 5 3" xfId="6629" xr:uid="{6A6A3188-D8A6-4E0D-A216-AB36B317CB71}"/>
    <cellStyle name="40% - Accent1 3 6" xfId="2740" xr:uid="{6CDA4E1C-AEBE-482B-A40F-C54F22850B6C}"/>
    <cellStyle name="40% - Accent1 3 6 2" xfId="4969" xr:uid="{2F4C95DA-429B-4513-B01F-F5E7D6DC140C}"/>
    <cellStyle name="40% - Accent1 3 6 2 2" xfId="9187" xr:uid="{7053EA41-C15B-4808-904E-EEAB2182C520}"/>
    <cellStyle name="40% - Accent1 3 6 3" xfId="7042" xr:uid="{A57F499D-3999-44CC-B445-31670A4080F1}"/>
    <cellStyle name="40% - Accent1 3 7" xfId="3153" xr:uid="{A781DBF0-B927-4E09-BE7F-0EA14B474B9F}"/>
    <cellStyle name="40% - Accent1 3 7 2" xfId="7455" xr:uid="{64A91974-9131-4453-8590-D487BC8A8548}"/>
    <cellStyle name="40% - Accent1 3 8" xfId="5389" xr:uid="{069A3195-879E-41EF-87C1-BB308B418DF2}"/>
    <cellStyle name="40% - Accent1 3 9" xfId="1085" xr:uid="{341BA684-0F0A-4A68-9FB1-95D18686E451}"/>
    <cellStyle name="40% - Accent1 4" xfId="56" xr:uid="{00000000-0005-0000-0000-00006D000000}"/>
    <cellStyle name="40% - Accent1 4 2" xfId="633" xr:uid="{00000000-0005-0000-0000-00006E000000}"/>
    <cellStyle name="40% - Accent1 4 2 2" xfId="3732" xr:uid="{3E0286F9-AEF6-4837-963B-2404FDD7EE39}"/>
    <cellStyle name="40% - Accent1 4 2 2 2" xfId="7950" xr:uid="{093BE4EB-C3FF-4348-B07E-6595B6ABF269}"/>
    <cellStyle name="40% - Accent1 4 2 3" xfId="5805" xr:uid="{C98090DC-735A-45AB-BF65-F6FEB388CC32}"/>
    <cellStyle name="40% - Accent1 4 2 4" xfId="1501" xr:uid="{8DA36BEB-3783-442A-A58A-0647003D4492}"/>
    <cellStyle name="40% - Accent1 4 3" xfId="1916" xr:uid="{F694A6FD-6B3B-4624-9D17-0D8CF189FDB1}"/>
    <cellStyle name="40% - Accent1 4 3 2" xfId="4145" xr:uid="{CF753F1B-49C0-4F25-B34B-F01A395FEC6B}"/>
    <cellStyle name="40% - Accent1 4 3 2 2" xfId="8363" xr:uid="{1D649ED2-05F6-4E0E-917E-800BBDFBB9D0}"/>
    <cellStyle name="40% - Accent1 4 3 3" xfId="6218" xr:uid="{509C02FA-B4F9-4552-A524-E670C3FEF6DA}"/>
    <cellStyle name="40% - Accent1 4 4" xfId="2329" xr:uid="{3A062038-CE14-4999-A255-EFCA4C468EF5}"/>
    <cellStyle name="40% - Accent1 4 4 2" xfId="4558" xr:uid="{BE61CAE8-39E2-47D4-8BC6-6C10CB0966CE}"/>
    <cellStyle name="40% - Accent1 4 4 2 2" xfId="8776" xr:uid="{58625E2B-A932-4DF3-B12C-F9AB44DF5D63}"/>
    <cellStyle name="40% - Accent1 4 4 3" xfId="6631" xr:uid="{CF1AC582-5458-4515-A997-ACB1CDAEEF94}"/>
    <cellStyle name="40% - Accent1 4 5" xfId="2742" xr:uid="{A88C9653-C24F-424D-AB40-187DEB564FC0}"/>
    <cellStyle name="40% - Accent1 4 5 2" xfId="4971" xr:uid="{3FCD58AE-C4FF-4D0D-B4AF-62D34A91B782}"/>
    <cellStyle name="40% - Accent1 4 5 2 2" xfId="9189" xr:uid="{60D5CCB0-E87B-4FBB-8391-62251A68A922}"/>
    <cellStyle name="40% - Accent1 4 5 3" xfId="7044" xr:uid="{86C4F5F5-C8BB-41B6-AD4D-AEBC9C02C742}"/>
    <cellStyle name="40% - Accent1 4 6" xfId="3155" xr:uid="{C4486929-9216-402A-B36A-94815BA6A43E}"/>
    <cellStyle name="40% - Accent1 4 6 2" xfId="7457" xr:uid="{9B3A1A4A-E3E6-475D-B492-9BB37A2E2E72}"/>
    <cellStyle name="40% - Accent1 4 7" xfId="5391" xr:uid="{9E376E37-1D7B-47CF-9370-2BDB51A19F0B}"/>
    <cellStyle name="40% - Accent1 4 8" xfId="1087" xr:uid="{6E8700D8-205D-423F-9EE7-EA4D108A89D9}"/>
    <cellStyle name="40% - Accent1 5" xfId="626" xr:uid="{00000000-0005-0000-0000-00006F000000}"/>
    <cellStyle name="40% - Accent1 5 2" xfId="3725" xr:uid="{AD9D4A09-D249-42BC-BD82-E7C385C3EF3B}"/>
    <cellStyle name="40% - Accent1 5 2 2" xfId="7943" xr:uid="{B19E00A2-96A8-40EB-9DD0-3F41A3197D88}"/>
    <cellStyle name="40% - Accent1 5 3" xfId="5798" xr:uid="{08C05E01-1780-408A-B60C-948E7FFEB12D}"/>
    <cellStyle name="40% - Accent1 5 4" xfId="1494" xr:uid="{44EDD333-6D74-4455-8340-95416D85FB82}"/>
    <cellStyle name="40% - Accent1 6" xfId="1909" xr:uid="{AD02B532-C782-464B-B276-129CEA076B12}"/>
    <cellStyle name="40% - Accent1 6 2" xfId="4138" xr:uid="{8D5C4A28-A016-43CD-BFB3-56341584E91F}"/>
    <cellStyle name="40% - Accent1 6 2 2" xfId="8356" xr:uid="{8DEC371D-DE47-4D2E-AE10-787474183C6C}"/>
    <cellStyle name="40% - Accent1 6 3" xfId="6211" xr:uid="{D773823B-412E-462D-BA63-35F51568336B}"/>
    <cellStyle name="40% - Accent1 7" xfId="2322" xr:uid="{CDE793F9-63E1-4DB2-8C62-71FA07795187}"/>
    <cellStyle name="40% - Accent1 7 2" xfId="4551" xr:uid="{526BAD74-E659-4D6F-B568-996336A023D6}"/>
    <cellStyle name="40% - Accent1 7 2 2" xfId="8769" xr:uid="{8FB2CBD1-6DFC-48F6-8249-B4F097FE37DD}"/>
    <cellStyle name="40% - Accent1 7 3" xfId="6624" xr:uid="{94B5A98D-1A4E-469B-B873-61C6F9FECC59}"/>
    <cellStyle name="40% - Accent1 8" xfId="2735" xr:uid="{DDC14606-C7A4-494B-B16B-2374BD4ED331}"/>
    <cellStyle name="40% - Accent1 8 2" xfId="4964" xr:uid="{06C2DDBE-901F-4741-B2AD-62A7929CF829}"/>
    <cellStyle name="40% - Accent1 8 2 2" xfId="9182" xr:uid="{E8497549-6370-4BF5-AFBE-C5220D3BA492}"/>
    <cellStyle name="40% - Accent1 8 3" xfId="7037" xr:uid="{33588C63-FF8F-4EAA-858B-E8B9FCF80E02}"/>
    <cellStyle name="40% - Accent1 9" xfId="3148" xr:uid="{4CA0EB9B-0816-41F2-B601-49CFB5A7522B}"/>
    <cellStyle name="40% - Accent1 9 2" xfId="7450" xr:uid="{430395A4-74BB-4A5B-B015-5BE467FCFA13}"/>
    <cellStyle name="40% - Accent2" xfId="57" builtinId="35" customBuiltin="1"/>
    <cellStyle name="40% - Accent2 10" xfId="5392" xr:uid="{AAC4E52B-38EB-43C3-8D90-B0DA72A688DF}"/>
    <cellStyle name="40% - Accent2 11" xfId="1088" xr:uid="{51686B55-BA66-4A2A-8CA7-CB430B23E804}"/>
    <cellStyle name="40% - Accent2 2" xfId="58" xr:uid="{00000000-0005-0000-0000-000071000000}"/>
    <cellStyle name="40% - Accent2 2 10" xfId="1089" xr:uid="{959772BD-E20B-4C6C-B052-BD9048437C38}"/>
    <cellStyle name="40% - Accent2 2 2" xfId="59" xr:uid="{00000000-0005-0000-0000-000072000000}"/>
    <cellStyle name="40% - Accent2 2 2 2" xfId="60" xr:uid="{00000000-0005-0000-0000-000073000000}"/>
    <cellStyle name="40% - Accent2 2 2 2 2" xfId="637" xr:uid="{00000000-0005-0000-0000-000074000000}"/>
    <cellStyle name="40% - Accent2 2 2 2 2 2" xfId="3736" xr:uid="{0ECE3A64-3ECE-4D59-900B-A0A174797709}"/>
    <cellStyle name="40% - Accent2 2 2 2 2 2 2" xfId="7954" xr:uid="{824672AE-8804-4AD1-BC7F-542BDDEB8592}"/>
    <cellStyle name="40% - Accent2 2 2 2 2 3" xfId="5809" xr:uid="{3BE74E12-4D36-4115-81F2-164450AF5DB4}"/>
    <cellStyle name="40% - Accent2 2 2 2 2 4" xfId="1505" xr:uid="{077E6B53-DFB4-406C-B9D2-0CAE25CDDA84}"/>
    <cellStyle name="40% - Accent2 2 2 2 3" xfId="1920" xr:uid="{D21F1BA3-8E52-47AF-B495-93726517B29A}"/>
    <cellStyle name="40% - Accent2 2 2 2 3 2" xfId="4149" xr:uid="{3EE786BE-E10A-4950-888B-89BC98B548BE}"/>
    <cellStyle name="40% - Accent2 2 2 2 3 2 2" xfId="8367" xr:uid="{59089F88-234D-4B65-BF9A-88BF1D69A41E}"/>
    <cellStyle name="40% - Accent2 2 2 2 3 3" xfId="6222" xr:uid="{8BC0C18B-CCF1-4017-8408-A91D72862D21}"/>
    <cellStyle name="40% - Accent2 2 2 2 4" xfId="2333" xr:uid="{5264B091-9241-47BA-81C6-6297B76F77D4}"/>
    <cellStyle name="40% - Accent2 2 2 2 4 2" xfId="4562" xr:uid="{5ADF9462-DD3D-410B-9FCB-74CF52080056}"/>
    <cellStyle name="40% - Accent2 2 2 2 4 2 2" xfId="8780" xr:uid="{C83D125C-DA37-4012-9626-62761C48437A}"/>
    <cellStyle name="40% - Accent2 2 2 2 4 3" xfId="6635" xr:uid="{72C046A1-6348-4C2F-BB9C-0624EF21074E}"/>
    <cellStyle name="40% - Accent2 2 2 2 5" xfId="2746" xr:uid="{89DB89CE-EAF5-4579-98FB-01A7CF6ABBE4}"/>
    <cellStyle name="40% - Accent2 2 2 2 5 2" xfId="4975" xr:uid="{2E2917C4-943B-4FD0-A126-838782D563F3}"/>
    <cellStyle name="40% - Accent2 2 2 2 5 2 2" xfId="9193" xr:uid="{15BD2450-5435-41C0-A774-CF40EA308B9B}"/>
    <cellStyle name="40% - Accent2 2 2 2 5 3" xfId="7048" xr:uid="{2805C642-3B81-4162-9A51-0ADC491DBAF1}"/>
    <cellStyle name="40% - Accent2 2 2 2 6" xfId="3159" xr:uid="{9A46751D-CAF9-4111-8CDF-5130D4653D49}"/>
    <cellStyle name="40% - Accent2 2 2 2 6 2" xfId="7461" xr:uid="{BC157C01-4591-4394-AADE-48CA20F9C72A}"/>
    <cellStyle name="40% - Accent2 2 2 2 7" xfId="5395" xr:uid="{E8C802F0-2A27-4F5D-BC74-A6DF280BDE46}"/>
    <cellStyle name="40% - Accent2 2 2 2 8" xfId="1091" xr:uid="{71D8FDA3-F028-4E92-96B1-E740743235C2}"/>
    <cellStyle name="40% - Accent2 2 2 3" xfId="636" xr:uid="{00000000-0005-0000-0000-000075000000}"/>
    <cellStyle name="40% - Accent2 2 2 3 2" xfId="3735" xr:uid="{48016580-E620-4232-9DA2-8490B8BEF5F1}"/>
    <cellStyle name="40% - Accent2 2 2 3 2 2" xfId="7953" xr:uid="{1DB363EA-744B-4B07-AB11-AD0A92846895}"/>
    <cellStyle name="40% - Accent2 2 2 3 3" xfId="5808" xr:uid="{F12A31F6-C364-4BB9-A7DD-568B2D7B8F3D}"/>
    <cellStyle name="40% - Accent2 2 2 3 4" xfId="1504" xr:uid="{D5851B27-4B81-4A6D-810E-3CA52667838A}"/>
    <cellStyle name="40% - Accent2 2 2 4" xfId="1919" xr:uid="{93977459-914E-4C6B-89F9-93CB7077D36F}"/>
    <cellStyle name="40% - Accent2 2 2 4 2" xfId="4148" xr:uid="{FAFDB4D8-3E30-4893-95D1-97120466CBC2}"/>
    <cellStyle name="40% - Accent2 2 2 4 2 2" xfId="8366" xr:uid="{78F33208-7292-4118-80C8-25B48BB6F2B1}"/>
    <cellStyle name="40% - Accent2 2 2 4 3" xfId="6221" xr:uid="{288F174D-A2B6-4919-B9E5-80A2FF10EB3C}"/>
    <cellStyle name="40% - Accent2 2 2 5" xfId="2332" xr:uid="{885AB8C0-931C-4C5B-85EB-989BC00FBECF}"/>
    <cellStyle name="40% - Accent2 2 2 5 2" xfId="4561" xr:uid="{C8F093E2-F817-4C68-A123-B555F0476C97}"/>
    <cellStyle name="40% - Accent2 2 2 5 2 2" xfId="8779" xr:uid="{6F18B232-7117-4E4B-A39C-AF4E366DF429}"/>
    <cellStyle name="40% - Accent2 2 2 5 3" xfId="6634" xr:uid="{1BF668F7-0589-46FE-BB2B-F579E00DFB05}"/>
    <cellStyle name="40% - Accent2 2 2 6" xfId="2745" xr:uid="{62C3EA93-5D0A-4EC0-9D77-7B66087CCF09}"/>
    <cellStyle name="40% - Accent2 2 2 6 2" xfId="4974" xr:uid="{9AB8FEC3-3D4D-4E91-917A-EB207D6E15CB}"/>
    <cellStyle name="40% - Accent2 2 2 6 2 2" xfId="9192" xr:uid="{9AD95138-64DC-4B0E-9036-0CA7A4F6FAD1}"/>
    <cellStyle name="40% - Accent2 2 2 6 3" xfId="7047" xr:uid="{CC0EE541-0653-4263-B881-D6D0D09F05F1}"/>
    <cellStyle name="40% - Accent2 2 2 7" xfId="3158" xr:uid="{40359909-9544-4515-9622-F8E060AF5B4D}"/>
    <cellStyle name="40% - Accent2 2 2 7 2" xfId="7460" xr:uid="{D9EEAA43-A0DB-4F11-AAB1-2CD0CC19CAF7}"/>
    <cellStyle name="40% - Accent2 2 2 8" xfId="5394" xr:uid="{27C335A9-9614-45E0-9F42-DE126FD3B6B1}"/>
    <cellStyle name="40% - Accent2 2 2 9" xfId="1090" xr:uid="{430BEBAA-D0BC-4EF9-A3FC-456B809ED30C}"/>
    <cellStyle name="40% - Accent2 2 3" xfId="61" xr:uid="{00000000-0005-0000-0000-000076000000}"/>
    <cellStyle name="40% - Accent2 2 3 2" xfId="638" xr:uid="{00000000-0005-0000-0000-000077000000}"/>
    <cellStyle name="40% - Accent2 2 3 2 2" xfId="3737" xr:uid="{85546954-D22E-49C9-A9D0-946A516F0E27}"/>
    <cellStyle name="40% - Accent2 2 3 2 2 2" xfId="7955" xr:uid="{0AD4EC24-EDC2-45AB-8B99-C7C9EEA6F463}"/>
    <cellStyle name="40% - Accent2 2 3 2 3" xfId="5810" xr:uid="{264BE987-B470-4A48-9F02-04811413869F}"/>
    <cellStyle name="40% - Accent2 2 3 2 4" xfId="1506" xr:uid="{71D06B81-AF08-40D7-98A0-DB74E42FFBD2}"/>
    <cellStyle name="40% - Accent2 2 3 3" xfId="1921" xr:uid="{3EB7DCC7-6375-489E-8244-1D41B9389199}"/>
    <cellStyle name="40% - Accent2 2 3 3 2" xfId="4150" xr:uid="{243D86AD-EA2C-468C-AD4D-D9E8266F36EC}"/>
    <cellStyle name="40% - Accent2 2 3 3 2 2" xfId="8368" xr:uid="{31551EB3-4D58-454D-873E-6BD6472B28D2}"/>
    <cellStyle name="40% - Accent2 2 3 3 3" xfId="6223" xr:uid="{6D613B60-55E6-4247-8669-77D27F6EF491}"/>
    <cellStyle name="40% - Accent2 2 3 4" xfId="2334" xr:uid="{47735D01-E6CF-4A76-B99E-7ABF77A39259}"/>
    <cellStyle name="40% - Accent2 2 3 4 2" xfId="4563" xr:uid="{E4B90FEE-AB57-4DFF-92F2-1526613ED7FA}"/>
    <cellStyle name="40% - Accent2 2 3 4 2 2" xfId="8781" xr:uid="{EF37FBCA-EA99-49B2-9757-20FA0E510227}"/>
    <cellStyle name="40% - Accent2 2 3 4 3" xfId="6636" xr:uid="{8D041BC7-AAAC-48F0-88DF-7A3FBBEA7028}"/>
    <cellStyle name="40% - Accent2 2 3 5" xfId="2747" xr:uid="{801C4DD2-63D4-40D9-B618-95304501C0B7}"/>
    <cellStyle name="40% - Accent2 2 3 5 2" xfId="4976" xr:uid="{7AD78F92-261C-467C-B4FB-C79B7C8BCE1E}"/>
    <cellStyle name="40% - Accent2 2 3 5 2 2" xfId="9194" xr:uid="{062C5BFB-2C88-4A01-9E66-23DDFDB085A6}"/>
    <cellStyle name="40% - Accent2 2 3 5 3" xfId="7049" xr:uid="{75432297-045A-48B4-918D-F4AA8CB74E39}"/>
    <cellStyle name="40% - Accent2 2 3 6" xfId="3160" xr:uid="{9C7A25E7-BC6D-44B4-ABEC-34E4A9629964}"/>
    <cellStyle name="40% - Accent2 2 3 6 2" xfId="7462" xr:uid="{AF9206F0-541E-4CB4-A8F0-524C1588EB61}"/>
    <cellStyle name="40% - Accent2 2 3 7" xfId="5396" xr:uid="{B33D2F3B-B167-49A5-8802-7A507217CD74}"/>
    <cellStyle name="40% - Accent2 2 3 8" xfId="1092" xr:uid="{BE9BEBC1-0BC6-4108-A731-01207E151035}"/>
    <cellStyle name="40% - Accent2 2 4" xfId="635" xr:uid="{00000000-0005-0000-0000-000078000000}"/>
    <cellStyle name="40% - Accent2 2 4 2" xfId="3734" xr:uid="{C0FF5D14-2B90-4D57-A311-4C7E40B78204}"/>
    <cellStyle name="40% - Accent2 2 4 2 2" xfId="7952" xr:uid="{0C32B1FB-0588-461B-A75D-5EE4C60E26EA}"/>
    <cellStyle name="40% - Accent2 2 4 3" xfId="5807" xr:uid="{97AA725C-96B7-4163-8C49-04FF783BB76F}"/>
    <cellStyle name="40% - Accent2 2 4 4" xfId="1503" xr:uid="{F7DA3252-F62F-4669-9D76-B266734590C2}"/>
    <cellStyle name="40% - Accent2 2 5" xfId="1918" xr:uid="{10EBFCBA-3AB2-4320-AAF9-EA3667AB9769}"/>
    <cellStyle name="40% - Accent2 2 5 2" xfId="4147" xr:uid="{BA6029FC-554B-487D-825C-B7AD4E8ED018}"/>
    <cellStyle name="40% - Accent2 2 5 2 2" xfId="8365" xr:uid="{57E5238C-4DFA-4B73-B0C8-2292F05D0396}"/>
    <cellStyle name="40% - Accent2 2 5 3" xfId="6220" xr:uid="{B490B8F1-DA19-4C8C-8972-F1B0E30D883F}"/>
    <cellStyle name="40% - Accent2 2 6" xfId="2331" xr:uid="{0404A699-9CB7-48FB-AB1D-5B2477B95D77}"/>
    <cellStyle name="40% - Accent2 2 6 2" xfId="4560" xr:uid="{F2F6A0CA-6214-4F65-85ED-F5C474E276B9}"/>
    <cellStyle name="40% - Accent2 2 6 2 2" xfId="8778" xr:uid="{901DCDCF-1373-4125-9448-2C56777F5527}"/>
    <cellStyle name="40% - Accent2 2 6 3" xfId="6633" xr:uid="{8D5D4BE9-A221-4332-B7D6-2C61D1AD1F31}"/>
    <cellStyle name="40% - Accent2 2 7" xfId="2744" xr:uid="{8AA21467-D243-45F7-8064-9FC4C6306FC1}"/>
    <cellStyle name="40% - Accent2 2 7 2" xfId="4973" xr:uid="{1133C1AB-35D1-484C-B210-D1FE4032FC9E}"/>
    <cellStyle name="40% - Accent2 2 7 2 2" xfId="9191" xr:uid="{94BDCFE3-F303-4102-8F7D-A90150DC495D}"/>
    <cellStyle name="40% - Accent2 2 7 3" xfId="7046" xr:uid="{3A0B5136-899C-469D-9C8E-BDABD7F2DB45}"/>
    <cellStyle name="40% - Accent2 2 8" xfId="3157" xr:uid="{16FDDCB6-8ADA-4E92-80EE-65D177971287}"/>
    <cellStyle name="40% - Accent2 2 8 2" xfId="7459" xr:uid="{322B2511-6587-40B4-891F-29F51AA5AA42}"/>
    <cellStyle name="40% - Accent2 2 9" xfId="5393" xr:uid="{B567CBE1-0F74-42ED-B772-624F1B0D8F71}"/>
    <cellStyle name="40% - Accent2 3" xfId="62" xr:uid="{00000000-0005-0000-0000-000079000000}"/>
    <cellStyle name="40% - Accent2 3 2" xfId="63" xr:uid="{00000000-0005-0000-0000-00007A000000}"/>
    <cellStyle name="40% - Accent2 3 2 2" xfId="640" xr:uid="{00000000-0005-0000-0000-00007B000000}"/>
    <cellStyle name="40% - Accent2 3 2 2 2" xfId="3739" xr:uid="{4F557CFF-5C11-4E48-A503-67F70FDF6566}"/>
    <cellStyle name="40% - Accent2 3 2 2 2 2" xfId="7957" xr:uid="{1246C964-3F58-4230-B6B6-5C7C5567684E}"/>
    <cellStyle name="40% - Accent2 3 2 2 3" xfId="5812" xr:uid="{FD0F2790-9437-4EF8-BA01-7D784F60B668}"/>
    <cellStyle name="40% - Accent2 3 2 2 4" xfId="1508" xr:uid="{10162BC7-54E9-400A-B127-64ADDC67C979}"/>
    <cellStyle name="40% - Accent2 3 2 3" xfId="1923" xr:uid="{A373A1FA-9EE2-4E2F-8920-57BC771407C0}"/>
    <cellStyle name="40% - Accent2 3 2 3 2" xfId="4152" xr:uid="{A46C4D07-3D00-40C8-8B21-46465D7305C7}"/>
    <cellStyle name="40% - Accent2 3 2 3 2 2" xfId="8370" xr:uid="{E6B04BFD-595D-4299-8855-71C3593AD667}"/>
    <cellStyle name="40% - Accent2 3 2 3 3" xfId="6225" xr:uid="{88FD5847-2F1B-4FAD-80BE-ADA1524A0AB7}"/>
    <cellStyle name="40% - Accent2 3 2 4" xfId="2336" xr:uid="{1412531B-A52D-4895-87E7-5EC9458B9795}"/>
    <cellStyle name="40% - Accent2 3 2 4 2" xfId="4565" xr:uid="{F53462D5-56DD-4A77-A7D5-07DE07E07A31}"/>
    <cellStyle name="40% - Accent2 3 2 4 2 2" xfId="8783" xr:uid="{2C96DB82-6DEF-4D8D-AE89-E6E54D0824B6}"/>
    <cellStyle name="40% - Accent2 3 2 4 3" xfId="6638" xr:uid="{313AE0FE-C37C-4584-8C6B-A517AD2BE064}"/>
    <cellStyle name="40% - Accent2 3 2 5" xfId="2749" xr:uid="{63A01C91-AB71-4C9F-9D5F-7DB0EC8DE69F}"/>
    <cellStyle name="40% - Accent2 3 2 5 2" xfId="4978" xr:uid="{6420DACC-AAE7-44C4-81B9-5882832AB158}"/>
    <cellStyle name="40% - Accent2 3 2 5 2 2" xfId="9196" xr:uid="{3E99187C-F44E-4705-8700-55AC783CAB18}"/>
    <cellStyle name="40% - Accent2 3 2 5 3" xfId="7051" xr:uid="{B4C86C64-6854-467F-BA18-BC7B221F6CCE}"/>
    <cellStyle name="40% - Accent2 3 2 6" xfId="3162" xr:uid="{3F5DC0D3-00C9-4C8D-B578-6DEFE3C1962D}"/>
    <cellStyle name="40% - Accent2 3 2 6 2" xfId="7464" xr:uid="{DFEA830B-241F-4B4C-804E-E2FE10E82BBA}"/>
    <cellStyle name="40% - Accent2 3 2 7" xfId="5398" xr:uid="{BB2C79FC-794A-4B68-8EF7-99C502985041}"/>
    <cellStyle name="40% - Accent2 3 2 8" xfId="1094" xr:uid="{7D8B7539-48E4-4079-9430-A9D9D3AB67D3}"/>
    <cellStyle name="40% - Accent2 3 3" xfId="639" xr:uid="{00000000-0005-0000-0000-00007C000000}"/>
    <cellStyle name="40% - Accent2 3 3 2" xfId="3738" xr:uid="{747CB3A6-03AC-4FF4-B770-CEF51E6428DB}"/>
    <cellStyle name="40% - Accent2 3 3 2 2" xfId="7956" xr:uid="{2813B214-1684-458A-9EBC-771AB71FCE63}"/>
    <cellStyle name="40% - Accent2 3 3 3" xfId="5811" xr:uid="{4C521BF2-5E8C-48F9-9C68-E5A3645385E2}"/>
    <cellStyle name="40% - Accent2 3 3 4" xfId="1507" xr:uid="{8933AAAD-ADE7-4153-BC23-DF73160F254E}"/>
    <cellStyle name="40% - Accent2 3 4" xfId="1922" xr:uid="{58E8B9D8-522C-43E6-9C58-7223C27026B7}"/>
    <cellStyle name="40% - Accent2 3 4 2" xfId="4151" xr:uid="{F5AABC3E-0837-451D-85A9-EDE1FA1B8B66}"/>
    <cellStyle name="40% - Accent2 3 4 2 2" xfId="8369" xr:uid="{AF59BB80-0DC5-4721-B12A-59E02AE500D1}"/>
    <cellStyle name="40% - Accent2 3 4 3" xfId="6224" xr:uid="{365A8609-8CD5-441A-9C58-FD5797AD0FF0}"/>
    <cellStyle name="40% - Accent2 3 5" xfId="2335" xr:uid="{CD5576B6-41EA-4CFF-B391-BDBAE5E94FFA}"/>
    <cellStyle name="40% - Accent2 3 5 2" xfId="4564" xr:uid="{6B71965A-CA00-43E6-BB1D-241C5005D53F}"/>
    <cellStyle name="40% - Accent2 3 5 2 2" xfId="8782" xr:uid="{EA244687-B157-4765-BD97-C555BA18E8AA}"/>
    <cellStyle name="40% - Accent2 3 5 3" xfId="6637" xr:uid="{30658E00-00E0-4818-B7A7-E32A725DBCA2}"/>
    <cellStyle name="40% - Accent2 3 6" xfId="2748" xr:uid="{47341419-8416-4DC0-BFFB-3EFC69E5C5AC}"/>
    <cellStyle name="40% - Accent2 3 6 2" xfId="4977" xr:uid="{729A56B7-30FE-44DF-AEC6-8C2B6982D887}"/>
    <cellStyle name="40% - Accent2 3 6 2 2" xfId="9195" xr:uid="{9CB56935-AE2E-4A83-8722-1F065D5FC937}"/>
    <cellStyle name="40% - Accent2 3 6 3" xfId="7050" xr:uid="{8E180A53-71B7-43EE-9A28-CC5125A93B12}"/>
    <cellStyle name="40% - Accent2 3 7" xfId="3161" xr:uid="{3CE7FDB7-7511-4C29-A19A-F7C210BBF072}"/>
    <cellStyle name="40% - Accent2 3 7 2" xfId="7463" xr:uid="{CEF3B908-3DF3-4C20-85C4-E2C114FF9A94}"/>
    <cellStyle name="40% - Accent2 3 8" xfId="5397" xr:uid="{7019F4D9-ABE0-4580-B2FE-08EC5CAA77E6}"/>
    <cellStyle name="40% - Accent2 3 9" xfId="1093" xr:uid="{5CDCBBF7-7A26-45DD-AF10-0E68C0A1DC3C}"/>
    <cellStyle name="40% - Accent2 4" xfId="64" xr:uid="{00000000-0005-0000-0000-00007D000000}"/>
    <cellStyle name="40% - Accent2 4 2" xfId="641" xr:uid="{00000000-0005-0000-0000-00007E000000}"/>
    <cellStyle name="40% - Accent2 4 2 2" xfId="3740" xr:uid="{0BC492F5-A933-4DFA-8FBE-847101FFBF00}"/>
    <cellStyle name="40% - Accent2 4 2 2 2" xfId="7958" xr:uid="{EA931147-DF9B-47E4-BA9E-B6C14A9AA2DA}"/>
    <cellStyle name="40% - Accent2 4 2 3" xfId="5813" xr:uid="{FA9F8F31-CA87-42AD-8178-AF1E2580E550}"/>
    <cellStyle name="40% - Accent2 4 2 4" xfId="1509" xr:uid="{F2FCF199-79DC-4B6C-A480-8EF3BE266A43}"/>
    <cellStyle name="40% - Accent2 4 3" xfId="1924" xr:uid="{E84764C6-D902-4D0B-82DB-7CD7B20D84D5}"/>
    <cellStyle name="40% - Accent2 4 3 2" xfId="4153" xr:uid="{CDE4BDBD-191A-4434-A40A-A6795ADCB98D}"/>
    <cellStyle name="40% - Accent2 4 3 2 2" xfId="8371" xr:uid="{D1DF9397-7604-4195-A366-CDAFE4180517}"/>
    <cellStyle name="40% - Accent2 4 3 3" xfId="6226" xr:uid="{28A80870-D5DC-4249-A28E-BB140BB257EB}"/>
    <cellStyle name="40% - Accent2 4 4" xfId="2337" xr:uid="{FD83663D-7084-437C-8FB8-448253D5971D}"/>
    <cellStyle name="40% - Accent2 4 4 2" xfId="4566" xr:uid="{51BB888C-C344-47A1-BAC8-32A4F12EC511}"/>
    <cellStyle name="40% - Accent2 4 4 2 2" xfId="8784" xr:uid="{91ABA19B-9AAD-4835-B2EF-058501A5A175}"/>
    <cellStyle name="40% - Accent2 4 4 3" xfId="6639" xr:uid="{C424CF33-2317-4902-B366-6DE0DDC46A99}"/>
    <cellStyle name="40% - Accent2 4 5" xfId="2750" xr:uid="{F09567CB-2E61-4681-B840-7CE3CF4A093B}"/>
    <cellStyle name="40% - Accent2 4 5 2" xfId="4979" xr:uid="{161A1EBB-0442-4875-A17E-A7456392CB7E}"/>
    <cellStyle name="40% - Accent2 4 5 2 2" xfId="9197" xr:uid="{6FA059D3-0C39-4AAD-B6F4-F30E209E21E2}"/>
    <cellStyle name="40% - Accent2 4 5 3" xfId="7052" xr:uid="{3834D419-C2E0-4994-BA20-C15D3705D0BE}"/>
    <cellStyle name="40% - Accent2 4 6" xfId="3163" xr:uid="{E45A12E6-7E21-4C6C-9CE4-BA4C92467231}"/>
    <cellStyle name="40% - Accent2 4 6 2" xfId="7465" xr:uid="{5BF6301D-D731-4EC6-A0C4-6E99B0D66938}"/>
    <cellStyle name="40% - Accent2 4 7" xfId="5399" xr:uid="{B64011B7-DC2D-44F8-BCAC-9B4B6459A332}"/>
    <cellStyle name="40% - Accent2 4 8" xfId="1095" xr:uid="{4E7F246F-C865-41E6-A5A6-CD65576729A1}"/>
    <cellStyle name="40% - Accent2 5" xfId="634" xr:uid="{00000000-0005-0000-0000-00007F000000}"/>
    <cellStyle name="40% - Accent2 5 2" xfId="3733" xr:uid="{6CCD05F6-BF98-41EC-BA3C-3B4441069826}"/>
    <cellStyle name="40% - Accent2 5 2 2" xfId="7951" xr:uid="{34345000-5B11-4695-AF3D-E756C1B6059C}"/>
    <cellStyle name="40% - Accent2 5 3" xfId="5806" xr:uid="{C5C37F2E-F919-4901-A508-F348FBAFD3EC}"/>
    <cellStyle name="40% - Accent2 5 4" xfId="1502" xr:uid="{DEE39EF9-30F3-4763-8C97-60A93BE9A55E}"/>
    <cellStyle name="40% - Accent2 6" xfId="1917" xr:uid="{77456D7C-ACE6-4E97-84BE-5F62473B6F8D}"/>
    <cellStyle name="40% - Accent2 6 2" xfId="4146" xr:uid="{82252F74-1305-40D9-A842-D2F1B0E83B51}"/>
    <cellStyle name="40% - Accent2 6 2 2" xfId="8364" xr:uid="{174D4D10-B7EB-4305-AE1D-E3F6073BD7F1}"/>
    <cellStyle name="40% - Accent2 6 3" xfId="6219" xr:uid="{DA0E8468-6816-4D03-882F-A76C1DEA358F}"/>
    <cellStyle name="40% - Accent2 7" xfId="2330" xr:uid="{38EC46BD-6309-45FE-B7EB-A47484EDC9D9}"/>
    <cellStyle name="40% - Accent2 7 2" xfId="4559" xr:uid="{E97F6DA9-02BC-4BE1-83E6-C50AA6729A75}"/>
    <cellStyle name="40% - Accent2 7 2 2" xfId="8777" xr:uid="{EC833523-49D0-41CE-984B-B83EBD485EFB}"/>
    <cellStyle name="40% - Accent2 7 3" xfId="6632" xr:uid="{66C2D11E-2F84-499D-BD13-F05512D4EECC}"/>
    <cellStyle name="40% - Accent2 8" xfId="2743" xr:uid="{A91DCA2E-363A-48D3-9380-8F176724800E}"/>
    <cellStyle name="40% - Accent2 8 2" xfId="4972" xr:uid="{FF05B879-49AC-4069-A553-2EA643FEDEEE}"/>
    <cellStyle name="40% - Accent2 8 2 2" xfId="9190" xr:uid="{74505A8D-F802-463D-B12B-B17A595073A6}"/>
    <cellStyle name="40% - Accent2 8 3" xfId="7045" xr:uid="{B85732F6-2BCB-4041-84BC-9383D14D913A}"/>
    <cellStyle name="40% - Accent2 9" xfId="3156" xr:uid="{CECAA87A-EF13-4443-B228-2B62BA1CCE86}"/>
    <cellStyle name="40% - Accent2 9 2" xfId="7458" xr:uid="{AC301868-550C-4064-B3AE-A8D9BDF59D31}"/>
    <cellStyle name="40% - Accent3" xfId="65" builtinId="39" customBuiltin="1"/>
    <cellStyle name="40% - Accent3 10" xfId="5400" xr:uid="{D8362494-C4EE-4141-8877-864E8B720445}"/>
    <cellStyle name="40% - Accent3 11" xfId="1096" xr:uid="{EE669EF1-8E7F-4633-95CB-C20BB703CF43}"/>
    <cellStyle name="40% - Accent3 2" xfId="66" xr:uid="{00000000-0005-0000-0000-000081000000}"/>
    <cellStyle name="40% - Accent3 2 10" xfId="1097" xr:uid="{816E17F1-5CF0-4D11-941A-E130138C5652}"/>
    <cellStyle name="40% - Accent3 2 2" xfId="67" xr:uid="{00000000-0005-0000-0000-000082000000}"/>
    <cellStyle name="40% - Accent3 2 2 2" xfId="68" xr:uid="{00000000-0005-0000-0000-000083000000}"/>
    <cellStyle name="40% - Accent3 2 2 2 2" xfId="645" xr:uid="{00000000-0005-0000-0000-000084000000}"/>
    <cellStyle name="40% - Accent3 2 2 2 2 2" xfId="3744" xr:uid="{02695104-E9EE-4554-BB29-0568876181F1}"/>
    <cellStyle name="40% - Accent3 2 2 2 2 2 2" xfId="7962" xr:uid="{4C26BE9E-5143-44C8-81B7-40DF94FEAB1A}"/>
    <cellStyle name="40% - Accent3 2 2 2 2 3" xfId="5817" xr:uid="{154472CC-3009-4CF5-BFC8-97CA1B295D37}"/>
    <cellStyle name="40% - Accent3 2 2 2 2 4" xfId="1513" xr:uid="{9B714B1B-DD48-4EEC-BB46-2E0F38C8F5F8}"/>
    <cellStyle name="40% - Accent3 2 2 2 3" xfId="1928" xr:uid="{F4F3B997-5FBF-4420-8A0F-5BE11297F828}"/>
    <cellStyle name="40% - Accent3 2 2 2 3 2" xfId="4157" xr:uid="{73385BE7-B991-4B4D-9FEF-9198C42DE680}"/>
    <cellStyle name="40% - Accent3 2 2 2 3 2 2" xfId="8375" xr:uid="{8D01B1D8-EECE-4DD4-AF3A-FBF8EB0EE1AA}"/>
    <cellStyle name="40% - Accent3 2 2 2 3 3" xfId="6230" xr:uid="{108B4960-4746-4E56-89BF-B12B3F8D4255}"/>
    <cellStyle name="40% - Accent3 2 2 2 4" xfId="2341" xr:uid="{376C4332-C22D-454F-8E4E-F9DA8FBD1F0F}"/>
    <cellStyle name="40% - Accent3 2 2 2 4 2" xfId="4570" xr:uid="{265B611A-31EF-46F7-9E4A-F97C5D233190}"/>
    <cellStyle name="40% - Accent3 2 2 2 4 2 2" xfId="8788" xr:uid="{2FF4621D-569D-4DA8-8579-72BEA36BB6D3}"/>
    <cellStyle name="40% - Accent3 2 2 2 4 3" xfId="6643" xr:uid="{158E19A7-62D0-464C-9670-EB65578B3071}"/>
    <cellStyle name="40% - Accent3 2 2 2 5" xfId="2754" xr:uid="{5ED72C29-03B3-4699-B5CA-583030E39EA5}"/>
    <cellStyle name="40% - Accent3 2 2 2 5 2" xfId="4983" xr:uid="{BBC4A98E-5516-469A-A1F5-99A7862DEBA5}"/>
    <cellStyle name="40% - Accent3 2 2 2 5 2 2" xfId="9201" xr:uid="{F5D523D3-41AB-4BAE-A4E1-0D273F6EC77B}"/>
    <cellStyle name="40% - Accent3 2 2 2 5 3" xfId="7056" xr:uid="{FAC4EE30-3BB1-4382-90BA-38423EBF8B86}"/>
    <cellStyle name="40% - Accent3 2 2 2 6" xfId="3167" xr:uid="{26E1008D-D8F0-410A-87E9-2ECF1B3AF92B}"/>
    <cellStyle name="40% - Accent3 2 2 2 6 2" xfId="7469" xr:uid="{95F11B1E-6294-4D72-98E2-F8B38A16D52A}"/>
    <cellStyle name="40% - Accent3 2 2 2 7" xfId="5403" xr:uid="{B71A3643-06B9-43AB-8ECE-CDDEDD437F74}"/>
    <cellStyle name="40% - Accent3 2 2 2 8" xfId="1099" xr:uid="{EA0646D5-6895-4E7C-8228-D510BFB3098F}"/>
    <cellStyle name="40% - Accent3 2 2 3" xfId="644" xr:uid="{00000000-0005-0000-0000-000085000000}"/>
    <cellStyle name="40% - Accent3 2 2 3 2" xfId="3743" xr:uid="{A80368C4-402D-484F-B937-A95061A76388}"/>
    <cellStyle name="40% - Accent3 2 2 3 2 2" xfId="7961" xr:uid="{BC9C591B-7A80-47DD-AF5C-4D582E720152}"/>
    <cellStyle name="40% - Accent3 2 2 3 3" xfId="5816" xr:uid="{829E9055-CD2A-46FA-87F1-D925B275E42C}"/>
    <cellStyle name="40% - Accent3 2 2 3 4" xfId="1512" xr:uid="{1DF65562-9E74-444B-AA48-BF4446495EF1}"/>
    <cellStyle name="40% - Accent3 2 2 4" xfId="1927" xr:uid="{C6A5B390-890B-4AE1-A9A8-62BC709217A5}"/>
    <cellStyle name="40% - Accent3 2 2 4 2" xfId="4156" xr:uid="{228FD077-B403-435A-84BC-4B3B91618A24}"/>
    <cellStyle name="40% - Accent3 2 2 4 2 2" xfId="8374" xr:uid="{7BAEDD46-D3B1-4B9F-8C27-D4ACE69B0E4A}"/>
    <cellStyle name="40% - Accent3 2 2 4 3" xfId="6229" xr:uid="{09710400-9C06-48EA-8B34-E745BD6EB5A8}"/>
    <cellStyle name="40% - Accent3 2 2 5" xfId="2340" xr:uid="{4617C4A6-D0E7-4298-AE52-DB16F6742E33}"/>
    <cellStyle name="40% - Accent3 2 2 5 2" xfId="4569" xr:uid="{F4824BF0-1583-45A1-BEC4-65686D9F684A}"/>
    <cellStyle name="40% - Accent3 2 2 5 2 2" xfId="8787" xr:uid="{1535549B-801D-43D7-8541-E1B7626A8995}"/>
    <cellStyle name="40% - Accent3 2 2 5 3" xfId="6642" xr:uid="{F9F9F26B-FF1E-4242-8F63-0096FEABCE9D}"/>
    <cellStyle name="40% - Accent3 2 2 6" xfId="2753" xr:uid="{8C441511-AE42-43DB-92B4-B7A5395397F7}"/>
    <cellStyle name="40% - Accent3 2 2 6 2" xfId="4982" xr:uid="{50B1277A-F2E0-47EB-AA32-63A8A8A8AA1B}"/>
    <cellStyle name="40% - Accent3 2 2 6 2 2" xfId="9200" xr:uid="{2E6AF087-927A-4EAB-9429-250E2729E0E6}"/>
    <cellStyle name="40% - Accent3 2 2 6 3" xfId="7055" xr:uid="{F512D7ED-AB59-473E-859A-6D140DB3672E}"/>
    <cellStyle name="40% - Accent3 2 2 7" xfId="3166" xr:uid="{16C70B59-E6E2-4CAD-AEF0-C03B7A4EE0C4}"/>
    <cellStyle name="40% - Accent3 2 2 7 2" xfId="7468" xr:uid="{61D49EAB-4FFE-418A-B387-BA70A55D1124}"/>
    <cellStyle name="40% - Accent3 2 2 8" xfId="5402" xr:uid="{2C76D628-E45B-49B2-B6D7-36F33F74D24B}"/>
    <cellStyle name="40% - Accent3 2 2 9" xfId="1098" xr:uid="{DFADB67E-3BA9-45A4-BE45-7E0549C37D1D}"/>
    <cellStyle name="40% - Accent3 2 3" xfId="69" xr:uid="{00000000-0005-0000-0000-000086000000}"/>
    <cellStyle name="40% - Accent3 2 3 2" xfId="646" xr:uid="{00000000-0005-0000-0000-000087000000}"/>
    <cellStyle name="40% - Accent3 2 3 2 2" xfId="3745" xr:uid="{2D5C162B-A765-4A08-86E6-194779F32606}"/>
    <cellStyle name="40% - Accent3 2 3 2 2 2" xfId="7963" xr:uid="{57E60CFE-92D4-4DB9-9804-15BDC5088992}"/>
    <cellStyle name="40% - Accent3 2 3 2 3" xfId="5818" xr:uid="{C032DB2D-C013-4809-8781-3F4F78FF3EAE}"/>
    <cellStyle name="40% - Accent3 2 3 2 4" xfId="1514" xr:uid="{89EBC2F1-A8E1-41A6-A88D-38487D6E4247}"/>
    <cellStyle name="40% - Accent3 2 3 3" xfId="1929" xr:uid="{62E8743F-0DD2-4140-8366-C1F2180A8759}"/>
    <cellStyle name="40% - Accent3 2 3 3 2" xfId="4158" xr:uid="{35744618-4832-4DB8-AAC0-029664DDDC5C}"/>
    <cellStyle name="40% - Accent3 2 3 3 2 2" xfId="8376" xr:uid="{87DCDEA1-595F-4078-B7F6-694D283A32EF}"/>
    <cellStyle name="40% - Accent3 2 3 3 3" xfId="6231" xr:uid="{7EC927C9-9936-4275-9204-6A07E370379F}"/>
    <cellStyle name="40% - Accent3 2 3 4" xfId="2342" xr:uid="{AE78B7EC-A446-4C27-8955-887582B02ADC}"/>
    <cellStyle name="40% - Accent3 2 3 4 2" xfId="4571" xr:uid="{8B793F0B-919E-4D23-B541-D38A3DEE4E22}"/>
    <cellStyle name="40% - Accent3 2 3 4 2 2" xfId="8789" xr:uid="{80996A16-5FB7-4768-9985-0C0BDAE1DF75}"/>
    <cellStyle name="40% - Accent3 2 3 4 3" xfId="6644" xr:uid="{8F6CEE26-F1F7-4DBB-9391-F6EB1AEBE460}"/>
    <cellStyle name="40% - Accent3 2 3 5" xfId="2755" xr:uid="{A59F780F-80B3-4361-AA26-613C4703E3F4}"/>
    <cellStyle name="40% - Accent3 2 3 5 2" xfId="4984" xr:uid="{38B4FCBD-2B37-45AC-BF96-3EE8574005AF}"/>
    <cellStyle name="40% - Accent3 2 3 5 2 2" xfId="9202" xr:uid="{22EE2DF0-3950-4C89-90A8-B077E711D9C2}"/>
    <cellStyle name="40% - Accent3 2 3 5 3" xfId="7057" xr:uid="{4A4E1EB9-2F54-4CDC-B787-DEAE2CAFB210}"/>
    <cellStyle name="40% - Accent3 2 3 6" xfId="3168" xr:uid="{B5C3A993-6D33-4EFD-8202-275121843086}"/>
    <cellStyle name="40% - Accent3 2 3 6 2" xfId="7470" xr:uid="{F56903A8-861C-47D8-AF42-43F1BC1E93C3}"/>
    <cellStyle name="40% - Accent3 2 3 7" xfId="5404" xr:uid="{12F16CE2-0A36-4C61-9288-EDF7841EA3E4}"/>
    <cellStyle name="40% - Accent3 2 3 8" xfId="1100" xr:uid="{BD0F2C67-410A-479D-A542-BE749A36FCFB}"/>
    <cellStyle name="40% - Accent3 2 4" xfId="643" xr:uid="{00000000-0005-0000-0000-000088000000}"/>
    <cellStyle name="40% - Accent3 2 4 2" xfId="3742" xr:uid="{E57BF84F-79A2-4499-847E-79B4D2267EEF}"/>
    <cellStyle name="40% - Accent3 2 4 2 2" xfId="7960" xr:uid="{CCE1AD73-A75A-4844-83BE-5748F7E3B4AC}"/>
    <cellStyle name="40% - Accent3 2 4 3" xfId="5815" xr:uid="{4258896F-0D28-4EA4-8E93-2F94DE8BA6E7}"/>
    <cellStyle name="40% - Accent3 2 4 4" xfId="1511" xr:uid="{3E94AD50-C83D-4368-987B-4DA4A146C35A}"/>
    <cellStyle name="40% - Accent3 2 5" xfId="1926" xr:uid="{5A73AA50-31AD-4D72-8EDC-0B54D97C4954}"/>
    <cellStyle name="40% - Accent3 2 5 2" xfId="4155" xr:uid="{BF618842-BB22-40FB-BAFB-AB19B38F718D}"/>
    <cellStyle name="40% - Accent3 2 5 2 2" xfId="8373" xr:uid="{C9623059-E9FB-4C42-BEFA-696E22873404}"/>
    <cellStyle name="40% - Accent3 2 5 3" xfId="6228" xr:uid="{F00353F2-ECD7-45D0-A12B-71795AD89F0A}"/>
    <cellStyle name="40% - Accent3 2 6" xfId="2339" xr:uid="{20139B54-029D-4752-B08F-26375F6E6CB3}"/>
    <cellStyle name="40% - Accent3 2 6 2" xfId="4568" xr:uid="{A1B4FF5E-922D-42E1-8E1A-06343D200AD6}"/>
    <cellStyle name="40% - Accent3 2 6 2 2" xfId="8786" xr:uid="{E7B741F5-DAEE-49BE-9F8C-A2B0FDE208C9}"/>
    <cellStyle name="40% - Accent3 2 6 3" xfId="6641" xr:uid="{A7755BE6-8490-4CF7-8EB3-7D77AE5749D4}"/>
    <cellStyle name="40% - Accent3 2 7" xfId="2752" xr:uid="{960877F1-728B-4A89-B648-B868CCCE02D5}"/>
    <cellStyle name="40% - Accent3 2 7 2" xfId="4981" xr:uid="{DE5981D4-6717-460A-8E92-2D26A44ADC30}"/>
    <cellStyle name="40% - Accent3 2 7 2 2" xfId="9199" xr:uid="{9D2331C1-3D0B-4AD4-80B6-4F4946CCD5BA}"/>
    <cellStyle name="40% - Accent3 2 7 3" xfId="7054" xr:uid="{3F4A5DC9-F692-449F-9E49-E032A77522AF}"/>
    <cellStyle name="40% - Accent3 2 8" xfId="3165" xr:uid="{F2A96358-2252-434A-A349-9C86B1E66582}"/>
    <cellStyle name="40% - Accent3 2 8 2" xfId="7467" xr:uid="{4073530B-CEDE-4FF9-9228-690899C0C8BB}"/>
    <cellStyle name="40% - Accent3 2 9" xfId="5401" xr:uid="{4CBF9D91-6A01-4A35-8BED-2A31C888C82F}"/>
    <cellStyle name="40% - Accent3 3" xfId="70" xr:uid="{00000000-0005-0000-0000-000089000000}"/>
    <cellStyle name="40% - Accent3 3 2" xfId="71" xr:uid="{00000000-0005-0000-0000-00008A000000}"/>
    <cellStyle name="40% - Accent3 3 2 2" xfId="648" xr:uid="{00000000-0005-0000-0000-00008B000000}"/>
    <cellStyle name="40% - Accent3 3 2 2 2" xfId="3747" xr:uid="{42118175-BE32-43F9-B7E5-E82D0DB56917}"/>
    <cellStyle name="40% - Accent3 3 2 2 2 2" xfId="7965" xr:uid="{0A4CCC5F-C9B8-49FB-A07F-06E7D52C416A}"/>
    <cellStyle name="40% - Accent3 3 2 2 3" xfId="5820" xr:uid="{032862F5-A9A7-4FBD-9299-2400D0CA00ED}"/>
    <cellStyle name="40% - Accent3 3 2 2 4" xfId="1516" xr:uid="{93EC8F65-AA71-4A85-B9B9-11C06BAC21B2}"/>
    <cellStyle name="40% - Accent3 3 2 3" xfId="1931" xr:uid="{B78589D3-DD6B-475B-95E0-88E846152D45}"/>
    <cellStyle name="40% - Accent3 3 2 3 2" xfId="4160" xr:uid="{B399E830-D4E2-40FD-9535-ABCD480E75D1}"/>
    <cellStyle name="40% - Accent3 3 2 3 2 2" xfId="8378" xr:uid="{03932F60-6CDC-4D41-B374-6FDFA960DB57}"/>
    <cellStyle name="40% - Accent3 3 2 3 3" xfId="6233" xr:uid="{91E0A827-7858-4A5E-B6E6-E124CA3321D8}"/>
    <cellStyle name="40% - Accent3 3 2 4" xfId="2344" xr:uid="{1587B159-BCFF-4D51-B861-FBA4C4F80A25}"/>
    <cellStyle name="40% - Accent3 3 2 4 2" xfId="4573" xr:uid="{BC81041A-DF61-447A-96F5-411A09A89E48}"/>
    <cellStyle name="40% - Accent3 3 2 4 2 2" xfId="8791" xr:uid="{353F0E5F-BFED-4ADE-BF2F-B54D4001AEF9}"/>
    <cellStyle name="40% - Accent3 3 2 4 3" xfId="6646" xr:uid="{B44706D8-DFDE-4D58-8446-530112E7C9AB}"/>
    <cellStyle name="40% - Accent3 3 2 5" xfId="2757" xr:uid="{411764C8-9BBC-4334-97D7-84809017076D}"/>
    <cellStyle name="40% - Accent3 3 2 5 2" xfId="4986" xr:uid="{6DFC3480-91DF-4051-BBF7-77597B2650F0}"/>
    <cellStyle name="40% - Accent3 3 2 5 2 2" xfId="9204" xr:uid="{85A4DFD5-021F-4ACB-8AFE-6098FAD04C20}"/>
    <cellStyle name="40% - Accent3 3 2 5 3" xfId="7059" xr:uid="{6F0D8653-7AA8-4FFD-BA4E-DE2CF3066D72}"/>
    <cellStyle name="40% - Accent3 3 2 6" xfId="3170" xr:uid="{132782B3-6B44-407D-A399-C097A9B61776}"/>
    <cellStyle name="40% - Accent3 3 2 6 2" xfId="7472" xr:uid="{011E7633-F84A-4ADF-825B-E19A39ADDE84}"/>
    <cellStyle name="40% - Accent3 3 2 7" xfId="5406" xr:uid="{4E2D6CEF-41E3-43ED-BB17-D418D2724832}"/>
    <cellStyle name="40% - Accent3 3 2 8" xfId="1102" xr:uid="{4E79B7A0-3CD8-42E5-A2E0-84910A187A20}"/>
    <cellStyle name="40% - Accent3 3 3" xfId="647" xr:uid="{00000000-0005-0000-0000-00008C000000}"/>
    <cellStyle name="40% - Accent3 3 3 2" xfId="3746" xr:uid="{0D05CBA8-9793-4A42-8507-8D6B63E60BE8}"/>
    <cellStyle name="40% - Accent3 3 3 2 2" xfId="7964" xr:uid="{28D42D36-57C9-4668-8075-A394677B1A61}"/>
    <cellStyle name="40% - Accent3 3 3 3" xfId="5819" xr:uid="{7641C5BB-D9C1-4943-8009-5C1DB45EF09B}"/>
    <cellStyle name="40% - Accent3 3 3 4" xfId="1515" xr:uid="{F03E1605-4DC4-4199-9386-49684B99E37C}"/>
    <cellStyle name="40% - Accent3 3 4" xfId="1930" xr:uid="{D09C8343-63E5-4A8D-8800-9DA9394E76A2}"/>
    <cellStyle name="40% - Accent3 3 4 2" xfId="4159" xr:uid="{16A59EBA-2489-461C-B626-AC680197089E}"/>
    <cellStyle name="40% - Accent3 3 4 2 2" xfId="8377" xr:uid="{96B9C0E6-6EA5-415B-9385-962955B7074A}"/>
    <cellStyle name="40% - Accent3 3 4 3" xfId="6232" xr:uid="{EB114701-7DFE-467E-909D-D7910E0E00AE}"/>
    <cellStyle name="40% - Accent3 3 5" xfId="2343" xr:uid="{9D5E8C7C-DD04-4836-9B3D-C1B75445DC52}"/>
    <cellStyle name="40% - Accent3 3 5 2" xfId="4572" xr:uid="{5EAD11B3-8C60-477F-A7AE-66C45304AF0B}"/>
    <cellStyle name="40% - Accent3 3 5 2 2" xfId="8790" xr:uid="{C46EBABA-FC48-4BBE-9792-AE05BB52BE8C}"/>
    <cellStyle name="40% - Accent3 3 5 3" xfId="6645" xr:uid="{0FECF995-57A5-465C-85D0-B37D98D4E784}"/>
    <cellStyle name="40% - Accent3 3 6" xfId="2756" xr:uid="{8B6DFE28-9734-4C16-A229-0F02250E4AC2}"/>
    <cellStyle name="40% - Accent3 3 6 2" xfId="4985" xr:uid="{6FA43BC6-9732-4DFC-9847-918F7C5E1627}"/>
    <cellStyle name="40% - Accent3 3 6 2 2" xfId="9203" xr:uid="{97098AFC-94CE-40D5-AD20-06F6CCE513B8}"/>
    <cellStyle name="40% - Accent3 3 6 3" xfId="7058" xr:uid="{24739E28-1C3A-47D0-90DD-AE595AAD0577}"/>
    <cellStyle name="40% - Accent3 3 7" xfId="3169" xr:uid="{C48A1455-E915-4E93-945F-334922DDDBD5}"/>
    <cellStyle name="40% - Accent3 3 7 2" xfId="7471" xr:uid="{63D65635-871A-4BFB-B147-49B230EF3389}"/>
    <cellStyle name="40% - Accent3 3 8" xfId="5405" xr:uid="{87E49EEB-5426-4455-B885-F49001A1A18D}"/>
    <cellStyle name="40% - Accent3 3 9" xfId="1101" xr:uid="{42C6F145-89B4-4D26-B6F2-F5BFCE413603}"/>
    <cellStyle name="40% - Accent3 4" xfId="72" xr:uid="{00000000-0005-0000-0000-00008D000000}"/>
    <cellStyle name="40% - Accent3 4 2" xfId="649" xr:uid="{00000000-0005-0000-0000-00008E000000}"/>
    <cellStyle name="40% - Accent3 4 2 2" xfId="3748" xr:uid="{B1390242-1F53-4C23-B1CF-FC695AF3BCF8}"/>
    <cellStyle name="40% - Accent3 4 2 2 2" xfId="7966" xr:uid="{9E049167-8B78-46F5-B133-B6E6BE58F5D4}"/>
    <cellStyle name="40% - Accent3 4 2 3" xfId="5821" xr:uid="{0BA5561E-E8C6-447B-86F2-F154C7FECDD0}"/>
    <cellStyle name="40% - Accent3 4 2 4" xfId="1517" xr:uid="{737FB6F7-BA5E-426F-A190-6B69F759420D}"/>
    <cellStyle name="40% - Accent3 4 3" xfId="1932" xr:uid="{85E41204-1F03-455E-98AD-AF32DC6B15B7}"/>
    <cellStyle name="40% - Accent3 4 3 2" xfId="4161" xr:uid="{B044EA43-FBD2-4ADC-BE97-2675FDB1EEBF}"/>
    <cellStyle name="40% - Accent3 4 3 2 2" xfId="8379" xr:uid="{645F604B-E7EA-43EA-B679-28DFB5E99786}"/>
    <cellStyle name="40% - Accent3 4 3 3" xfId="6234" xr:uid="{0ADF950A-4583-4B50-8B06-1F99649E0660}"/>
    <cellStyle name="40% - Accent3 4 4" xfId="2345" xr:uid="{9433A8C7-ADFC-48DA-B492-73409CCAF5F3}"/>
    <cellStyle name="40% - Accent3 4 4 2" xfId="4574" xr:uid="{10DBB925-43B8-4207-AC03-D29A78C8A2BC}"/>
    <cellStyle name="40% - Accent3 4 4 2 2" xfId="8792" xr:uid="{3A25B44C-F1E6-4403-BBA1-DCE4B031879A}"/>
    <cellStyle name="40% - Accent3 4 4 3" xfId="6647" xr:uid="{C36FB5E0-5C4F-4064-A5A3-562DF46C87DA}"/>
    <cellStyle name="40% - Accent3 4 5" xfId="2758" xr:uid="{52CDC19B-0207-4713-AB74-BFB438B7B590}"/>
    <cellStyle name="40% - Accent3 4 5 2" xfId="4987" xr:uid="{1444FCD7-DF04-4554-A5F0-2C9CC48E9890}"/>
    <cellStyle name="40% - Accent3 4 5 2 2" xfId="9205" xr:uid="{E5CFB944-C250-48B8-A87A-DA7FF61BE122}"/>
    <cellStyle name="40% - Accent3 4 5 3" xfId="7060" xr:uid="{C011BC15-8F9E-40A3-93D5-C4D90D89FE79}"/>
    <cellStyle name="40% - Accent3 4 6" xfId="3171" xr:uid="{55AC35AD-7082-4140-82F3-81323FAF941E}"/>
    <cellStyle name="40% - Accent3 4 6 2" xfId="7473" xr:uid="{82F429E6-2705-4ED2-969B-30734743F3D5}"/>
    <cellStyle name="40% - Accent3 4 7" xfId="5407" xr:uid="{803BFDD9-A64D-4AEE-99CA-7AA1B0F5D220}"/>
    <cellStyle name="40% - Accent3 4 8" xfId="1103" xr:uid="{8C0F93ED-0F4E-46E7-A0D0-F0332C32D8A1}"/>
    <cellStyle name="40% - Accent3 5" xfId="642" xr:uid="{00000000-0005-0000-0000-00008F000000}"/>
    <cellStyle name="40% - Accent3 5 2" xfId="3741" xr:uid="{D3601FF4-37A0-4AB9-A277-7981C3310D79}"/>
    <cellStyle name="40% - Accent3 5 2 2" xfId="7959" xr:uid="{7ED97B5A-758F-44DB-953D-6EAB59B0286C}"/>
    <cellStyle name="40% - Accent3 5 3" xfId="5814" xr:uid="{FAF11C02-0C59-4C6D-99FE-A9AAFEF1C2D2}"/>
    <cellStyle name="40% - Accent3 5 4" xfId="1510" xr:uid="{0F6DB5DF-A7E0-4971-89F6-FF64AFDF0240}"/>
    <cellStyle name="40% - Accent3 6" xfId="1925" xr:uid="{E7395E38-240B-4F8B-9EC3-929B46BADB46}"/>
    <cellStyle name="40% - Accent3 6 2" xfId="4154" xr:uid="{E057E02A-23BC-4FDC-A2C7-91EB6D432DBD}"/>
    <cellStyle name="40% - Accent3 6 2 2" xfId="8372" xr:uid="{52DD172C-5A56-4910-8CD1-6479C90D2FD9}"/>
    <cellStyle name="40% - Accent3 6 3" xfId="6227" xr:uid="{0E5E4724-6AB8-4548-B5E0-F3364D413DE0}"/>
    <cellStyle name="40% - Accent3 7" xfId="2338" xr:uid="{9C1AF8CB-3A0E-49A4-85C5-D0C82C66C294}"/>
    <cellStyle name="40% - Accent3 7 2" xfId="4567" xr:uid="{097FD2BB-8C55-4F4D-AB9B-37B0FCC2253A}"/>
    <cellStyle name="40% - Accent3 7 2 2" xfId="8785" xr:uid="{C9133382-63F9-4E05-B2F4-9E72FED521FC}"/>
    <cellStyle name="40% - Accent3 7 3" xfId="6640" xr:uid="{85740CE8-2827-45CE-83EB-49EE6FC7E845}"/>
    <cellStyle name="40% - Accent3 8" xfId="2751" xr:uid="{4CAA2C2E-0FE3-486F-9FDC-EB1C38B9264C}"/>
    <cellStyle name="40% - Accent3 8 2" xfId="4980" xr:uid="{45A3D34F-E11C-46DF-B694-02FB6A7FA8C5}"/>
    <cellStyle name="40% - Accent3 8 2 2" xfId="9198" xr:uid="{F229B951-57B4-4FFD-B8CB-6C570180670E}"/>
    <cellStyle name="40% - Accent3 8 3" xfId="7053" xr:uid="{BECE1F50-659D-458B-B69F-F8C8669A9C8A}"/>
    <cellStyle name="40% - Accent3 9" xfId="3164" xr:uid="{9121544B-9311-4BC5-A091-1A9FC27D5B5F}"/>
    <cellStyle name="40% - Accent3 9 2" xfId="7466" xr:uid="{D815BAFD-B24D-4C10-A8D2-0F32DC602950}"/>
    <cellStyle name="40% - Accent4" xfId="73" builtinId="43" customBuiltin="1"/>
    <cellStyle name="40% - Accent4 10" xfId="5408" xr:uid="{2315B59D-BADA-40D3-9CDE-2B17CB835060}"/>
    <cellStyle name="40% - Accent4 11" xfId="1104" xr:uid="{8CF3E938-C712-463D-BB18-554D0495D41E}"/>
    <cellStyle name="40% - Accent4 2" xfId="74" xr:uid="{00000000-0005-0000-0000-000091000000}"/>
    <cellStyle name="40% - Accent4 2 10" xfId="1105" xr:uid="{4E54A16E-4FE0-420B-9C37-6FFB39FC8C17}"/>
    <cellStyle name="40% - Accent4 2 2" xfId="75" xr:uid="{00000000-0005-0000-0000-000092000000}"/>
    <cellStyle name="40% - Accent4 2 2 2" xfId="76" xr:uid="{00000000-0005-0000-0000-000093000000}"/>
    <cellStyle name="40% - Accent4 2 2 2 2" xfId="653" xr:uid="{00000000-0005-0000-0000-000094000000}"/>
    <cellStyle name="40% - Accent4 2 2 2 2 2" xfId="3752" xr:uid="{D2F7B615-ED39-4416-970C-080E9E5412D2}"/>
    <cellStyle name="40% - Accent4 2 2 2 2 2 2" xfId="7970" xr:uid="{B474EDE4-4E44-4250-B2CE-A25B88385AEF}"/>
    <cellStyle name="40% - Accent4 2 2 2 2 3" xfId="5825" xr:uid="{8E64AA33-E2DE-4DFE-9661-9EBBB5FB191F}"/>
    <cellStyle name="40% - Accent4 2 2 2 2 4" xfId="1521" xr:uid="{9D07694C-8A08-4E9B-BDA6-2820990C891B}"/>
    <cellStyle name="40% - Accent4 2 2 2 3" xfId="1936" xr:uid="{F0F367C7-B7EA-421B-B4B0-76FDB2B000D2}"/>
    <cellStyle name="40% - Accent4 2 2 2 3 2" xfId="4165" xr:uid="{B0CCF38A-E1FE-4A37-81B0-458986547795}"/>
    <cellStyle name="40% - Accent4 2 2 2 3 2 2" xfId="8383" xr:uid="{F7286C80-5774-4611-A552-DB37348F3676}"/>
    <cellStyle name="40% - Accent4 2 2 2 3 3" xfId="6238" xr:uid="{4ECB7F5B-AE8D-48B6-A2CC-75932DC82023}"/>
    <cellStyle name="40% - Accent4 2 2 2 4" xfId="2349" xr:uid="{B6BCB2CF-9C62-4FC2-A81E-F1F47297912B}"/>
    <cellStyle name="40% - Accent4 2 2 2 4 2" xfId="4578" xr:uid="{99F48EBD-CAF8-4574-976F-0C678FF8BFC7}"/>
    <cellStyle name="40% - Accent4 2 2 2 4 2 2" xfId="8796" xr:uid="{A71393D6-18F0-4531-A857-F4E2AB0AA6E1}"/>
    <cellStyle name="40% - Accent4 2 2 2 4 3" xfId="6651" xr:uid="{22FEB625-E486-4083-927B-71E82765B9AB}"/>
    <cellStyle name="40% - Accent4 2 2 2 5" xfId="2762" xr:uid="{F1246394-F6BA-41E5-B65F-B9151FCA1E46}"/>
    <cellStyle name="40% - Accent4 2 2 2 5 2" xfId="4991" xr:uid="{6BAD71DC-B633-4A01-8D42-AAF5AB7C2D2B}"/>
    <cellStyle name="40% - Accent4 2 2 2 5 2 2" xfId="9209" xr:uid="{DB7A995B-B63A-4D02-A06A-148FD45DD830}"/>
    <cellStyle name="40% - Accent4 2 2 2 5 3" xfId="7064" xr:uid="{CAD4AF9D-4343-48F6-A04C-8390EFFC387B}"/>
    <cellStyle name="40% - Accent4 2 2 2 6" xfId="3175" xr:uid="{D9B7AD06-D823-4B49-B95C-BD2D5AAFDB6D}"/>
    <cellStyle name="40% - Accent4 2 2 2 6 2" xfId="7477" xr:uid="{E0A5E2EE-C400-4116-9203-7161A76FD0F8}"/>
    <cellStyle name="40% - Accent4 2 2 2 7" xfId="5411" xr:uid="{5B6A8047-64DD-4414-AE10-B88BEE0E4635}"/>
    <cellStyle name="40% - Accent4 2 2 2 8" xfId="1107" xr:uid="{4545998B-AE8D-4447-8ACE-2BD234009338}"/>
    <cellStyle name="40% - Accent4 2 2 3" xfId="652" xr:uid="{00000000-0005-0000-0000-000095000000}"/>
    <cellStyle name="40% - Accent4 2 2 3 2" xfId="3751" xr:uid="{5B7E9B0E-C682-4BD9-B278-6EF18284FCB2}"/>
    <cellStyle name="40% - Accent4 2 2 3 2 2" xfId="7969" xr:uid="{EC958B91-D1BA-475A-9401-98A38CAE1E48}"/>
    <cellStyle name="40% - Accent4 2 2 3 3" xfId="5824" xr:uid="{897928D9-81DC-4BAB-986E-EFCB3B95E67E}"/>
    <cellStyle name="40% - Accent4 2 2 3 4" xfId="1520" xr:uid="{0CF6E046-8FEE-443B-83AA-5887D24FC686}"/>
    <cellStyle name="40% - Accent4 2 2 4" xfId="1935" xr:uid="{480B7020-B015-4AF0-B095-0A37EC73B4FE}"/>
    <cellStyle name="40% - Accent4 2 2 4 2" xfId="4164" xr:uid="{AB2DCC54-BB03-49A0-A2D1-5BEEBB130E66}"/>
    <cellStyle name="40% - Accent4 2 2 4 2 2" xfId="8382" xr:uid="{F61F588B-6374-4334-B7BF-B93FE6EA16BA}"/>
    <cellStyle name="40% - Accent4 2 2 4 3" xfId="6237" xr:uid="{49C6EF26-CAF3-4AAE-8CD7-D7A12880F164}"/>
    <cellStyle name="40% - Accent4 2 2 5" xfId="2348" xr:uid="{CBEDA6F7-1F88-4C59-81FA-83C780D2FEB5}"/>
    <cellStyle name="40% - Accent4 2 2 5 2" xfId="4577" xr:uid="{2FF0F446-72F2-45B4-BD7A-B65516F007CF}"/>
    <cellStyle name="40% - Accent4 2 2 5 2 2" xfId="8795" xr:uid="{E9700476-E0A7-4F96-A68D-B35B9FFD54C0}"/>
    <cellStyle name="40% - Accent4 2 2 5 3" xfId="6650" xr:uid="{055CCB9B-F70C-4AE5-B4CF-A3C215C5BCE6}"/>
    <cellStyle name="40% - Accent4 2 2 6" xfId="2761" xr:uid="{F591A085-D6B8-4EB2-B2A1-7C3FE976F1C2}"/>
    <cellStyle name="40% - Accent4 2 2 6 2" xfId="4990" xr:uid="{E4728E0D-5CCA-4DE1-B115-1D89D4867105}"/>
    <cellStyle name="40% - Accent4 2 2 6 2 2" xfId="9208" xr:uid="{6F4F7C2C-27A2-4ED0-8547-37897C2951CE}"/>
    <cellStyle name="40% - Accent4 2 2 6 3" xfId="7063" xr:uid="{5F3902E6-1556-4275-A051-894533B76917}"/>
    <cellStyle name="40% - Accent4 2 2 7" xfId="3174" xr:uid="{75D41D51-FB1D-4121-92B2-BF62F6426139}"/>
    <cellStyle name="40% - Accent4 2 2 7 2" xfId="7476" xr:uid="{09A3483D-AA1E-474E-97DE-4E6610591102}"/>
    <cellStyle name="40% - Accent4 2 2 8" xfId="5410" xr:uid="{B97208CC-241D-4D02-AFB0-77B4F775BDF8}"/>
    <cellStyle name="40% - Accent4 2 2 9" xfId="1106" xr:uid="{CA2D6FA1-484E-438E-BBA6-00EF4AC7F5E5}"/>
    <cellStyle name="40% - Accent4 2 3" xfId="77" xr:uid="{00000000-0005-0000-0000-000096000000}"/>
    <cellStyle name="40% - Accent4 2 3 2" xfId="654" xr:uid="{00000000-0005-0000-0000-000097000000}"/>
    <cellStyle name="40% - Accent4 2 3 2 2" xfId="3753" xr:uid="{8396F76D-4737-40F2-9B15-531D35EEFCA6}"/>
    <cellStyle name="40% - Accent4 2 3 2 2 2" xfId="7971" xr:uid="{5AB695FA-944F-41F3-BCAA-48E91D431579}"/>
    <cellStyle name="40% - Accent4 2 3 2 3" xfId="5826" xr:uid="{3991281A-F7B6-4229-8C9E-EC2A71DF57E6}"/>
    <cellStyle name="40% - Accent4 2 3 2 4" xfId="1522" xr:uid="{1F2E43E2-40C3-4E64-8AD9-D69AC6420702}"/>
    <cellStyle name="40% - Accent4 2 3 3" xfId="1937" xr:uid="{D25DBB21-1FBD-4251-82B5-9BB40118A285}"/>
    <cellStyle name="40% - Accent4 2 3 3 2" xfId="4166" xr:uid="{CF6B5FCA-4C9A-4412-8E1E-374E45005AC4}"/>
    <cellStyle name="40% - Accent4 2 3 3 2 2" xfId="8384" xr:uid="{55A6C56A-659E-46C3-A900-DB6D88E6BC87}"/>
    <cellStyle name="40% - Accent4 2 3 3 3" xfId="6239" xr:uid="{246C7DBC-8539-43E0-AD4C-0157AA65A0A6}"/>
    <cellStyle name="40% - Accent4 2 3 4" xfId="2350" xr:uid="{CCF55F9E-23D5-4C60-B89B-0B890ADD8B33}"/>
    <cellStyle name="40% - Accent4 2 3 4 2" xfId="4579" xr:uid="{F57EEEF3-3A3B-4188-8017-CADE6A613E46}"/>
    <cellStyle name="40% - Accent4 2 3 4 2 2" xfId="8797" xr:uid="{BC2C7931-5A37-4035-9035-D40F5CBFA290}"/>
    <cellStyle name="40% - Accent4 2 3 4 3" xfId="6652" xr:uid="{A68D327C-18DB-407F-A92C-DBF09770613C}"/>
    <cellStyle name="40% - Accent4 2 3 5" xfId="2763" xr:uid="{DAE9203A-F62A-498D-9555-4FFF338E3D7E}"/>
    <cellStyle name="40% - Accent4 2 3 5 2" xfId="4992" xr:uid="{5AA8DAA6-1B99-4049-A894-E86E37E8E214}"/>
    <cellStyle name="40% - Accent4 2 3 5 2 2" xfId="9210" xr:uid="{C71009BD-A6F2-41D1-8A51-FCE99392E068}"/>
    <cellStyle name="40% - Accent4 2 3 5 3" xfId="7065" xr:uid="{8B78CDE3-4786-4105-BB87-C0CC1937BB07}"/>
    <cellStyle name="40% - Accent4 2 3 6" xfId="3176" xr:uid="{86513AE6-2058-4DCE-818C-3F4FEFC62D9A}"/>
    <cellStyle name="40% - Accent4 2 3 6 2" xfId="7478" xr:uid="{5CF976A3-BD1E-4E0A-9E30-12FB2BE14007}"/>
    <cellStyle name="40% - Accent4 2 3 7" xfId="5412" xr:uid="{F1F735F5-84FD-440B-88E2-ACAFD5C32469}"/>
    <cellStyle name="40% - Accent4 2 3 8" xfId="1108" xr:uid="{A98664B4-70F9-47E7-864F-37D2153B05B6}"/>
    <cellStyle name="40% - Accent4 2 4" xfId="651" xr:uid="{00000000-0005-0000-0000-000098000000}"/>
    <cellStyle name="40% - Accent4 2 4 2" xfId="3750" xr:uid="{F8C94A8B-594A-4C92-9100-057EAE94688D}"/>
    <cellStyle name="40% - Accent4 2 4 2 2" xfId="7968" xr:uid="{252688D9-F4CD-4F3A-ABAA-AB01A8B94A5B}"/>
    <cellStyle name="40% - Accent4 2 4 3" xfId="5823" xr:uid="{6F2D6A4E-DDB1-48D9-BE25-562D228C3A01}"/>
    <cellStyle name="40% - Accent4 2 4 4" xfId="1519" xr:uid="{3D70C1BF-7832-4085-BD81-CBA6E4C91751}"/>
    <cellStyle name="40% - Accent4 2 5" xfId="1934" xr:uid="{68B313DC-C0E5-4181-9121-CCF96676A338}"/>
    <cellStyle name="40% - Accent4 2 5 2" xfId="4163" xr:uid="{CE529746-EA86-425A-9BE9-3F08F6A38A2C}"/>
    <cellStyle name="40% - Accent4 2 5 2 2" xfId="8381" xr:uid="{FAC4395E-A3C2-439B-85B8-CDE44E47AEA5}"/>
    <cellStyle name="40% - Accent4 2 5 3" xfId="6236" xr:uid="{0D4FF58B-2B0C-4578-97E8-4F979B6AD3E9}"/>
    <cellStyle name="40% - Accent4 2 6" xfId="2347" xr:uid="{99054027-1ED9-44BD-AC25-8C81A34A56F0}"/>
    <cellStyle name="40% - Accent4 2 6 2" xfId="4576" xr:uid="{B019830D-A9ED-4CDA-BE44-A5EC890DF1F3}"/>
    <cellStyle name="40% - Accent4 2 6 2 2" xfId="8794" xr:uid="{41D958F0-C0E5-4F69-B606-BD971615CB67}"/>
    <cellStyle name="40% - Accent4 2 6 3" xfId="6649" xr:uid="{6B8610E7-2145-4D0A-8B77-B1DF97E2849A}"/>
    <cellStyle name="40% - Accent4 2 7" xfId="2760" xr:uid="{F5B6E8D6-A174-44A4-B60D-D4B89BB7B506}"/>
    <cellStyle name="40% - Accent4 2 7 2" xfId="4989" xr:uid="{B1BB24CF-DED3-4306-BA6C-D8805FD82894}"/>
    <cellStyle name="40% - Accent4 2 7 2 2" xfId="9207" xr:uid="{1E1FAC83-F98E-4144-B7AD-D7DCFFDE0520}"/>
    <cellStyle name="40% - Accent4 2 7 3" xfId="7062" xr:uid="{6B2F1001-906B-4AFD-ADEC-A83BA93900AA}"/>
    <cellStyle name="40% - Accent4 2 8" xfId="3173" xr:uid="{642E36A4-5466-4A0B-8A07-736F78AE128C}"/>
    <cellStyle name="40% - Accent4 2 8 2" xfId="7475" xr:uid="{0C9DB352-0683-4257-872B-8EB6A60C02B4}"/>
    <cellStyle name="40% - Accent4 2 9" xfId="5409" xr:uid="{347D28A0-65ED-476F-B803-3A6A3CAF68AE}"/>
    <cellStyle name="40% - Accent4 3" xfId="78" xr:uid="{00000000-0005-0000-0000-000099000000}"/>
    <cellStyle name="40% - Accent4 3 2" xfId="79" xr:uid="{00000000-0005-0000-0000-00009A000000}"/>
    <cellStyle name="40% - Accent4 3 2 2" xfId="656" xr:uid="{00000000-0005-0000-0000-00009B000000}"/>
    <cellStyle name="40% - Accent4 3 2 2 2" xfId="3755" xr:uid="{7E3C3200-CB24-48D8-9855-4226EA474446}"/>
    <cellStyle name="40% - Accent4 3 2 2 2 2" xfId="7973" xr:uid="{C0983EB9-47D1-47A4-AA98-F6EDA3758B9E}"/>
    <cellStyle name="40% - Accent4 3 2 2 3" xfId="5828" xr:uid="{801C88E3-8350-4A9E-9342-ED2148EC4E0C}"/>
    <cellStyle name="40% - Accent4 3 2 2 4" xfId="1524" xr:uid="{526E0D5A-8821-4233-A733-CCF89CCF697A}"/>
    <cellStyle name="40% - Accent4 3 2 3" xfId="1939" xr:uid="{D8659301-AF53-4EC2-9D27-90B335CFFCDF}"/>
    <cellStyle name="40% - Accent4 3 2 3 2" xfId="4168" xr:uid="{2CB207BC-2BF8-4CD1-AC41-EEF5DA41098F}"/>
    <cellStyle name="40% - Accent4 3 2 3 2 2" xfId="8386" xr:uid="{132DC345-E28B-459F-AB3E-48D7E86CF977}"/>
    <cellStyle name="40% - Accent4 3 2 3 3" xfId="6241" xr:uid="{C65662D4-200B-4AB5-BA50-4266BEBA3CEC}"/>
    <cellStyle name="40% - Accent4 3 2 4" xfId="2352" xr:uid="{BD828610-5D03-4726-B916-1EBEC15B767B}"/>
    <cellStyle name="40% - Accent4 3 2 4 2" xfId="4581" xr:uid="{A7D0E9B9-6A99-4C52-9BB4-EDD4A02826D8}"/>
    <cellStyle name="40% - Accent4 3 2 4 2 2" xfId="8799" xr:uid="{45FD3F09-9F5A-4A6D-A51C-C1D0FC9BBBEE}"/>
    <cellStyle name="40% - Accent4 3 2 4 3" xfId="6654" xr:uid="{FFCAEE65-62EE-4368-8B90-E7D12E49689E}"/>
    <cellStyle name="40% - Accent4 3 2 5" xfId="2765" xr:uid="{80CF0232-CA2A-4BE3-809B-822D0F9764EC}"/>
    <cellStyle name="40% - Accent4 3 2 5 2" xfId="4994" xr:uid="{08AF5428-E884-4B0A-A402-2EF5A5F6C527}"/>
    <cellStyle name="40% - Accent4 3 2 5 2 2" xfId="9212" xr:uid="{B65EE0DB-7C38-4ACE-A6EF-4ECDFE8AD55C}"/>
    <cellStyle name="40% - Accent4 3 2 5 3" xfId="7067" xr:uid="{5BF414B3-71AD-4B50-BD4B-A3CC645D82CB}"/>
    <cellStyle name="40% - Accent4 3 2 6" xfId="3178" xr:uid="{50C8BF5D-57E5-4C08-A382-6FF123289566}"/>
    <cellStyle name="40% - Accent4 3 2 6 2" xfId="7480" xr:uid="{B21849AD-674E-4920-B42C-514B5853966B}"/>
    <cellStyle name="40% - Accent4 3 2 7" xfId="5414" xr:uid="{9AB28B64-DD75-45FA-A624-B26D554EDCEE}"/>
    <cellStyle name="40% - Accent4 3 2 8" xfId="1110" xr:uid="{9E22D501-64CD-41C7-AD79-C713169C082F}"/>
    <cellStyle name="40% - Accent4 3 3" xfId="655" xr:uid="{00000000-0005-0000-0000-00009C000000}"/>
    <cellStyle name="40% - Accent4 3 3 2" xfId="3754" xr:uid="{0BBD7D81-B4F1-4EC9-9755-467DEB3D5668}"/>
    <cellStyle name="40% - Accent4 3 3 2 2" xfId="7972" xr:uid="{25F90F22-EC43-4090-BD52-E596671D4AE2}"/>
    <cellStyle name="40% - Accent4 3 3 3" xfId="5827" xr:uid="{7AFCAAC4-C002-4BCE-9091-AC0ED6F9A625}"/>
    <cellStyle name="40% - Accent4 3 3 4" xfId="1523" xr:uid="{3082FA5E-FFF8-4D9C-932B-62FC610463E5}"/>
    <cellStyle name="40% - Accent4 3 4" xfId="1938" xr:uid="{94A24D69-4514-4028-B1A5-348703658A6C}"/>
    <cellStyle name="40% - Accent4 3 4 2" xfId="4167" xr:uid="{507FECDA-2BC0-463A-9A45-231DAE2F0E4D}"/>
    <cellStyle name="40% - Accent4 3 4 2 2" xfId="8385" xr:uid="{C62C0292-4007-44A3-8DCC-C6123FB9EBBC}"/>
    <cellStyle name="40% - Accent4 3 4 3" xfId="6240" xr:uid="{87BF7E94-A22F-4432-A884-B89B978EF87A}"/>
    <cellStyle name="40% - Accent4 3 5" xfId="2351" xr:uid="{8CA83760-914C-459B-8F56-7BFB17C7F52B}"/>
    <cellStyle name="40% - Accent4 3 5 2" xfId="4580" xr:uid="{5636E6B6-9AAB-404F-BC73-E03C006AA9EE}"/>
    <cellStyle name="40% - Accent4 3 5 2 2" xfId="8798" xr:uid="{E88BA12C-AED3-422E-986A-D778AEFA56DD}"/>
    <cellStyle name="40% - Accent4 3 5 3" xfId="6653" xr:uid="{2C3E255D-76D2-48FB-8249-096FADC398DE}"/>
    <cellStyle name="40% - Accent4 3 6" xfId="2764" xr:uid="{5D8CC676-C46E-4C86-905A-533906C3D23E}"/>
    <cellStyle name="40% - Accent4 3 6 2" xfId="4993" xr:uid="{903F214D-D40E-4B39-869B-34504D35A570}"/>
    <cellStyle name="40% - Accent4 3 6 2 2" xfId="9211" xr:uid="{1AFA500D-16DE-4989-B1DD-D11C2A898A29}"/>
    <cellStyle name="40% - Accent4 3 6 3" xfId="7066" xr:uid="{1CCE31DA-6E1C-4511-A023-D802F3312446}"/>
    <cellStyle name="40% - Accent4 3 7" xfId="3177" xr:uid="{2670930E-23E0-4C6E-9696-078FE1A2A76D}"/>
    <cellStyle name="40% - Accent4 3 7 2" xfId="7479" xr:uid="{36BED738-1FD4-4253-9794-648A1279E0DF}"/>
    <cellStyle name="40% - Accent4 3 8" xfId="5413" xr:uid="{77CB197F-2A1B-458C-82D7-789A72D61E9F}"/>
    <cellStyle name="40% - Accent4 3 9" xfId="1109" xr:uid="{AEA662F7-B8F5-4F03-9983-1AB15F4B5956}"/>
    <cellStyle name="40% - Accent4 4" xfId="80" xr:uid="{00000000-0005-0000-0000-00009D000000}"/>
    <cellStyle name="40% - Accent4 4 2" xfId="657" xr:uid="{00000000-0005-0000-0000-00009E000000}"/>
    <cellStyle name="40% - Accent4 4 2 2" xfId="3756" xr:uid="{D25286E5-6ED6-447C-A2BA-ED7FC6E471A8}"/>
    <cellStyle name="40% - Accent4 4 2 2 2" xfId="7974" xr:uid="{6EE6A8D6-184E-472F-96CE-00B3B83D1EEF}"/>
    <cellStyle name="40% - Accent4 4 2 3" xfId="5829" xr:uid="{1896E2E7-9E80-4044-B2EE-41806745A02E}"/>
    <cellStyle name="40% - Accent4 4 2 4" xfId="1525" xr:uid="{9C9426C5-9EA9-4A2A-8FC2-605727FAFDA6}"/>
    <cellStyle name="40% - Accent4 4 3" xfId="1940" xr:uid="{465E4088-3AB3-4EEC-8FAC-4220536781B7}"/>
    <cellStyle name="40% - Accent4 4 3 2" xfId="4169" xr:uid="{E006ACD5-1B22-48A5-A28A-8197DD1B70BD}"/>
    <cellStyle name="40% - Accent4 4 3 2 2" xfId="8387" xr:uid="{6B3B0B56-7472-4A37-AA13-2000DE2BAEC7}"/>
    <cellStyle name="40% - Accent4 4 3 3" xfId="6242" xr:uid="{0B3B3C43-AFF1-4D10-8F40-A4B1D1B21AD1}"/>
    <cellStyle name="40% - Accent4 4 4" xfId="2353" xr:uid="{D11011CA-A72F-4024-8464-63B655940ADA}"/>
    <cellStyle name="40% - Accent4 4 4 2" xfId="4582" xr:uid="{B052AEA8-7AA4-47B2-B969-D0AE9104364A}"/>
    <cellStyle name="40% - Accent4 4 4 2 2" xfId="8800" xr:uid="{6E808A04-5D0D-44E7-AF62-CD426A5F0F0E}"/>
    <cellStyle name="40% - Accent4 4 4 3" xfId="6655" xr:uid="{9E1328D8-88C8-4B85-801C-BF36A8FE5ED1}"/>
    <cellStyle name="40% - Accent4 4 5" xfId="2766" xr:uid="{E2E922A4-3085-4B79-82C3-F4B93182D319}"/>
    <cellStyle name="40% - Accent4 4 5 2" xfId="4995" xr:uid="{6A6735E2-AA83-44ED-AE22-DAC184FECC74}"/>
    <cellStyle name="40% - Accent4 4 5 2 2" xfId="9213" xr:uid="{19DCCE65-5AA0-4255-AD30-C37401ABD2BE}"/>
    <cellStyle name="40% - Accent4 4 5 3" xfId="7068" xr:uid="{28B07F23-5814-416A-89AF-D17A58F67262}"/>
    <cellStyle name="40% - Accent4 4 6" xfId="3179" xr:uid="{18748714-5C05-494B-969E-A974126CF1D1}"/>
    <cellStyle name="40% - Accent4 4 6 2" xfId="7481" xr:uid="{DDFFF7EA-F26A-425A-BA05-9668E0276F7A}"/>
    <cellStyle name="40% - Accent4 4 7" xfId="5415" xr:uid="{8835740F-FEF2-40A9-BCC7-B5E61C173AEC}"/>
    <cellStyle name="40% - Accent4 4 8" xfId="1111" xr:uid="{0170ED07-161B-42AF-A43D-83FB5DAD15CF}"/>
    <cellStyle name="40% - Accent4 5" xfId="650" xr:uid="{00000000-0005-0000-0000-00009F000000}"/>
    <cellStyle name="40% - Accent4 5 2" xfId="3749" xr:uid="{6C95DF04-AB66-4DB5-B3CC-67C31834A141}"/>
    <cellStyle name="40% - Accent4 5 2 2" xfId="7967" xr:uid="{083DEB56-90CC-4905-B577-41EE34E5F48B}"/>
    <cellStyle name="40% - Accent4 5 3" xfId="5822" xr:uid="{6992C4FB-0405-41F5-9A78-83704851DE5F}"/>
    <cellStyle name="40% - Accent4 5 4" xfId="1518" xr:uid="{8465E6D9-E6F6-4324-A4C6-7F71F6902590}"/>
    <cellStyle name="40% - Accent4 6" xfId="1933" xr:uid="{9B7B4203-4F11-4582-8A3D-B44DB72A9ED5}"/>
    <cellStyle name="40% - Accent4 6 2" xfId="4162" xr:uid="{B50CB059-A4AF-48FB-B801-1FA08682E1A0}"/>
    <cellStyle name="40% - Accent4 6 2 2" xfId="8380" xr:uid="{A8AC1A1A-04CE-4E0C-82E3-60F48215280A}"/>
    <cellStyle name="40% - Accent4 6 3" xfId="6235" xr:uid="{FD6CF621-03DE-44B1-9658-DF8A5856E2BA}"/>
    <cellStyle name="40% - Accent4 7" xfId="2346" xr:uid="{5FF21877-6473-47BA-ADB9-2C27E3C304B9}"/>
    <cellStyle name="40% - Accent4 7 2" xfId="4575" xr:uid="{4C1D320B-F9A5-45B9-B85A-17BE2AE266CD}"/>
    <cellStyle name="40% - Accent4 7 2 2" xfId="8793" xr:uid="{7483EDDB-C2AF-4B32-B927-915314A230CF}"/>
    <cellStyle name="40% - Accent4 7 3" xfId="6648" xr:uid="{8DFB8D1E-7411-4DFE-8301-0599C4229DBB}"/>
    <cellStyle name="40% - Accent4 8" xfId="2759" xr:uid="{DAC71A8A-7475-43B5-AB97-86BBF4E4B299}"/>
    <cellStyle name="40% - Accent4 8 2" xfId="4988" xr:uid="{0DC250FA-9308-4D6E-9C61-007CACC667F6}"/>
    <cellStyle name="40% - Accent4 8 2 2" xfId="9206" xr:uid="{52D77499-7DEA-463C-B260-8072A1624C90}"/>
    <cellStyle name="40% - Accent4 8 3" xfId="7061" xr:uid="{571EA27F-BC73-44BD-B8F2-2D1B6164B1AB}"/>
    <cellStyle name="40% - Accent4 9" xfId="3172" xr:uid="{D74EDE6F-0339-445E-9967-1E132B6C275A}"/>
    <cellStyle name="40% - Accent4 9 2" xfId="7474" xr:uid="{90EB9B23-43A7-41F3-A8E3-6DFA5725D9F0}"/>
    <cellStyle name="40% - Accent5" xfId="81" builtinId="47" customBuiltin="1"/>
    <cellStyle name="40% - Accent5 10" xfId="5416" xr:uid="{44593ED9-C43B-4E5B-8704-78FAA1B2A75D}"/>
    <cellStyle name="40% - Accent5 11" xfId="1112" xr:uid="{8B786E7D-8D74-4205-81C6-CF5B02472FF3}"/>
    <cellStyle name="40% - Accent5 2" xfId="82" xr:uid="{00000000-0005-0000-0000-0000A1000000}"/>
    <cellStyle name="40% - Accent5 2 10" xfId="1113" xr:uid="{F9AB73EA-41E3-4540-B09F-A772F62ECFB1}"/>
    <cellStyle name="40% - Accent5 2 2" xfId="83" xr:uid="{00000000-0005-0000-0000-0000A2000000}"/>
    <cellStyle name="40% - Accent5 2 2 2" xfId="84" xr:uid="{00000000-0005-0000-0000-0000A3000000}"/>
    <cellStyle name="40% - Accent5 2 2 2 2" xfId="661" xr:uid="{00000000-0005-0000-0000-0000A4000000}"/>
    <cellStyle name="40% - Accent5 2 2 2 2 2" xfId="3760" xr:uid="{7C5404CD-E898-41D4-A442-44128F719ADF}"/>
    <cellStyle name="40% - Accent5 2 2 2 2 2 2" xfId="7978" xr:uid="{250AD33B-ACB7-450C-9691-AB65AB9BFD6B}"/>
    <cellStyle name="40% - Accent5 2 2 2 2 3" xfId="5833" xr:uid="{CEC3C243-EC92-4DC7-A430-4CAEA6989BF6}"/>
    <cellStyle name="40% - Accent5 2 2 2 2 4" xfId="1529" xr:uid="{69171E64-AE4C-441A-AB19-9B0005708767}"/>
    <cellStyle name="40% - Accent5 2 2 2 3" xfId="1944" xr:uid="{6A70B562-686E-431C-8516-09F7CB8FC0A9}"/>
    <cellStyle name="40% - Accent5 2 2 2 3 2" xfId="4173" xr:uid="{41D0CEF3-9D44-40EA-9FB7-F63FC3A06A98}"/>
    <cellStyle name="40% - Accent5 2 2 2 3 2 2" xfId="8391" xr:uid="{91E16EE8-0420-4C58-91FC-FCDE25E875EC}"/>
    <cellStyle name="40% - Accent5 2 2 2 3 3" xfId="6246" xr:uid="{FCBFC581-7B9F-43D0-8F34-F991B50B8389}"/>
    <cellStyle name="40% - Accent5 2 2 2 4" xfId="2357" xr:uid="{31CDF77B-4ABF-407F-8013-79FFB35882F8}"/>
    <cellStyle name="40% - Accent5 2 2 2 4 2" xfId="4586" xr:uid="{E393D4D3-FE4A-4261-A120-0BE5436AA404}"/>
    <cellStyle name="40% - Accent5 2 2 2 4 2 2" xfId="8804" xr:uid="{9FBA3CE9-04A5-455F-827E-99CB3D9D4D11}"/>
    <cellStyle name="40% - Accent5 2 2 2 4 3" xfId="6659" xr:uid="{6FDCB5A5-CE48-4EE0-AC93-3B44CB68C599}"/>
    <cellStyle name="40% - Accent5 2 2 2 5" xfId="2770" xr:uid="{4A76A85B-5A2A-4AE9-9627-ABF028727AD6}"/>
    <cellStyle name="40% - Accent5 2 2 2 5 2" xfId="4999" xr:uid="{C6B39B9F-A09C-47E6-A180-D2AFD4693DF2}"/>
    <cellStyle name="40% - Accent5 2 2 2 5 2 2" xfId="9217" xr:uid="{4E0DEAEB-D2AB-4B58-A8FF-BE1194215462}"/>
    <cellStyle name="40% - Accent5 2 2 2 5 3" xfId="7072" xr:uid="{4B80F476-973B-4AC1-A509-95BB35FED52F}"/>
    <cellStyle name="40% - Accent5 2 2 2 6" xfId="3183" xr:uid="{AE54464C-97A1-4319-B254-99107CDE1BBE}"/>
    <cellStyle name="40% - Accent5 2 2 2 6 2" xfId="7485" xr:uid="{C6A49CD9-3054-4318-B303-A7FEB3E5EFA0}"/>
    <cellStyle name="40% - Accent5 2 2 2 7" xfId="5419" xr:uid="{0FBDBA98-A44E-4522-8D4F-B4A81629588C}"/>
    <cellStyle name="40% - Accent5 2 2 2 8" xfId="1115" xr:uid="{AFC68A25-C176-4FE3-9C1C-C1696A6D0826}"/>
    <cellStyle name="40% - Accent5 2 2 3" xfId="660" xr:uid="{00000000-0005-0000-0000-0000A5000000}"/>
    <cellStyle name="40% - Accent5 2 2 3 2" xfId="3759" xr:uid="{AC4BF4A5-3DBD-4797-B895-715821BD92AE}"/>
    <cellStyle name="40% - Accent5 2 2 3 2 2" xfId="7977" xr:uid="{D1FA7562-EB70-4B07-995D-8BCF963C6F1E}"/>
    <cellStyle name="40% - Accent5 2 2 3 3" xfId="5832" xr:uid="{A1B0AF74-124E-4DF8-83CE-ADB13B548F78}"/>
    <cellStyle name="40% - Accent5 2 2 3 4" xfId="1528" xr:uid="{C197A4F7-993D-4537-BEB8-A12632EA6AEA}"/>
    <cellStyle name="40% - Accent5 2 2 4" xfId="1943" xr:uid="{E1520AFB-735F-4483-A0A6-235518DAB16D}"/>
    <cellStyle name="40% - Accent5 2 2 4 2" xfId="4172" xr:uid="{E16E3FA4-9C55-48EC-97B3-13227FD39CAA}"/>
    <cellStyle name="40% - Accent5 2 2 4 2 2" xfId="8390" xr:uid="{35100FE4-D699-4793-86A5-F2FC733F7B18}"/>
    <cellStyle name="40% - Accent5 2 2 4 3" xfId="6245" xr:uid="{33BF695F-9A74-49A5-8D17-8753083A568B}"/>
    <cellStyle name="40% - Accent5 2 2 5" xfId="2356" xr:uid="{1DB2E4AB-1698-42B8-9934-C135D4E8A8B3}"/>
    <cellStyle name="40% - Accent5 2 2 5 2" xfId="4585" xr:uid="{7DEC02BE-2F79-4B35-8647-7B8C05A5EB39}"/>
    <cellStyle name="40% - Accent5 2 2 5 2 2" xfId="8803" xr:uid="{C3D0AF91-74BA-432D-B61B-6FC2B2A0F502}"/>
    <cellStyle name="40% - Accent5 2 2 5 3" xfId="6658" xr:uid="{95284E92-4718-4F27-9B2E-01B62180430B}"/>
    <cellStyle name="40% - Accent5 2 2 6" xfId="2769" xr:uid="{3C45D0E7-5F79-4C8D-9175-0BB841AB2DED}"/>
    <cellStyle name="40% - Accent5 2 2 6 2" xfId="4998" xr:uid="{3F63B2A7-854B-49E9-B8AD-0849DE70981A}"/>
    <cellStyle name="40% - Accent5 2 2 6 2 2" xfId="9216" xr:uid="{8486CD6B-D372-4AC5-8DE3-BE75F0D90552}"/>
    <cellStyle name="40% - Accent5 2 2 6 3" xfId="7071" xr:uid="{3F7A9BD8-12D1-4BF5-9874-75D65EAAA48C}"/>
    <cellStyle name="40% - Accent5 2 2 7" xfId="3182" xr:uid="{7F2E8FC6-F849-46E0-A963-0B22DB465C6B}"/>
    <cellStyle name="40% - Accent5 2 2 7 2" xfId="7484" xr:uid="{8D99BC01-5C08-4DE8-A20A-1E1A4FB5DAAD}"/>
    <cellStyle name="40% - Accent5 2 2 8" xfId="5418" xr:uid="{3E90EBDB-CB78-4FB3-ADC0-E3E8EE50AE44}"/>
    <cellStyle name="40% - Accent5 2 2 9" xfId="1114" xr:uid="{E2EE3EB2-9FE1-4AC7-8666-E7F8FBB774DB}"/>
    <cellStyle name="40% - Accent5 2 3" xfId="85" xr:uid="{00000000-0005-0000-0000-0000A6000000}"/>
    <cellStyle name="40% - Accent5 2 3 2" xfId="662" xr:uid="{00000000-0005-0000-0000-0000A7000000}"/>
    <cellStyle name="40% - Accent5 2 3 2 2" xfId="3761" xr:uid="{B25465BE-6B46-44B5-9A91-59E79481785D}"/>
    <cellStyle name="40% - Accent5 2 3 2 2 2" xfId="7979" xr:uid="{A781EDE3-49F7-4545-8C3E-2C572679BF2D}"/>
    <cellStyle name="40% - Accent5 2 3 2 3" xfId="5834" xr:uid="{1EFB27DC-A6A1-4E76-9EAE-53215424CD0B}"/>
    <cellStyle name="40% - Accent5 2 3 2 4" xfId="1530" xr:uid="{C3791DF6-1C8C-4A7D-9813-2DDBCFBF0A45}"/>
    <cellStyle name="40% - Accent5 2 3 3" xfId="1945" xr:uid="{6F21DB94-555D-45A6-9B14-DDB697A0C07E}"/>
    <cellStyle name="40% - Accent5 2 3 3 2" xfId="4174" xr:uid="{45249901-4B56-4B05-99FB-5E825C7DF5AD}"/>
    <cellStyle name="40% - Accent5 2 3 3 2 2" xfId="8392" xr:uid="{89F4B367-772B-4D52-A022-42E909B209A2}"/>
    <cellStyle name="40% - Accent5 2 3 3 3" xfId="6247" xr:uid="{2D3C8D01-75E0-47DB-8451-13D78586D670}"/>
    <cellStyle name="40% - Accent5 2 3 4" xfId="2358" xr:uid="{DBFE59D1-FA2C-4A4B-906D-07583CD94D4F}"/>
    <cellStyle name="40% - Accent5 2 3 4 2" xfId="4587" xr:uid="{8FC7F30B-FC36-4BC5-B553-0A7CD5FA6AEA}"/>
    <cellStyle name="40% - Accent5 2 3 4 2 2" xfId="8805" xr:uid="{46FCFA28-BB2C-415F-8DD7-30861B16F264}"/>
    <cellStyle name="40% - Accent5 2 3 4 3" xfId="6660" xr:uid="{5E176356-9513-4A1A-B92B-B31C830556B9}"/>
    <cellStyle name="40% - Accent5 2 3 5" xfId="2771" xr:uid="{C6157B1E-5696-4C4C-9965-630E31C4EC76}"/>
    <cellStyle name="40% - Accent5 2 3 5 2" xfId="5000" xr:uid="{40B40F9B-E8B7-4AAB-BDDB-DF232B6138D7}"/>
    <cellStyle name="40% - Accent5 2 3 5 2 2" xfId="9218" xr:uid="{4F3DF965-EDAA-452D-9CED-A26DC84DC380}"/>
    <cellStyle name="40% - Accent5 2 3 5 3" xfId="7073" xr:uid="{754EAC60-F0C5-4B6C-AC94-16ACF0154E2C}"/>
    <cellStyle name="40% - Accent5 2 3 6" xfId="3184" xr:uid="{5435D1FD-913C-422B-9517-ADB0685F8680}"/>
    <cellStyle name="40% - Accent5 2 3 6 2" xfId="7486" xr:uid="{7410CF7A-009A-42CC-9082-8397A166502B}"/>
    <cellStyle name="40% - Accent5 2 3 7" xfId="5420" xr:uid="{988E5E0F-8B4A-411C-9F05-E1F90AA7BCB7}"/>
    <cellStyle name="40% - Accent5 2 3 8" xfId="1116" xr:uid="{6DFA5AB3-14D0-4146-AB34-20EA0F69686C}"/>
    <cellStyle name="40% - Accent5 2 4" xfId="659" xr:uid="{00000000-0005-0000-0000-0000A8000000}"/>
    <cellStyle name="40% - Accent5 2 4 2" xfId="3758" xr:uid="{0716021C-D18E-4BC1-B147-CDE9AFA68209}"/>
    <cellStyle name="40% - Accent5 2 4 2 2" xfId="7976" xr:uid="{52DAF010-971F-4AEC-8062-0E17551511FB}"/>
    <cellStyle name="40% - Accent5 2 4 3" xfId="5831" xr:uid="{7198137E-D334-4E44-93D4-4B41A2B9EE70}"/>
    <cellStyle name="40% - Accent5 2 4 4" xfId="1527" xr:uid="{93C87679-A013-4233-9645-5B9EE472454D}"/>
    <cellStyle name="40% - Accent5 2 5" xfId="1942" xr:uid="{AAE71199-6050-40B7-AA55-0D1C53907CA0}"/>
    <cellStyle name="40% - Accent5 2 5 2" xfId="4171" xr:uid="{7F1A488E-EFD0-4B06-8276-7DF56516DB71}"/>
    <cellStyle name="40% - Accent5 2 5 2 2" xfId="8389" xr:uid="{175EDA33-765D-4082-9AAA-69D95D7FC191}"/>
    <cellStyle name="40% - Accent5 2 5 3" xfId="6244" xr:uid="{CD9F6327-9ADA-4987-9619-953C6A8D7247}"/>
    <cellStyle name="40% - Accent5 2 6" xfId="2355" xr:uid="{61D00139-ED95-4909-AF28-5705914ABCA2}"/>
    <cellStyle name="40% - Accent5 2 6 2" xfId="4584" xr:uid="{96F85B49-FB8F-4E94-8E53-BF697E5504E2}"/>
    <cellStyle name="40% - Accent5 2 6 2 2" xfId="8802" xr:uid="{DF37B176-B597-4E86-94EC-18FA70CACCAB}"/>
    <cellStyle name="40% - Accent5 2 6 3" xfId="6657" xr:uid="{36ECF82F-2EF2-403C-9386-6217B204DFC7}"/>
    <cellStyle name="40% - Accent5 2 7" xfId="2768" xr:uid="{5E7E001A-AEE6-49B9-9B65-E56E4C1EE307}"/>
    <cellStyle name="40% - Accent5 2 7 2" xfId="4997" xr:uid="{195F82FF-E019-4A05-9461-00300AA6FEB1}"/>
    <cellStyle name="40% - Accent5 2 7 2 2" xfId="9215" xr:uid="{D07A9DD7-DCF4-4C07-8CB5-7F6DE7F234F1}"/>
    <cellStyle name="40% - Accent5 2 7 3" xfId="7070" xr:uid="{881EA952-D0AC-495C-8D70-4A81AE128DCD}"/>
    <cellStyle name="40% - Accent5 2 8" xfId="3181" xr:uid="{1D707B8E-5F33-420C-B61E-E68AC11B24B5}"/>
    <cellStyle name="40% - Accent5 2 8 2" xfId="7483" xr:uid="{AD353D18-0255-4205-A35B-B0D9242302A3}"/>
    <cellStyle name="40% - Accent5 2 9" xfId="5417" xr:uid="{5731E260-BFF5-4CFD-9ABB-00CC6BFE9622}"/>
    <cellStyle name="40% - Accent5 3" xfId="86" xr:uid="{00000000-0005-0000-0000-0000A9000000}"/>
    <cellStyle name="40% - Accent5 3 2" xfId="87" xr:uid="{00000000-0005-0000-0000-0000AA000000}"/>
    <cellStyle name="40% - Accent5 3 2 2" xfId="664" xr:uid="{00000000-0005-0000-0000-0000AB000000}"/>
    <cellStyle name="40% - Accent5 3 2 2 2" xfId="3763" xr:uid="{C0F2D1E3-21A8-447A-A5E4-50ED4883BF04}"/>
    <cellStyle name="40% - Accent5 3 2 2 2 2" xfId="7981" xr:uid="{C76D3823-D577-48C1-94E5-FD5BA2FA04CC}"/>
    <cellStyle name="40% - Accent5 3 2 2 3" xfId="5836" xr:uid="{BB76BC33-1E40-46E3-BD94-F579230F0A93}"/>
    <cellStyle name="40% - Accent5 3 2 2 4" xfId="1532" xr:uid="{12E9FBF2-1416-4237-BDC9-395E280EEEC4}"/>
    <cellStyle name="40% - Accent5 3 2 3" xfId="1947" xr:uid="{1CC8BFA3-5E8C-4450-A0F5-028FF47F5B4F}"/>
    <cellStyle name="40% - Accent5 3 2 3 2" xfId="4176" xr:uid="{4B9FA11E-A9D6-4BD9-8BCB-342D1558A17A}"/>
    <cellStyle name="40% - Accent5 3 2 3 2 2" xfId="8394" xr:uid="{8272AEF0-5514-42B3-8477-9231EE98AC43}"/>
    <cellStyle name="40% - Accent5 3 2 3 3" xfId="6249" xr:uid="{63A15D28-655E-447D-B2C4-5EC45FFD6C12}"/>
    <cellStyle name="40% - Accent5 3 2 4" xfId="2360" xr:uid="{6F3D7722-0E36-406C-B760-434EA14ABB56}"/>
    <cellStyle name="40% - Accent5 3 2 4 2" xfId="4589" xr:uid="{511BA82C-CA5D-4A30-8825-0F361A81AAC2}"/>
    <cellStyle name="40% - Accent5 3 2 4 2 2" xfId="8807" xr:uid="{37502044-7BD3-4A5F-BF22-2260CE3C51F9}"/>
    <cellStyle name="40% - Accent5 3 2 4 3" xfId="6662" xr:uid="{35827EDE-2E59-4222-8D0C-139C307D57F9}"/>
    <cellStyle name="40% - Accent5 3 2 5" xfId="2773" xr:uid="{A18523B4-592C-4045-9260-825C4FC2BB1C}"/>
    <cellStyle name="40% - Accent5 3 2 5 2" xfId="5002" xr:uid="{08335BC4-2EC4-4D34-80BE-EC44AC1EDBA8}"/>
    <cellStyle name="40% - Accent5 3 2 5 2 2" xfId="9220" xr:uid="{ED761BC4-E43E-4EF5-A747-71C307A3FF4A}"/>
    <cellStyle name="40% - Accent5 3 2 5 3" xfId="7075" xr:uid="{66E473DC-83F5-4D6C-BEB1-1FD15A8B8BE6}"/>
    <cellStyle name="40% - Accent5 3 2 6" xfId="3186" xr:uid="{F0A74FC7-147A-44BC-B69B-4ABA770CDC71}"/>
    <cellStyle name="40% - Accent5 3 2 6 2" xfId="7488" xr:uid="{4F9FC5AB-456C-4600-BB8F-054B7ABE8D79}"/>
    <cellStyle name="40% - Accent5 3 2 7" xfId="5422" xr:uid="{6A8132CF-E793-4EBA-9C83-51AE9B5349E8}"/>
    <cellStyle name="40% - Accent5 3 2 8" xfId="1118" xr:uid="{6A06FC7D-147E-46F8-A2B0-856363DF17FD}"/>
    <cellStyle name="40% - Accent5 3 3" xfId="663" xr:uid="{00000000-0005-0000-0000-0000AC000000}"/>
    <cellStyle name="40% - Accent5 3 3 2" xfId="3762" xr:uid="{6E7AD99F-B47A-4A9E-8958-3C9D88C763F1}"/>
    <cellStyle name="40% - Accent5 3 3 2 2" xfId="7980" xr:uid="{A4695BD8-0AEE-48B2-A710-9FFC39C74C59}"/>
    <cellStyle name="40% - Accent5 3 3 3" xfId="5835" xr:uid="{5DB4C173-3197-45A6-95C9-B5B53298730E}"/>
    <cellStyle name="40% - Accent5 3 3 4" xfId="1531" xr:uid="{276EAADF-11D1-40F3-9DD7-967EAB8E53B3}"/>
    <cellStyle name="40% - Accent5 3 4" xfId="1946" xr:uid="{428EFE82-A7E1-4361-8658-7FA60BDB4490}"/>
    <cellStyle name="40% - Accent5 3 4 2" xfId="4175" xr:uid="{7220C472-4178-4B65-A507-D383C4A9E701}"/>
    <cellStyle name="40% - Accent5 3 4 2 2" xfId="8393" xr:uid="{8E5AB962-DC70-4CA9-BC70-F57270E8841D}"/>
    <cellStyle name="40% - Accent5 3 4 3" xfId="6248" xr:uid="{BC154F8E-B7F9-485F-88C2-5EFB59EE306C}"/>
    <cellStyle name="40% - Accent5 3 5" xfId="2359" xr:uid="{691CF5D7-5A7A-4B28-B59D-8101AF3FC889}"/>
    <cellStyle name="40% - Accent5 3 5 2" xfId="4588" xr:uid="{5C086154-B2B8-4DBB-A027-7B6F230296CE}"/>
    <cellStyle name="40% - Accent5 3 5 2 2" xfId="8806" xr:uid="{C4368E50-30F2-4EFA-8DFF-BBD737FDB9FA}"/>
    <cellStyle name="40% - Accent5 3 5 3" xfId="6661" xr:uid="{BAA4D8CE-B801-494A-B363-A42E83AC9B96}"/>
    <cellStyle name="40% - Accent5 3 6" xfId="2772" xr:uid="{6F95F433-D2A2-415A-B9C9-5522F3A62708}"/>
    <cellStyle name="40% - Accent5 3 6 2" xfId="5001" xr:uid="{87525B06-05FD-4304-A0E2-A41C9ED5E54F}"/>
    <cellStyle name="40% - Accent5 3 6 2 2" xfId="9219" xr:uid="{6702ED41-E27B-4D3D-84F6-0A66CF3CA358}"/>
    <cellStyle name="40% - Accent5 3 6 3" xfId="7074" xr:uid="{7D5913A5-58A9-4277-96A3-7B2392D56E38}"/>
    <cellStyle name="40% - Accent5 3 7" xfId="3185" xr:uid="{FB45823C-6A76-4DB5-A343-542D8ABEA320}"/>
    <cellStyle name="40% - Accent5 3 7 2" xfId="7487" xr:uid="{13506369-8A01-4CE3-95E8-C4CCE8778CEB}"/>
    <cellStyle name="40% - Accent5 3 8" xfId="5421" xr:uid="{5D2C1BCF-776E-4B72-82C0-A49627C58154}"/>
    <cellStyle name="40% - Accent5 3 9" xfId="1117" xr:uid="{9B6D164C-66ED-4ECF-8527-06B678498890}"/>
    <cellStyle name="40% - Accent5 4" xfId="88" xr:uid="{00000000-0005-0000-0000-0000AD000000}"/>
    <cellStyle name="40% - Accent5 4 2" xfId="665" xr:uid="{00000000-0005-0000-0000-0000AE000000}"/>
    <cellStyle name="40% - Accent5 4 2 2" xfId="3764" xr:uid="{8B1FE374-7B5F-43FC-A503-1F5F9CEE9F14}"/>
    <cellStyle name="40% - Accent5 4 2 2 2" xfId="7982" xr:uid="{6484E9B6-EE99-45FB-9316-E84C7321A24C}"/>
    <cellStyle name="40% - Accent5 4 2 3" xfId="5837" xr:uid="{C9DD1AD4-093D-4B90-91F9-06FE06BF99A7}"/>
    <cellStyle name="40% - Accent5 4 2 4" xfId="1533" xr:uid="{845AD27D-59EF-4951-B76F-B49B9F76529E}"/>
    <cellStyle name="40% - Accent5 4 3" xfId="1948" xr:uid="{78141B72-F5B8-46AD-84C7-A8613C4ED68A}"/>
    <cellStyle name="40% - Accent5 4 3 2" xfId="4177" xr:uid="{95D3F209-7C2E-4643-9D8D-21DC86F613FE}"/>
    <cellStyle name="40% - Accent5 4 3 2 2" xfId="8395" xr:uid="{20737746-8DEA-4749-9D82-F0F2F6DD6294}"/>
    <cellStyle name="40% - Accent5 4 3 3" xfId="6250" xr:uid="{5C633366-629E-4768-9302-794850F2002C}"/>
    <cellStyle name="40% - Accent5 4 4" xfId="2361" xr:uid="{F47CDC5C-8C45-4F45-822C-1D195D9F3382}"/>
    <cellStyle name="40% - Accent5 4 4 2" xfId="4590" xr:uid="{E57F473B-48F3-489E-A379-2F16F23A5A0E}"/>
    <cellStyle name="40% - Accent5 4 4 2 2" xfId="8808" xr:uid="{9EEB2A9C-0C7E-4233-A231-D5EB13A92CB5}"/>
    <cellStyle name="40% - Accent5 4 4 3" xfId="6663" xr:uid="{8EC1D79D-27A6-494C-83FE-543FD9C86CB8}"/>
    <cellStyle name="40% - Accent5 4 5" xfId="2774" xr:uid="{7E222FD8-ED8A-4211-804F-7978F79839B8}"/>
    <cellStyle name="40% - Accent5 4 5 2" xfId="5003" xr:uid="{D60274F0-23CF-42AB-AD17-10D431D5BC92}"/>
    <cellStyle name="40% - Accent5 4 5 2 2" xfId="9221" xr:uid="{4ED2AB42-A671-4CB5-88CC-224AD43682F8}"/>
    <cellStyle name="40% - Accent5 4 5 3" xfId="7076" xr:uid="{01513780-30DA-4BB8-9E81-EE8EBE28BF21}"/>
    <cellStyle name="40% - Accent5 4 6" xfId="3187" xr:uid="{AF3CDD7F-9BE8-4569-8413-CFFAED629031}"/>
    <cellStyle name="40% - Accent5 4 6 2" xfId="7489" xr:uid="{AAA2C866-61B0-46EB-B740-AAC689D58A37}"/>
    <cellStyle name="40% - Accent5 4 7" xfId="5423" xr:uid="{FB1E96A7-AC9D-4F4A-B892-258245A4DA29}"/>
    <cellStyle name="40% - Accent5 4 8" xfId="1119" xr:uid="{FBBDB6B9-CF60-45C5-BD6D-32C93EA43199}"/>
    <cellStyle name="40% - Accent5 5" xfId="658" xr:uid="{00000000-0005-0000-0000-0000AF000000}"/>
    <cellStyle name="40% - Accent5 5 2" xfId="3757" xr:uid="{B8446417-9146-4F15-8569-13ED2CF13F59}"/>
    <cellStyle name="40% - Accent5 5 2 2" xfId="7975" xr:uid="{445DE511-EDF7-496A-AFEA-E0F46CD3E99E}"/>
    <cellStyle name="40% - Accent5 5 3" xfId="5830" xr:uid="{FD15DEC5-7989-4E13-81B0-D5C8AD110D53}"/>
    <cellStyle name="40% - Accent5 5 4" xfId="1526" xr:uid="{249FEDDC-C45E-4E00-94E2-E4DA5C4752D4}"/>
    <cellStyle name="40% - Accent5 6" xfId="1941" xr:uid="{E628B9A2-DA47-4FCC-ADB1-44C9BBF99928}"/>
    <cellStyle name="40% - Accent5 6 2" xfId="4170" xr:uid="{FF5A2215-0FAC-4F08-A9A9-5F6559403374}"/>
    <cellStyle name="40% - Accent5 6 2 2" xfId="8388" xr:uid="{992CBB15-E434-4E96-9800-30BB27DCD255}"/>
    <cellStyle name="40% - Accent5 6 3" xfId="6243" xr:uid="{029A317D-4DC5-4216-B3CF-202933689BED}"/>
    <cellStyle name="40% - Accent5 7" xfId="2354" xr:uid="{B019EACE-AED8-49CC-A56A-33AA15400A53}"/>
    <cellStyle name="40% - Accent5 7 2" xfId="4583" xr:uid="{B990FF45-49FF-4780-B8D1-16061FD1168A}"/>
    <cellStyle name="40% - Accent5 7 2 2" xfId="8801" xr:uid="{B6F97F76-52E8-4EC6-918B-A8D09405DB73}"/>
    <cellStyle name="40% - Accent5 7 3" xfId="6656" xr:uid="{ABC07D8C-0EBD-4940-A5FB-FABAC85283EF}"/>
    <cellStyle name="40% - Accent5 8" xfId="2767" xr:uid="{F17D8509-144E-49E5-A27A-B3D93731A402}"/>
    <cellStyle name="40% - Accent5 8 2" xfId="4996" xr:uid="{404FA6FC-7C26-40F7-BA37-2BC8075EA78D}"/>
    <cellStyle name="40% - Accent5 8 2 2" xfId="9214" xr:uid="{A974008B-C70B-41CB-839F-2B49EEEFBB38}"/>
    <cellStyle name="40% - Accent5 8 3" xfId="7069" xr:uid="{4A0B2A0C-B15B-4A33-904C-0618FFB776F7}"/>
    <cellStyle name="40% - Accent5 9" xfId="3180" xr:uid="{C934A71B-0AB5-4059-9FF7-73245AC741EE}"/>
    <cellStyle name="40% - Accent5 9 2" xfId="7482" xr:uid="{0A908585-7D38-4628-B8E5-FE24803FFA7F}"/>
    <cellStyle name="40% - Accent6" xfId="89" builtinId="51" customBuiltin="1"/>
    <cellStyle name="40% - Accent6 10" xfId="5424" xr:uid="{92D933C3-E81D-4526-B01B-888FC8D07071}"/>
    <cellStyle name="40% - Accent6 11" xfId="1120" xr:uid="{92CE3E4F-07BC-48D3-B5A5-B79EE6153BD4}"/>
    <cellStyle name="40% - Accent6 2" xfId="90" xr:uid="{00000000-0005-0000-0000-0000B1000000}"/>
    <cellStyle name="40% - Accent6 2 10" xfId="1121" xr:uid="{12A0DA70-D526-4491-9BA3-9A49EEA6E942}"/>
    <cellStyle name="40% - Accent6 2 2" xfId="91" xr:uid="{00000000-0005-0000-0000-0000B2000000}"/>
    <cellStyle name="40% - Accent6 2 2 2" xfId="92" xr:uid="{00000000-0005-0000-0000-0000B3000000}"/>
    <cellStyle name="40% - Accent6 2 2 2 2" xfId="669" xr:uid="{00000000-0005-0000-0000-0000B4000000}"/>
    <cellStyle name="40% - Accent6 2 2 2 2 2" xfId="3768" xr:uid="{D08CE00A-3539-406D-B996-7DA2AB7146F0}"/>
    <cellStyle name="40% - Accent6 2 2 2 2 2 2" xfId="7986" xr:uid="{7192A09C-9B4C-4428-868B-7379116D2A08}"/>
    <cellStyle name="40% - Accent6 2 2 2 2 3" xfId="5841" xr:uid="{AAB1BCD1-9C87-4C38-80F5-D68407125959}"/>
    <cellStyle name="40% - Accent6 2 2 2 2 4" xfId="1537" xr:uid="{8207DF0B-41FC-41E6-9333-BA413E8E385D}"/>
    <cellStyle name="40% - Accent6 2 2 2 3" xfId="1952" xr:uid="{A6EB90B1-EFF9-4356-B5EC-5F74BAA1EF2F}"/>
    <cellStyle name="40% - Accent6 2 2 2 3 2" xfId="4181" xr:uid="{7F0BF334-DA32-453B-804C-47482D0BE6EF}"/>
    <cellStyle name="40% - Accent6 2 2 2 3 2 2" xfId="8399" xr:uid="{20975324-7634-4ADA-B7CF-005BED8BE484}"/>
    <cellStyle name="40% - Accent6 2 2 2 3 3" xfId="6254" xr:uid="{73E191DC-A8DE-45A3-A18C-039C46E26653}"/>
    <cellStyle name="40% - Accent6 2 2 2 4" xfId="2365" xr:uid="{0EAFD0D8-453B-4065-A27F-2002EAB44E44}"/>
    <cellStyle name="40% - Accent6 2 2 2 4 2" xfId="4594" xr:uid="{04A44182-C2CD-44A4-97F8-496E8ABBB87A}"/>
    <cellStyle name="40% - Accent6 2 2 2 4 2 2" xfId="8812" xr:uid="{B71C3320-7792-43AE-8463-3051632023B1}"/>
    <cellStyle name="40% - Accent6 2 2 2 4 3" xfId="6667" xr:uid="{0A3A06DF-B903-4594-9995-00D9AE1B5A31}"/>
    <cellStyle name="40% - Accent6 2 2 2 5" xfId="2778" xr:uid="{CE971505-5B00-4B37-BF57-C7F97370264A}"/>
    <cellStyle name="40% - Accent6 2 2 2 5 2" xfId="5007" xr:uid="{187B1D65-DC73-4176-9A84-13882AB08D9B}"/>
    <cellStyle name="40% - Accent6 2 2 2 5 2 2" xfId="9225" xr:uid="{8C051F54-AB95-42F1-AE19-511AAD4ED2A1}"/>
    <cellStyle name="40% - Accent6 2 2 2 5 3" xfId="7080" xr:uid="{4F121A99-7BB4-44B5-8325-AE8284749B5F}"/>
    <cellStyle name="40% - Accent6 2 2 2 6" xfId="3191" xr:uid="{B1B81039-3E70-48CE-83E7-F22FD9347313}"/>
    <cellStyle name="40% - Accent6 2 2 2 6 2" xfId="7493" xr:uid="{9D46B6A4-C5D3-42FA-A7AD-5B77B5D01C79}"/>
    <cellStyle name="40% - Accent6 2 2 2 7" xfId="5427" xr:uid="{14B163FF-2C89-425A-BB7E-9C541DF52C1B}"/>
    <cellStyle name="40% - Accent6 2 2 2 8" xfId="1123" xr:uid="{3727EBE4-EA20-40AD-80BF-0E7A0EC0A8C3}"/>
    <cellStyle name="40% - Accent6 2 2 3" xfId="668" xr:uid="{00000000-0005-0000-0000-0000B5000000}"/>
    <cellStyle name="40% - Accent6 2 2 3 2" xfId="3767" xr:uid="{E4DEA9D8-6952-4D7D-B0AB-6A96F9CA9C76}"/>
    <cellStyle name="40% - Accent6 2 2 3 2 2" xfId="7985" xr:uid="{B50E6928-6B11-45F2-9043-0594EE8CDC7A}"/>
    <cellStyle name="40% - Accent6 2 2 3 3" xfId="5840" xr:uid="{84464051-93F9-4B46-BE60-586497A3317F}"/>
    <cellStyle name="40% - Accent6 2 2 3 4" xfId="1536" xr:uid="{23648FF3-21A6-4D73-8F00-99299076B288}"/>
    <cellStyle name="40% - Accent6 2 2 4" xfId="1951" xr:uid="{C9FC0E88-10BB-45B7-AEBF-416448FA78A6}"/>
    <cellStyle name="40% - Accent6 2 2 4 2" xfId="4180" xr:uid="{D426BC0A-B006-48A5-8EB8-90CDC597227B}"/>
    <cellStyle name="40% - Accent6 2 2 4 2 2" xfId="8398" xr:uid="{55EA91EC-4CFC-4CFB-B212-DCA690FFA829}"/>
    <cellStyle name="40% - Accent6 2 2 4 3" xfId="6253" xr:uid="{C9498402-111A-4645-9AD9-517B99F0B26A}"/>
    <cellStyle name="40% - Accent6 2 2 5" xfId="2364" xr:uid="{C424D9F7-B0C4-4C47-9410-6870C18D70B4}"/>
    <cellStyle name="40% - Accent6 2 2 5 2" xfId="4593" xr:uid="{1E246C91-580F-4287-B2A3-9BF0BCB4F721}"/>
    <cellStyle name="40% - Accent6 2 2 5 2 2" xfId="8811" xr:uid="{82EAB638-EB7C-4150-BBD3-9D82AAA4D8BC}"/>
    <cellStyle name="40% - Accent6 2 2 5 3" xfId="6666" xr:uid="{05070474-2656-4AD2-98FD-540A85B4AA14}"/>
    <cellStyle name="40% - Accent6 2 2 6" xfId="2777" xr:uid="{400B2A1B-8007-4831-BD90-3735D391A2E8}"/>
    <cellStyle name="40% - Accent6 2 2 6 2" xfId="5006" xr:uid="{8B54A90D-95BC-4232-BFE6-8191BCB4C20F}"/>
    <cellStyle name="40% - Accent6 2 2 6 2 2" xfId="9224" xr:uid="{C40447A0-19AE-4C66-A8DA-302F927B20C7}"/>
    <cellStyle name="40% - Accent6 2 2 6 3" xfId="7079" xr:uid="{018C8238-ACA2-4C39-ACEC-EB9CAB5ABE8D}"/>
    <cellStyle name="40% - Accent6 2 2 7" xfId="3190" xr:uid="{FF713642-2B50-4E36-AC19-618088AF6E21}"/>
    <cellStyle name="40% - Accent6 2 2 7 2" xfId="7492" xr:uid="{4BCAC76A-7646-4703-B637-95B034BDFDD3}"/>
    <cellStyle name="40% - Accent6 2 2 8" xfId="5426" xr:uid="{21F62923-3128-48C4-970D-C608085A5A03}"/>
    <cellStyle name="40% - Accent6 2 2 9" xfId="1122" xr:uid="{BD3F1F84-87A9-4CF2-B9E1-33706EE8B0C4}"/>
    <cellStyle name="40% - Accent6 2 3" xfId="93" xr:uid="{00000000-0005-0000-0000-0000B6000000}"/>
    <cellStyle name="40% - Accent6 2 3 2" xfId="670" xr:uid="{00000000-0005-0000-0000-0000B7000000}"/>
    <cellStyle name="40% - Accent6 2 3 2 2" xfId="3769" xr:uid="{08F6E481-595F-46B8-B174-3D6417DF214B}"/>
    <cellStyle name="40% - Accent6 2 3 2 2 2" xfId="7987" xr:uid="{A8573DDD-C1EC-4F84-9341-5F0F192AEB11}"/>
    <cellStyle name="40% - Accent6 2 3 2 3" xfId="5842" xr:uid="{D5FA4E5C-0BED-40DD-9FDD-B994016B25B0}"/>
    <cellStyle name="40% - Accent6 2 3 2 4" xfId="1538" xr:uid="{87EA2608-0B37-4F41-86CF-7FDC542D128B}"/>
    <cellStyle name="40% - Accent6 2 3 3" xfId="1953" xr:uid="{FB104ACD-6B24-47B5-9175-1A1F8F8B4BFB}"/>
    <cellStyle name="40% - Accent6 2 3 3 2" xfId="4182" xr:uid="{2083EA51-6615-405A-843B-2A37AA197D48}"/>
    <cellStyle name="40% - Accent6 2 3 3 2 2" xfId="8400" xr:uid="{A5B78CAE-B089-42A0-8C75-D28B4C9600D6}"/>
    <cellStyle name="40% - Accent6 2 3 3 3" xfId="6255" xr:uid="{6DBEF90A-00CB-45BB-8F8C-ED2505EE3313}"/>
    <cellStyle name="40% - Accent6 2 3 4" xfId="2366" xr:uid="{FDB3DE7F-36E0-4A92-A55A-ECE6B877798E}"/>
    <cellStyle name="40% - Accent6 2 3 4 2" xfId="4595" xr:uid="{7458C829-07E1-453A-88A5-6C5FEC13510B}"/>
    <cellStyle name="40% - Accent6 2 3 4 2 2" xfId="8813" xr:uid="{2A45C843-7D5D-427A-8722-B075CCA7F6F1}"/>
    <cellStyle name="40% - Accent6 2 3 4 3" xfId="6668" xr:uid="{322437E7-0583-499E-8899-5981203C6A6F}"/>
    <cellStyle name="40% - Accent6 2 3 5" xfId="2779" xr:uid="{F784BAF4-6A93-47CE-A62C-0CC538486193}"/>
    <cellStyle name="40% - Accent6 2 3 5 2" xfId="5008" xr:uid="{9F183512-04BA-4285-8010-7FA0DC01EF1B}"/>
    <cellStyle name="40% - Accent6 2 3 5 2 2" xfId="9226" xr:uid="{245F0F9E-C26F-466D-881C-9D099FCB2272}"/>
    <cellStyle name="40% - Accent6 2 3 5 3" xfId="7081" xr:uid="{BF06E25A-E096-4C2F-A023-F9C433C17E35}"/>
    <cellStyle name="40% - Accent6 2 3 6" xfId="3192" xr:uid="{7CA5BF80-556B-417E-86DB-996F9F71BE39}"/>
    <cellStyle name="40% - Accent6 2 3 6 2" xfId="7494" xr:uid="{36991C2B-1D5E-493B-AD86-CADD6DE4D8A7}"/>
    <cellStyle name="40% - Accent6 2 3 7" xfId="5428" xr:uid="{A1010248-F049-4BF5-A4BC-91466B04F142}"/>
    <cellStyle name="40% - Accent6 2 3 8" xfId="1124" xr:uid="{BA8ED661-978C-4E5F-9DA1-8A293B0526C3}"/>
    <cellStyle name="40% - Accent6 2 4" xfId="667" xr:uid="{00000000-0005-0000-0000-0000B8000000}"/>
    <cellStyle name="40% - Accent6 2 4 2" xfId="3766" xr:uid="{3C3B447B-4D61-4DDB-8590-8C867D2EA357}"/>
    <cellStyle name="40% - Accent6 2 4 2 2" xfId="7984" xr:uid="{8F16B839-1579-4575-9B1C-A4D8B8F66446}"/>
    <cellStyle name="40% - Accent6 2 4 3" xfId="5839" xr:uid="{8A659F2F-68F3-473E-926D-E6D14942E57E}"/>
    <cellStyle name="40% - Accent6 2 4 4" xfId="1535" xr:uid="{4A1CE123-7861-4533-9A06-6D26807C3B91}"/>
    <cellStyle name="40% - Accent6 2 5" xfId="1950" xr:uid="{7DDBA635-24A0-4889-B3C8-7437076B0C36}"/>
    <cellStyle name="40% - Accent6 2 5 2" xfId="4179" xr:uid="{906D41A5-5D16-4A67-A79C-77B68A1C6B6C}"/>
    <cellStyle name="40% - Accent6 2 5 2 2" xfId="8397" xr:uid="{062A3D6B-4C2B-4F4E-BFBA-CAE13AFD92D0}"/>
    <cellStyle name="40% - Accent6 2 5 3" xfId="6252" xr:uid="{B6BFD9F6-6F24-4ECD-A925-83ABB33E14FE}"/>
    <cellStyle name="40% - Accent6 2 6" xfId="2363" xr:uid="{FCE990E2-7C08-4B37-B22C-4EC94F98EC7D}"/>
    <cellStyle name="40% - Accent6 2 6 2" xfId="4592" xr:uid="{7C218842-7E9F-4A7E-B7ED-A517E98C0916}"/>
    <cellStyle name="40% - Accent6 2 6 2 2" xfId="8810" xr:uid="{D4995657-6C43-496F-9A60-332B114FAF0C}"/>
    <cellStyle name="40% - Accent6 2 6 3" xfId="6665" xr:uid="{34ADB066-746D-40B5-87EA-BC6483EFC0F4}"/>
    <cellStyle name="40% - Accent6 2 7" xfId="2776" xr:uid="{C4FA67AB-E755-4760-A9A5-7104EBFD6937}"/>
    <cellStyle name="40% - Accent6 2 7 2" xfId="5005" xr:uid="{D522B70A-7676-4A31-920F-1377676C5FD5}"/>
    <cellStyle name="40% - Accent6 2 7 2 2" xfId="9223" xr:uid="{5FCC3943-EB27-4117-B053-DB41BCB10CE6}"/>
    <cellStyle name="40% - Accent6 2 7 3" xfId="7078" xr:uid="{9687629C-C888-4160-9BA4-81F0C7C96B8A}"/>
    <cellStyle name="40% - Accent6 2 8" xfId="3189" xr:uid="{5075B35F-94FE-49DA-BCD5-F05A529337A4}"/>
    <cellStyle name="40% - Accent6 2 8 2" xfId="7491" xr:uid="{B26A118A-5DC3-4902-8731-785525198A75}"/>
    <cellStyle name="40% - Accent6 2 9" xfId="5425" xr:uid="{FCBDE501-5262-457B-BC0C-BC23BB8AAF9E}"/>
    <cellStyle name="40% - Accent6 3" xfId="94" xr:uid="{00000000-0005-0000-0000-0000B9000000}"/>
    <cellStyle name="40% - Accent6 3 2" xfId="95" xr:uid="{00000000-0005-0000-0000-0000BA000000}"/>
    <cellStyle name="40% - Accent6 3 2 2" xfId="672" xr:uid="{00000000-0005-0000-0000-0000BB000000}"/>
    <cellStyle name="40% - Accent6 3 2 2 2" xfId="3771" xr:uid="{C06A061C-C6E5-411E-9DFF-E258B637E5DE}"/>
    <cellStyle name="40% - Accent6 3 2 2 2 2" xfId="7989" xr:uid="{8380B3BB-AB98-432B-8353-D3451CB5347F}"/>
    <cellStyle name="40% - Accent6 3 2 2 3" xfId="5844" xr:uid="{431AEA01-6CA9-4271-81EE-2A125275A4B8}"/>
    <cellStyle name="40% - Accent6 3 2 2 4" xfId="1540" xr:uid="{F9748CF3-0829-466D-821C-81F21D4799AB}"/>
    <cellStyle name="40% - Accent6 3 2 3" xfId="1955" xr:uid="{B2FC18DB-35CD-455B-94B1-133FE913009E}"/>
    <cellStyle name="40% - Accent6 3 2 3 2" xfId="4184" xr:uid="{9CFB1F5D-46E9-49F1-AD20-1A07A750F9CA}"/>
    <cellStyle name="40% - Accent6 3 2 3 2 2" xfId="8402" xr:uid="{C5C17C0F-FFAD-449C-961E-56A53DB3E3C1}"/>
    <cellStyle name="40% - Accent6 3 2 3 3" xfId="6257" xr:uid="{B278F304-7E55-4F33-B211-E5F431A020C5}"/>
    <cellStyle name="40% - Accent6 3 2 4" xfId="2368" xr:uid="{B456F847-E693-45A3-9506-2C9C26D6A27A}"/>
    <cellStyle name="40% - Accent6 3 2 4 2" xfId="4597" xr:uid="{BBCF6D34-0038-4D25-AF41-FBB703FAEE97}"/>
    <cellStyle name="40% - Accent6 3 2 4 2 2" xfId="8815" xr:uid="{64A33C44-977D-4C23-93FF-988382D69163}"/>
    <cellStyle name="40% - Accent6 3 2 4 3" xfId="6670" xr:uid="{C753714A-777A-4D4E-A9BB-B8CD03B844FD}"/>
    <cellStyle name="40% - Accent6 3 2 5" xfId="2781" xr:uid="{8B13C88D-CFF7-45CF-88AC-61679C6FBFAD}"/>
    <cellStyle name="40% - Accent6 3 2 5 2" xfId="5010" xr:uid="{46E5462A-346C-4F27-B114-D3EB842E9350}"/>
    <cellStyle name="40% - Accent6 3 2 5 2 2" xfId="9228" xr:uid="{78516C5F-1C0F-4E2E-9CD1-068FC4331CDB}"/>
    <cellStyle name="40% - Accent6 3 2 5 3" xfId="7083" xr:uid="{C661B15D-308E-44C2-9650-1E034844E269}"/>
    <cellStyle name="40% - Accent6 3 2 6" xfId="3194" xr:uid="{46A2906B-B7BF-431C-82FC-76A040F54A81}"/>
    <cellStyle name="40% - Accent6 3 2 6 2" xfId="7496" xr:uid="{17AA7112-BD2F-456B-9180-64733DA755A6}"/>
    <cellStyle name="40% - Accent6 3 2 7" xfId="5430" xr:uid="{483D5CD8-A4E3-43B4-8321-F7F5F01731A5}"/>
    <cellStyle name="40% - Accent6 3 2 8" xfId="1126" xr:uid="{F564952F-8F12-4110-867C-DBA9CDB0D006}"/>
    <cellStyle name="40% - Accent6 3 3" xfId="671" xr:uid="{00000000-0005-0000-0000-0000BC000000}"/>
    <cellStyle name="40% - Accent6 3 3 2" xfId="3770" xr:uid="{A9989E36-AB67-4C97-9CA0-CDB14299A256}"/>
    <cellStyle name="40% - Accent6 3 3 2 2" xfId="7988" xr:uid="{E4ED95C0-C861-4C22-9479-C6ABED5A4A45}"/>
    <cellStyle name="40% - Accent6 3 3 3" xfId="5843" xr:uid="{A4E209A4-CCE6-4185-B5D0-1DC626C87179}"/>
    <cellStyle name="40% - Accent6 3 3 4" xfId="1539" xr:uid="{16D85D74-4338-4379-BD51-BD0EBF7B0832}"/>
    <cellStyle name="40% - Accent6 3 4" xfId="1954" xr:uid="{36320E8F-B79E-4B77-9512-4B060E43011B}"/>
    <cellStyle name="40% - Accent6 3 4 2" xfId="4183" xr:uid="{36433C26-5EC4-4587-958A-CA852BBF4BDB}"/>
    <cellStyle name="40% - Accent6 3 4 2 2" xfId="8401" xr:uid="{DD3B801B-EFE8-4905-8CB4-7315EFA5C71B}"/>
    <cellStyle name="40% - Accent6 3 4 3" xfId="6256" xr:uid="{FD809811-0FF1-455E-A808-E81036AF6976}"/>
    <cellStyle name="40% - Accent6 3 5" xfId="2367" xr:uid="{364C6F84-8E93-453C-A2D0-B34209AC3AA0}"/>
    <cellStyle name="40% - Accent6 3 5 2" xfId="4596" xr:uid="{2DE0D0C8-E149-4341-9A37-6B782CB84BD3}"/>
    <cellStyle name="40% - Accent6 3 5 2 2" xfId="8814" xr:uid="{52402B29-9AF8-4822-B1B8-7D1F8FBB5B14}"/>
    <cellStyle name="40% - Accent6 3 5 3" xfId="6669" xr:uid="{55C28FD4-CC79-42B9-A13E-9A14C001D160}"/>
    <cellStyle name="40% - Accent6 3 6" xfId="2780" xr:uid="{6A3632F3-873A-4F98-9B84-A60825684C8A}"/>
    <cellStyle name="40% - Accent6 3 6 2" xfId="5009" xr:uid="{B4AA4A2A-88CD-41A1-8FC4-05463F7DF8AC}"/>
    <cellStyle name="40% - Accent6 3 6 2 2" xfId="9227" xr:uid="{C4D04BB6-4EA5-4EC2-A040-140F3E179122}"/>
    <cellStyle name="40% - Accent6 3 6 3" xfId="7082" xr:uid="{0CA8A315-1335-4540-BB3B-171E12806551}"/>
    <cellStyle name="40% - Accent6 3 7" xfId="3193" xr:uid="{51D32F38-8DC6-4255-BEB8-ACED98F83BC5}"/>
    <cellStyle name="40% - Accent6 3 7 2" xfId="7495" xr:uid="{3B9DB993-B75E-456C-8860-EF34F6C4FEB4}"/>
    <cellStyle name="40% - Accent6 3 8" xfId="5429" xr:uid="{0239317A-6363-4118-9CF3-B0911BD1F26E}"/>
    <cellStyle name="40% - Accent6 3 9" xfId="1125" xr:uid="{48120877-E938-4F8F-A12D-354D1BE5970D}"/>
    <cellStyle name="40% - Accent6 4" xfId="96" xr:uid="{00000000-0005-0000-0000-0000BD000000}"/>
    <cellStyle name="40% - Accent6 4 2" xfId="673" xr:uid="{00000000-0005-0000-0000-0000BE000000}"/>
    <cellStyle name="40% - Accent6 4 2 2" xfId="3772" xr:uid="{897E6218-9390-4670-AC75-470B21C1D9EB}"/>
    <cellStyle name="40% - Accent6 4 2 2 2" xfId="7990" xr:uid="{53BF410C-0F7E-4010-85EA-3B1C5F05DE26}"/>
    <cellStyle name="40% - Accent6 4 2 3" xfId="5845" xr:uid="{D336134B-8241-4BA4-8E85-520D22D60DCE}"/>
    <cellStyle name="40% - Accent6 4 2 4" xfId="1541" xr:uid="{9333654B-4238-4B83-B6ED-F74C247B75D3}"/>
    <cellStyle name="40% - Accent6 4 3" xfId="1956" xr:uid="{AC9D99CE-655F-4A7B-A433-65E016EA9E39}"/>
    <cellStyle name="40% - Accent6 4 3 2" xfId="4185" xr:uid="{142A1F5A-70A7-487A-A762-17F0149337B9}"/>
    <cellStyle name="40% - Accent6 4 3 2 2" xfId="8403" xr:uid="{64E32C12-E470-4E69-98B4-9C952968C41D}"/>
    <cellStyle name="40% - Accent6 4 3 3" xfId="6258" xr:uid="{A365B93F-0576-4423-AD61-69D4B4D45938}"/>
    <cellStyle name="40% - Accent6 4 4" xfId="2369" xr:uid="{E3E78FE6-064F-4E90-AB16-6FC065A0ACBA}"/>
    <cellStyle name="40% - Accent6 4 4 2" xfId="4598" xr:uid="{36F75B1A-1B6C-4C75-98D9-D3B18A782AD1}"/>
    <cellStyle name="40% - Accent6 4 4 2 2" xfId="8816" xr:uid="{FB4DA1DC-EDB7-4B28-B8FC-1D60751A369D}"/>
    <cellStyle name="40% - Accent6 4 4 3" xfId="6671" xr:uid="{E8280D5C-A12B-4090-A890-F4E5781FC0E9}"/>
    <cellStyle name="40% - Accent6 4 5" xfId="2782" xr:uid="{A761C853-A9AC-40CA-809A-4AE73C8EE919}"/>
    <cellStyle name="40% - Accent6 4 5 2" xfId="5011" xr:uid="{8AD200D4-1FFD-47FE-9191-CC646915B74B}"/>
    <cellStyle name="40% - Accent6 4 5 2 2" xfId="9229" xr:uid="{C7D94914-EE6C-4CB9-8C46-B0F082746A61}"/>
    <cellStyle name="40% - Accent6 4 5 3" xfId="7084" xr:uid="{7128ABC6-8EFF-40DF-8CA7-F75463910A76}"/>
    <cellStyle name="40% - Accent6 4 6" xfId="3195" xr:uid="{8C8005EB-E495-4D2A-B13B-510B7CE8AF02}"/>
    <cellStyle name="40% - Accent6 4 6 2" xfId="7497" xr:uid="{15E72ECC-EECE-4C67-974A-8C59765738DD}"/>
    <cellStyle name="40% - Accent6 4 7" xfId="5431" xr:uid="{C2C46202-3208-4B9B-BFC2-FCD168715763}"/>
    <cellStyle name="40% - Accent6 4 8" xfId="1127" xr:uid="{521DAC98-91F7-4AFC-BBF9-179B3FA8E9D0}"/>
    <cellStyle name="40% - Accent6 5" xfId="666" xr:uid="{00000000-0005-0000-0000-0000BF000000}"/>
    <cellStyle name="40% - Accent6 5 2" xfId="3765" xr:uid="{C30F258B-CF20-456C-82C9-775596B18F89}"/>
    <cellStyle name="40% - Accent6 5 2 2" xfId="7983" xr:uid="{2B6A1D9A-B727-4C74-8335-85E3EE3CE8F9}"/>
    <cellStyle name="40% - Accent6 5 3" xfId="5838" xr:uid="{C702F4C6-BA57-491E-BF21-1A288D4BED63}"/>
    <cellStyle name="40% - Accent6 5 4" xfId="1534" xr:uid="{70E536D5-912E-4178-B429-AC75D7528BF4}"/>
    <cellStyle name="40% - Accent6 6" xfId="1949" xr:uid="{71A1B927-2720-4102-9A19-CA31F1AD2609}"/>
    <cellStyle name="40% - Accent6 6 2" xfId="4178" xr:uid="{E62E5B20-AFE9-4754-933E-08751786A578}"/>
    <cellStyle name="40% - Accent6 6 2 2" xfId="8396" xr:uid="{E6A33FB5-6938-4D8D-8B0F-33D294B9D633}"/>
    <cellStyle name="40% - Accent6 6 3" xfId="6251" xr:uid="{82BE6056-A8B3-44EE-A1C2-A5E21CEDAFC2}"/>
    <cellStyle name="40% - Accent6 7" xfId="2362" xr:uid="{3DAE62EF-DBAA-49BA-9FDD-1136CE7F12F6}"/>
    <cellStyle name="40% - Accent6 7 2" xfId="4591" xr:uid="{F6AD8242-4621-428C-81CA-4E638B8BB252}"/>
    <cellStyle name="40% - Accent6 7 2 2" xfId="8809" xr:uid="{301A7308-B62A-479B-AC81-FD34D2FBB667}"/>
    <cellStyle name="40% - Accent6 7 3" xfId="6664" xr:uid="{3E9A4C98-2AB6-4893-A5BE-F411198C1E21}"/>
    <cellStyle name="40% - Accent6 8" xfId="2775" xr:uid="{622B46AA-381A-43C7-B8CF-A9234E4FE9E4}"/>
    <cellStyle name="40% - Accent6 8 2" xfId="5004" xr:uid="{33EC42E7-9023-4103-8E61-45AA288F2BB1}"/>
    <cellStyle name="40% - Accent6 8 2 2" xfId="9222" xr:uid="{731BEFBB-85CC-46E7-BD71-174BB8712217}"/>
    <cellStyle name="40% - Accent6 8 3" xfId="7077" xr:uid="{0477795F-027F-4198-9920-D28E3C1A3C1A}"/>
    <cellStyle name="40% - Accent6 9" xfId="3188" xr:uid="{CCB75C1C-AFA4-46D9-8D1B-7309533FC54B}"/>
    <cellStyle name="40% - Accent6 9 2" xfId="7490" xr:uid="{E998FE89-ACF5-4349-A3B5-AD9AB996F5F8}"/>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3596" xr:uid="{D20017E2-52BA-4AAF-9A0E-ED96759BE58D}"/>
    <cellStyle name="Comma 4 2 2 2 10 2" xfId="7815" xr:uid="{7942DF57-ABC0-4C1A-B390-AF9E37BD87D6}"/>
    <cellStyle name="Comma 4 2 2 2 11" xfId="5432" xr:uid="{4A408C22-0C3E-42F6-ADD1-2A3A8259DC7A}"/>
    <cellStyle name="Comma 4 2 2 2 12" xfId="1128" xr:uid="{9BD65E1D-EE4C-455F-B82F-7DA342987A52}"/>
    <cellStyle name="Comma 4 2 2 2 2" xfId="129" xr:uid="{00000000-0005-0000-0000-0000E0000000}"/>
    <cellStyle name="Comma 4 2 2 2 2 10" xfId="5433" xr:uid="{A208C97A-6CA5-455F-8265-3FB2BCD67F38}"/>
    <cellStyle name="Comma 4 2 2 2 2 11" xfId="1129" xr:uid="{826F51E2-3EE8-4080-90D7-78198688DFBD}"/>
    <cellStyle name="Comma 4 2 2 2 2 2" xfId="130" xr:uid="{00000000-0005-0000-0000-0000E1000000}"/>
    <cellStyle name="Comma 4 2 2 2 2 2 10" xfId="1130" xr:uid="{D54B62CC-599B-424C-BC1F-6B7EE113D79E}"/>
    <cellStyle name="Comma 4 2 2 2 2 2 2" xfId="676" xr:uid="{00000000-0005-0000-0000-0000E2000000}"/>
    <cellStyle name="Comma 4 2 2 2 2 2 2 2" xfId="3775" xr:uid="{93545771-DEE4-4D98-B012-FAA9771AF915}"/>
    <cellStyle name="Comma 4 2 2 2 2 2 2 2 2" xfId="7993" xr:uid="{81290B17-2564-4474-B5B4-26CF0840A547}"/>
    <cellStyle name="Comma 4 2 2 2 2 2 2 3" xfId="5848" xr:uid="{3EA284CC-C976-430F-BF83-BEFD70CD8C32}"/>
    <cellStyle name="Comma 4 2 2 2 2 2 2 4" xfId="1544" xr:uid="{8A3F4195-A5F7-4629-81BD-420DE4BB132C}"/>
    <cellStyle name="Comma 4 2 2 2 2 2 3" xfId="1959" xr:uid="{31E23612-082E-47BB-8A27-1767B7CC2559}"/>
    <cellStyle name="Comma 4 2 2 2 2 2 3 2" xfId="4188" xr:uid="{7ADF580F-9F54-419A-B232-F6605C8D2C80}"/>
    <cellStyle name="Comma 4 2 2 2 2 2 3 2 2" xfId="8406" xr:uid="{B4AABBB6-F977-437D-8D97-D9F114433C8C}"/>
    <cellStyle name="Comma 4 2 2 2 2 2 3 3" xfId="6261" xr:uid="{CEDF56FB-4283-4B4D-AB03-8D69E54B75FA}"/>
    <cellStyle name="Comma 4 2 2 2 2 2 4" xfId="2372" xr:uid="{F856F8DF-B8DD-49B5-BA2B-4CDADD0A31EC}"/>
    <cellStyle name="Comma 4 2 2 2 2 2 4 2" xfId="4601" xr:uid="{4751032F-97BD-43C3-9760-161F5DDA63D5}"/>
    <cellStyle name="Comma 4 2 2 2 2 2 4 2 2" xfId="8819" xr:uid="{ACDEDC4D-9162-4AA5-9E2A-6EBA90656EDC}"/>
    <cellStyle name="Comma 4 2 2 2 2 2 4 3" xfId="6674" xr:uid="{8A45B06A-F93E-4A10-8BED-206607CD394B}"/>
    <cellStyle name="Comma 4 2 2 2 2 2 5" xfId="2785" xr:uid="{E4011410-4CFA-4BF4-BC3F-6E42EE571913}"/>
    <cellStyle name="Comma 4 2 2 2 2 2 5 2" xfId="5014" xr:uid="{CAAD6D7B-42C5-48B9-BE2A-F01AAE5DCAB9}"/>
    <cellStyle name="Comma 4 2 2 2 2 2 5 2 2" xfId="9232" xr:uid="{CD3D5457-29AF-4346-B3DB-31CAE1FC30CC}"/>
    <cellStyle name="Comma 4 2 2 2 2 2 5 3" xfId="7087" xr:uid="{AB975064-9C14-4EB7-BDC0-F16BEF6A70C6}"/>
    <cellStyle name="Comma 4 2 2 2 2 2 6" xfId="3220" xr:uid="{7DD09FF6-AB86-4F11-BD7C-DB1D57C45D0D}"/>
    <cellStyle name="Comma 4 2 2 2 2 2 6 2" xfId="7500" xr:uid="{1E148615-DAED-43A5-95F8-DFD75D68357D}"/>
    <cellStyle name="Comma 4 2 2 2 2 2 7" xfId="3215" xr:uid="{29A5C637-4C18-4056-B5E9-25712DDA62CE}"/>
    <cellStyle name="Comma 4 2 2 2 2 2 8" xfId="3598" xr:uid="{192B1885-A0D6-46E4-9F5D-8D2B94808578}"/>
    <cellStyle name="Comma 4 2 2 2 2 2 8 2" xfId="7817" xr:uid="{96B8A1A7-0111-4656-9250-F17DB1C56762}"/>
    <cellStyle name="Comma 4 2 2 2 2 2 9" xfId="5434" xr:uid="{36DCFC00-972A-4C00-9160-0AE828899BAA}"/>
    <cellStyle name="Comma 4 2 2 2 2 3" xfId="675" xr:uid="{00000000-0005-0000-0000-0000E3000000}"/>
    <cellStyle name="Comma 4 2 2 2 2 3 2" xfId="3774" xr:uid="{54A5DE4B-8032-4BA2-9D11-270BE837049A}"/>
    <cellStyle name="Comma 4 2 2 2 2 3 2 2" xfId="7992" xr:uid="{5DED6BE4-07A7-4EA3-BBF4-B46C47BAA462}"/>
    <cellStyle name="Comma 4 2 2 2 2 3 3" xfId="5847" xr:uid="{28941170-2870-4D9E-BA43-4379F7AD5DFD}"/>
    <cellStyle name="Comma 4 2 2 2 2 3 4" xfId="1543" xr:uid="{B761C541-A3AC-48F7-8419-664BD7D854F4}"/>
    <cellStyle name="Comma 4 2 2 2 2 4" xfId="1958" xr:uid="{806C7146-9640-4F88-9925-B9A515EA09C6}"/>
    <cellStyle name="Comma 4 2 2 2 2 4 2" xfId="4187" xr:uid="{FF8568E1-DFC8-4EA4-BD92-D62A4F2CE608}"/>
    <cellStyle name="Comma 4 2 2 2 2 4 2 2" xfId="8405" xr:uid="{047D7510-5133-4DAF-914C-73C2D66D4624}"/>
    <cellStyle name="Comma 4 2 2 2 2 4 3" xfId="6260" xr:uid="{4248F921-2FD1-4072-9DFC-703202C4C005}"/>
    <cellStyle name="Comma 4 2 2 2 2 5" xfId="2371" xr:uid="{D1CCEFB6-A49C-411C-9645-27F3F03482C4}"/>
    <cellStyle name="Comma 4 2 2 2 2 5 2" xfId="4600" xr:uid="{0D209B1C-25B5-41A2-96F4-84C36F409648}"/>
    <cellStyle name="Comma 4 2 2 2 2 5 2 2" xfId="8818" xr:uid="{99A99533-851C-4B9C-B14D-02522C7E3789}"/>
    <cellStyle name="Comma 4 2 2 2 2 5 3" xfId="6673" xr:uid="{1D4B37C6-B8DC-482E-A513-991698656A1C}"/>
    <cellStyle name="Comma 4 2 2 2 2 6" xfId="2784" xr:uid="{BDC0E9DA-688F-47B1-A1CE-6205D8DC01FB}"/>
    <cellStyle name="Comma 4 2 2 2 2 6 2" xfId="5013" xr:uid="{7B5238BF-17C4-47D9-8C23-AF6D11ECA427}"/>
    <cellStyle name="Comma 4 2 2 2 2 6 2 2" xfId="9231" xr:uid="{6CC185C5-D160-4262-9D87-E2B5C9CEAE37}"/>
    <cellStyle name="Comma 4 2 2 2 2 6 3" xfId="7086" xr:uid="{D996A844-F258-4F1B-AD92-9304B6F9E2EF}"/>
    <cellStyle name="Comma 4 2 2 2 2 7" xfId="3219" xr:uid="{CD8619AC-09C5-4A40-BC8D-CE4BB3307ACE}"/>
    <cellStyle name="Comma 4 2 2 2 2 7 2" xfId="7499" xr:uid="{A0007F50-0E34-41E4-A135-135C8788E014}"/>
    <cellStyle name="Comma 4 2 2 2 2 8" xfId="3216" xr:uid="{E151A77B-0459-484F-B681-51FB3BC32511}"/>
    <cellStyle name="Comma 4 2 2 2 2 9" xfId="3597" xr:uid="{E4E4B2F9-C882-428D-A1FF-EAC0C6FA9DA6}"/>
    <cellStyle name="Comma 4 2 2 2 2 9 2" xfId="7816" xr:uid="{99FCB162-4AAC-4E40-A296-29A46DECB09E}"/>
    <cellStyle name="Comma 4 2 2 2 3" xfId="131" xr:uid="{00000000-0005-0000-0000-0000E4000000}"/>
    <cellStyle name="Comma 4 2 2 2 3 10" xfId="1131" xr:uid="{63AFBF22-1C36-4A7F-BB49-6E5A36C59486}"/>
    <cellStyle name="Comma 4 2 2 2 3 2" xfId="677" xr:uid="{00000000-0005-0000-0000-0000E5000000}"/>
    <cellStyle name="Comma 4 2 2 2 3 2 2" xfId="3776" xr:uid="{EC849F1A-6753-4DCC-A52E-4BD8F2D1FA03}"/>
    <cellStyle name="Comma 4 2 2 2 3 2 2 2" xfId="7994" xr:uid="{D0A5D4BA-D2F3-429D-ADBA-0943D2A53B46}"/>
    <cellStyle name="Comma 4 2 2 2 3 2 3" xfId="5849" xr:uid="{38EEE31E-5B60-415F-919E-05A378865284}"/>
    <cellStyle name="Comma 4 2 2 2 3 2 4" xfId="1545" xr:uid="{399A6213-CFA2-4482-8AEC-C37DEDB3BC72}"/>
    <cellStyle name="Comma 4 2 2 2 3 3" xfId="1960" xr:uid="{E0F32419-6E16-4EC0-801C-54138A92422E}"/>
    <cellStyle name="Comma 4 2 2 2 3 3 2" xfId="4189" xr:uid="{DF320DE4-D16B-4843-9794-E4A4B51C6B51}"/>
    <cellStyle name="Comma 4 2 2 2 3 3 2 2" xfId="8407" xr:uid="{046F1081-6470-4231-B269-A734344B1E41}"/>
    <cellStyle name="Comma 4 2 2 2 3 3 3" xfId="6262" xr:uid="{92443590-70B4-446F-A9F3-ADD5863AAB08}"/>
    <cellStyle name="Comma 4 2 2 2 3 4" xfId="2373" xr:uid="{7E871341-5E70-4523-BD63-C4BF9A23E11D}"/>
    <cellStyle name="Comma 4 2 2 2 3 4 2" xfId="4602" xr:uid="{27909E06-AD9D-4175-8168-CE88C3718C97}"/>
    <cellStyle name="Comma 4 2 2 2 3 4 2 2" xfId="8820" xr:uid="{1272A34D-707D-4A8C-AF33-83CED0A6296E}"/>
    <cellStyle name="Comma 4 2 2 2 3 4 3" xfId="6675" xr:uid="{4DB5FEF5-154A-4856-B549-4E493462ED15}"/>
    <cellStyle name="Comma 4 2 2 2 3 5" xfId="2786" xr:uid="{F84D1CD7-849D-48DF-9774-14C4CAF62F42}"/>
    <cellStyle name="Comma 4 2 2 2 3 5 2" xfId="5015" xr:uid="{80B7DBD8-4079-4212-8643-926B3E4CB77B}"/>
    <cellStyle name="Comma 4 2 2 2 3 5 2 2" xfId="9233" xr:uid="{A4C9CA40-4E39-420C-8BE6-DA9E1C59220A}"/>
    <cellStyle name="Comma 4 2 2 2 3 5 3" xfId="7088" xr:uid="{F60C7399-1C88-4C0A-B81F-BA83EA32CA76}"/>
    <cellStyle name="Comma 4 2 2 2 3 6" xfId="3221" xr:uid="{C3F2CAD9-7530-4CC1-ADA2-15F7D904BCEA}"/>
    <cellStyle name="Comma 4 2 2 2 3 6 2" xfId="7501" xr:uid="{F49ADA82-C554-4578-8CBF-21C8F67391FD}"/>
    <cellStyle name="Comma 4 2 2 2 3 7" xfId="3214" xr:uid="{3AE07616-500B-4AD1-8FD8-D8E1BD4ABB16}"/>
    <cellStyle name="Comma 4 2 2 2 3 8" xfId="3599" xr:uid="{B64494AC-FC47-48CF-8B9F-D60AE42D3DDA}"/>
    <cellStyle name="Comma 4 2 2 2 3 8 2" xfId="7818" xr:uid="{2A848B0C-9D81-4211-B89E-02BCAA1AB137}"/>
    <cellStyle name="Comma 4 2 2 2 3 9" xfId="5435" xr:uid="{5552FB0F-578D-483E-AC93-24A5489B9B77}"/>
    <cellStyle name="Comma 4 2 2 2 4" xfId="674" xr:uid="{00000000-0005-0000-0000-0000E6000000}"/>
    <cellStyle name="Comma 4 2 2 2 4 2" xfId="3773" xr:uid="{748DDFEB-6871-4395-9CB3-C964EC37B22A}"/>
    <cellStyle name="Comma 4 2 2 2 4 2 2" xfId="7991" xr:uid="{C49DDCB1-089E-4547-9E0C-276DEF9E4B4B}"/>
    <cellStyle name="Comma 4 2 2 2 4 3" xfId="5846" xr:uid="{91B7B937-E30D-4B87-B8B2-1F2276AB1BB3}"/>
    <cellStyle name="Comma 4 2 2 2 4 4" xfId="1542" xr:uid="{698B90A1-799E-443D-8EAB-A82138460D74}"/>
    <cellStyle name="Comma 4 2 2 2 5" xfId="1957" xr:uid="{AF88EE09-99FB-4924-8BBF-888078C58800}"/>
    <cellStyle name="Comma 4 2 2 2 5 2" xfId="4186" xr:uid="{2AA424F1-1E61-4CDE-89B2-A9728777D5FA}"/>
    <cellStyle name="Comma 4 2 2 2 5 2 2" xfId="8404" xr:uid="{A0DAF8AF-6E0C-40F3-B157-F26CE9206FDE}"/>
    <cellStyle name="Comma 4 2 2 2 5 3" xfId="6259" xr:uid="{529FF345-23AD-4794-8085-751C9BFBAFA8}"/>
    <cellStyle name="Comma 4 2 2 2 6" xfId="2370" xr:uid="{F2878DB5-9A29-4EBB-9688-96D655FA3BF8}"/>
    <cellStyle name="Comma 4 2 2 2 6 2" xfId="4599" xr:uid="{3671D12D-C240-448C-A9D9-EA77E66E804D}"/>
    <cellStyle name="Comma 4 2 2 2 6 2 2" xfId="8817" xr:uid="{A6E423CB-0591-46E3-837A-F541829D4A67}"/>
    <cellStyle name="Comma 4 2 2 2 6 3" xfId="6672" xr:uid="{38890EB9-C3BB-4D02-A63C-262216002C0A}"/>
    <cellStyle name="Comma 4 2 2 2 7" xfId="2783" xr:uid="{7E77D14F-FDF3-4242-B467-3F5C515EE8FC}"/>
    <cellStyle name="Comma 4 2 2 2 7 2" xfId="5012" xr:uid="{55C6129B-9BFB-4D0D-AE81-E1A670C9C0C8}"/>
    <cellStyle name="Comma 4 2 2 2 7 2 2" xfId="9230" xr:uid="{68947979-A401-485C-AB63-3DB72C947EFD}"/>
    <cellStyle name="Comma 4 2 2 2 7 3" xfId="7085" xr:uid="{0C8A900F-EE6C-4003-A5B0-917C9647DF11}"/>
    <cellStyle name="Comma 4 2 2 2 8" xfId="3218" xr:uid="{625F6D18-E434-458A-B26C-0A57B1092891}"/>
    <cellStyle name="Comma 4 2 2 2 8 2" xfId="7498" xr:uid="{5FB95731-D2CE-4933-B241-64FB96D7BDD9}"/>
    <cellStyle name="Comma 4 2 2 2 9" xfId="3217" xr:uid="{0BACA393-7652-4D90-9FEF-12B43C7460F1}"/>
    <cellStyle name="Comma 4 2 2 3" xfId="132" xr:uid="{00000000-0005-0000-0000-0000E7000000}"/>
    <cellStyle name="Comma 4 2 2 3 10" xfId="5436" xr:uid="{5A7C302E-A79B-46F5-A979-9CC81F34CBED}"/>
    <cellStyle name="Comma 4 2 2 3 11" xfId="1132" xr:uid="{55C608BB-19DA-4781-BA90-498012B461CF}"/>
    <cellStyle name="Comma 4 2 2 3 2" xfId="133" xr:uid="{00000000-0005-0000-0000-0000E8000000}"/>
    <cellStyle name="Comma 4 2 2 3 2 10" xfId="1133" xr:uid="{B0B54C08-154B-4A5A-9DD0-146E641B9EEB}"/>
    <cellStyle name="Comma 4 2 2 3 2 2" xfId="679" xr:uid="{00000000-0005-0000-0000-0000E9000000}"/>
    <cellStyle name="Comma 4 2 2 3 2 2 2" xfId="3778" xr:uid="{1BAD1DA3-1E1C-4249-88F4-00967C11926E}"/>
    <cellStyle name="Comma 4 2 2 3 2 2 2 2" xfId="7996" xr:uid="{6AD85B33-B9C9-4B7B-AD17-8891519BE7B8}"/>
    <cellStyle name="Comma 4 2 2 3 2 2 3" xfId="5851" xr:uid="{8BE1779D-1EA8-47CA-A55B-FED15FA2F031}"/>
    <cellStyle name="Comma 4 2 2 3 2 2 4" xfId="1547" xr:uid="{DFC52495-4EAB-4A15-A108-3D21959504DB}"/>
    <cellStyle name="Comma 4 2 2 3 2 3" xfId="1962" xr:uid="{E3A76FF2-429C-4A95-BF21-234AA8C994F5}"/>
    <cellStyle name="Comma 4 2 2 3 2 3 2" xfId="4191" xr:uid="{9868359A-23DB-4714-BB62-173A22E9FCB8}"/>
    <cellStyle name="Comma 4 2 2 3 2 3 2 2" xfId="8409" xr:uid="{5BD8F2DE-3B72-4C45-A9A4-3960D0A5183C}"/>
    <cellStyle name="Comma 4 2 2 3 2 3 3" xfId="6264" xr:uid="{4DA3F93E-38D2-45E1-A865-0C2E2FFE5CE5}"/>
    <cellStyle name="Comma 4 2 2 3 2 4" xfId="2375" xr:uid="{81900EA7-8982-4957-95B6-981F0C8A8821}"/>
    <cellStyle name="Comma 4 2 2 3 2 4 2" xfId="4604" xr:uid="{E85841BE-8EC4-4F78-B7BB-75B7A1DD348E}"/>
    <cellStyle name="Comma 4 2 2 3 2 4 2 2" xfId="8822" xr:uid="{AEC0D344-B63D-43D2-A40E-2CF94439D93C}"/>
    <cellStyle name="Comma 4 2 2 3 2 4 3" xfId="6677" xr:uid="{97FDE3F0-96C3-430E-AB01-0B426EFF037C}"/>
    <cellStyle name="Comma 4 2 2 3 2 5" xfId="2788" xr:uid="{0B638B4B-1A70-435C-A399-BEEF9310C7F0}"/>
    <cellStyle name="Comma 4 2 2 3 2 5 2" xfId="5017" xr:uid="{F801B249-42E6-406E-A3C9-E627F804A5C6}"/>
    <cellStyle name="Comma 4 2 2 3 2 5 2 2" xfId="9235" xr:uid="{70FC9C29-BB65-4C2A-9AB5-7DA38D85428C}"/>
    <cellStyle name="Comma 4 2 2 3 2 5 3" xfId="7090" xr:uid="{00468E9F-366A-49D0-BCA9-514B75E5FD01}"/>
    <cellStyle name="Comma 4 2 2 3 2 6" xfId="3223" xr:uid="{5812DA1D-8B34-4E3A-B6AF-D6C70ED2649A}"/>
    <cellStyle name="Comma 4 2 2 3 2 6 2" xfId="7503" xr:uid="{4E54C7F2-1D83-4A6A-9262-FBF04C5E6138}"/>
    <cellStyle name="Comma 4 2 2 3 2 7" xfId="3212" xr:uid="{1FEEC79E-90DD-41F6-BF9E-5E8A65B176F1}"/>
    <cellStyle name="Comma 4 2 2 3 2 8" xfId="3601" xr:uid="{A0E96D0D-05F3-4454-9FC7-F81687EC4244}"/>
    <cellStyle name="Comma 4 2 2 3 2 8 2" xfId="7820" xr:uid="{BE5E45BF-7E8B-4CC0-89B1-0509F2355AAF}"/>
    <cellStyle name="Comma 4 2 2 3 2 9" xfId="5437" xr:uid="{86ECE855-E6E8-4227-B54C-E6A76943AAE6}"/>
    <cellStyle name="Comma 4 2 2 3 3" xfId="678" xr:uid="{00000000-0005-0000-0000-0000EA000000}"/>
    <cellStyle name="Comma 4 2 2 3 3 2" xfId="3777" xr:uid="{9DE38A0D-B6F9-4C2A-9C54-706DC768207B}"/>
    <cellStyle name="Comma 4 2 2 3 3 2 2" xfId="7995" xr:uid="{01850692-B353-4F5D-8484-FE830F373DE2}"/>
    <cellStyle name="Comma 4 2 2 3 3 3" xfId="5850" xr:uid="{5EDBF37D-8FEE-4CE2-AA2F-AF7164C7F70C}"/>
    <cellStyle name="Comma 4 2 2 3 3 4" xfId="1546" xr:uid="{05DFD9B5-4CC8-4B81-BFC2-2735677A158A}"/>
    <cellStyle name="Comma 4 2 2 3 4" xfId="1961" xr:uid="{11B46D17-7C68-49EA-A374-D812E0AA0F43}"/>
    <cellStyle name="Comma 4 2 2 3 4 2" xfId="4190" xr:uid="{398E0129-B253-4943-ACC1-6D2B994431E9}"/>
    <cellStyle name="Comma 4 2 2 3 4 2 2" xfId="8408" xr:uid="{9E85C27E-093A-4849-BA22-3DDD302B505D}"/>
    <cellStyle name="Comma 4 2 2 3 4 3" xfId="6263" xr:uid="{B65D1A09-5E9A-4205-B063-DF29719FB453}"/>
    <cellStyle name="Comma 4 2 2 3 5" xfId="2374" xr:uid="{B16A0C15-34FE-4F0E-980D-A5BBB5EDC410}"/>
    <cellStyle name="Comma 4 2 2 3 5 2" xfId="4603" xr:uid="{6C4545E9-2CD2-40CA-B7A1-13CEE75D0CB1}"/>
    <cellStyle name="Comma 4 2 2 3 5 2 2" xfId="8821" xr:uid="{7A316E20-F19F-4B62-BECC-E4C047C3B8EF}"/>
    <cellStyle name="Comma 4 2 2 3 5 3" xfId="6676" xr:uid="{8A35F39E-B36E-421D-9B7B-69C8B45EC43F}"/>
    <cellStyle name="Comma 4 2 2 3 6" xfId="2787" xr:uid="{8054C3DA-307A-4EFE-8C7F-8BB30C35AC93}"/>
    <cellStyle name="Comma 4 2 2 3 6 2" xfId="5016" xr:uid="{FFE52A7D-8DE9-4E3B-9721-748FCE373EE1}"/>
    <cellStyle name="Comma 4 2 2 3 6 2 2" xfId="9234" xr:uid="{96A3AB8E-B883-4961-AD4E-533C32BCFBAF}"/>
    <cellStyle name="Comma 4 2 2 3 6 3" xfId="7089" xr:uid="{28FFC4B1-2627-4F00-B4B0-8796B34C8342}"/>
    <cellStyle name="Comma 4 2 2 3 7" xfId="3222" xr:uid="{5242282C-AD87-43F9-BDC7-DBE4BB63E378}"/>
    <cellStyle name="Comma 4 2 2 3 7 2" xfId="7502" xr:uid="{6D3DB540-6BAC-406E-98A3-D862972BA25D}"/>
    <cellStyle name="Comma 4 2 2 3 8" xfId="3213" xr:uid="{EB19ACDF-2373-4245-94D3-EE5B9F393284}"/>
    <cellStyle name="Comma 4 2 2 3 9" xfId="3600" xr:uid="{3B9B6ED3-7D5E-4847-9A35-01B6200C578B}"/>
    <cellStyle name="Comma 4 2 2 3 9 2" xfId="7819" xr:uid="{8F18EBF2-1DBE-4A54-A17A-1EBA4EB83F6C}"/>
    <cellStyle name="Comma 4 2 2 4" xfId="134" xr:uid="{00000000-0005-0000-0000-0000EB000000}"/>
    <cellStyle name="Comma 4 2 2 4 10" xfId="1134" xr:uid="{3E2F2D76-9E65-4890-AD3D-944DA63E73A7}"/>
    <cellStyle name="Comma 4 2 2 4 2" xfId="680" xr:uid="{00000000-0005-0000-0000-0000EC000000}"/>
    <cellStyle name="Comma 4 2 2 4 2 2" xfId="3779" xr:uid="{58330A08-8A78-4968-8AC5-093FC8462978}"/>
    <cellStyle name="Comma 4 2 2 4 2 2 2" xfId="7997" xr:uid="{0C151343-78CB-460F-AD09-E336EACE827B}"/>
    <cellStyle name="Comma 4 2 2 4 2 3" xfId="5852" xr:uid="{BC4C6A9D-539A-4A94-959D-D3BC02ACA3EC}"/>
    <cellStyle name="Comma 4 2 2 4 2 4" xfId="1548" xr:uid="{9560BF06-9E51-45F5-A78A-D23E10D41594}"/>
    <cellStyle name="Comma 4 2 2 4 3" xfId="1963" xr:uid="{3C082F0E-0B54-4790-996B-10B067CABBC2}"/>
    <cellStyle name="Comma 4 2 2 4 3 2" xfId="4192" xr:uid="{ED87F6E2-90CE-4BF4-B555-CF31982D7B2C}"/>
    <cellStyle name="Comma 4 2 2 4 3 2 2" xfId="8410" xr:uid="{A8C2B06B-0BA6-4B10-B449-CDCD31133D24}"/>
    <cellStyle name="Comma 4 2 2 4 3 3" xfId="6265" xr:uid="{EDF3633F-1044-48C4-8991-2B5A1CE8266F}"/>
    <cellStyle name="Comma 4 2 2 4 4" xfId="2376" xr:uid="{0064DC4C-00E9-449E-8D86-23B5F37AFD67}"/>
    <cellStyle name="Comma 4 2 2 4 4 2" xfId="4605" xr:uid="{5D5860BA-5990-4FE6-A187-AAABF5382861}"/>
    <cellStyle name="Comma 4 2 2 4 4 2 2" xfId="8823" xr:uid="{0EB1D607-EB70-4683-9606-3253BD9FEB08}"/>
    <cellStyle name="Comma 4 2 2 4 4 3" xfId="6678" xr:uid="{FA035DDD-6502-425E-BAD0-55B0FE1DDF72}"/>
    <cellStyle name="Comma 4 2 2 4 5" xfId="2789" xr:uid="{FAB2E978-B904-44F1-8409-3CC30B93DB45}"/>
    <cellStyle name="Comma 4 2 2 4 5 2" xfId="5018" xr:uid="{2A4905FC-4E8D-4D67-A459-426FC0A9F778}"/>
    <cellStyle name="Comma 4 2 2 4 5 2 2" xfId="9236" xr:uid="{EC0B62EB-D23E-4FDF-B291-26A761AE63A1}"/>
    <cellStyle name="Comma 4 2 2 4 5 3" xfId="7091" xr:uid="{FE39F612-9DCF-47A9-B56A-BAF3C8E73618}"/>
    <cellStyle name="Comma 4 2 2 4 6" xfId="3224" xr:uid="{C034C4B0-FF0E-4044-BDE8-805CD476D362}"/>
    <cellStyle name="Comma 4 2 2 4 6 2" xfId="7504" xr:uid="{1B1EA01D-63EE-414B-BFEE-59BBFD381EDE}"/>
    <cellStyle name="Comma 4 2 2 4 7" xfId="3211" xr:uid="{28E4A94B-C1FE-44A5-A59B-0839CA025E51}"/>
    <cellStyle name="Comma 4 2 2 4 8" xfId="3602" xr:uid="{D315DA1F-4B96-44BD-AFD6-2B766A18D283}"/>
    <cellStyle name="Comma 4 2 2 4 8 2" xfId="7821" xr:uid="{711652E3-855E-4732-9E50-EF244A912D89}"/>
    <cellStyle name="Comma 4 2 2 4 9" xfId="5438" xr:uid="{E2BE8D46-E75E-4D0D-A26F-5DD8AAA24ADC}"/>
    <cellStyle name="Comma 4 2 2 5" xfId="135" xr:uid="{00000000-0005-0000-0000-0000ED000000}"/>
    <cellStyle name="Comma 4 2 2 5 10" xfId="1135" xr:uid="{292E13D3-E586-4622-920E-E707D51A1378}"/>
    <cellStyle name="Comma 4 2 2 5 2" xfId="681" xr:uid="{00000000-0005-0000-0000-0000EE000000}"/>
    <cellStyle name="Comma 4 2 2 5 2 2" xfId="3780" xr:uid="{14558E6F-C34C-4BB1-A1E5-A2F6FDC94760}"/>
    <cellStyle name="Comma 4 2 2 5 2 2 2" xfId="7998" xr:uid="{F137BC58-4A9D-4BBC-BE0C-6CAC8C9FA4BD}"/>
    <cellStyle name="Comma 4 2 2 5 2 3" xfId="5853" xr:uid="{6072501B-16A6-4776-BAF8-5DA0D7D1AF2C}"/>
    <cellStyle name="Comma 4 2 2 5 2 4" xfId="1549" xr:uid="{6452F307-73C4-4363-82D0-0129E05C5A4E}"/>
    <cellStyle name="Comma 4 2 2 5 3" xfId="1964" xr:uid="{4C1D2E10-EC74-4383-913E-60A8AE27651D}"/>
    <cellStyle name="Comma 4 2 2 5 3 2" xfId="4193" xr:uid="{4AF1F001-AA33-4EDA-ADED-B7F3DAED789F}"/>
    <cellStyle name="Comma 4 2 2 5 3 2 2" xfId="8411" xr:uid="{EA4C5BE4-A0B6-48EA-93F1-3ECA4203C3E2}"/>
    <cellStyle name="Comma 4 2 2 5 3 3" xfId="6266" xr:uid="{42D552AA-7141-46B7-959B-8D3B8F0F7E65}"/>
    <cellStyle name="Comma 4 2 2 5 4" xfId="2377" xr:uid="{51CB6215-B1E5-4DC7-BB80-39475CE7A991}"/>
    <cellStyle name="Comma 4 2 2 5 4 2" xfId="4606" xr:uid="{18B34D6C-318F-41E1-83D4-F0C03C46DEED}"/>
    <cellStyle name="Comma 4 2 2 5 4 2 2" xfId="8824" xr:uid="{B260B460-A68F-4974-BE57-5B0C7E0C16C9}"/>
    <cellStyle name="Comma 4 2 2 5 4 3" xfId="6679" xr:uid="{32B9F930-965C-442C-8335-E376B2D6A290}"/>
    <cellStyle name="Comma 4 2 2 5 5" xfId="2790" xr:uid="{908AB3F6-2F0F-4241-8A02-3A6BA98853A3}"/>
    <cellStyle name="Comma 4 2 2 5 5 2" xfId="5019" xr:uid="{0EB40423-6462-4E03-BB87-B5904F58E287}"/>
    <cellStyle name="Comma 4 2 2 5 5 2 2" xfId="9237" xr:uid="{95639EB4-1888-4938-9308-D86F632D255D}"/>
    <cellStyle name="Comma 4 2 2 5 5 3" xfId="7092" xr:uid="{A4806086-B890-4189-883B-38618946D436}"/>
    <cellStyle name="Comma 4 2 2 5 6" xfId="3225" xr:uid="{66FB9B6C-B4C8-4C27-90D1-C66582402A0E}"/>
    <cellStyle name="Comma 4 2 2 5 6 2" xfId="7505" xr:uid="{17D84580-CE5D-4B9F-B3C5-A934CD77CD0F}"/>
    <cellStyle name="Comma 4 2 2 5 7" xfId="3210" xr:uid="{97C34097-6336-4D6A-89E8-47030D6B9290}"/>
    <cellStyle name="Comma 4 2 2 5 8" xfId="3603" xr:uid="{1647A72C-415C-4DAE-8E06-41D76893AAAE}"/>
    <cellStyle name="Comma 4 2 2 5 8 2" xfId="7822" xr:uid="{F12C9CF5-A401-4503-8F39-AEBC60FFEC2F}"/>
    <cellStyle name="Comma 4 2 2 5 9" xfId="5439" xr:uid="{3509E642-1AF7-4B0C-8F0C-EAC060692019}"/>
    <cellStyle name="Comma 4 2 3" xfId="136" xr:uid="{00000000-0005-0000-0000-0000EF000000}"/>
    <cellStyle name="Comma 4 2 3 10" xfId="3604" xr:uid="{9EF52CD4-9EE0-4F23-B605-3BFF77E339B1}"/>
    <cellStyle name="Comma 4 2 3 10 2" xfId="7823" xr:uid="{15546C60-228D-4FEE-B40E-8908EF98D2B1}"/>
    <cellStyle name="Comma 4 2 3 11" xfId="5440" xr:uid="{6A0E0692-F720-4D87-A826-389996C66E50}"/>
    <cellStyle name="Comma 4 2 3 12" xfId="1136" xr:uid="{22B2CD45-D717-4D33-9CFF-336006EB495E}"/>
    <cellStyle name="Comma 4 2 3 2" xfId="137" xr:uid="{00000000-0005-0000-0000-0000F0000000}"/>
    <cellStyle name="Comma 4 2 3 2 10" xfId="5441" xr:uid="{9787C3E1-24BB-4561-90A7-68675C158DE7}"/>
    <cellStyle name="Comma 4 2 3 2 11" xfId="1137" xr:uid="{8D44E5FC-E6AA-4A24-BC30-272CF9FD8229}"/>
    <cellStyle name="Comma 4 2 3 2 2" xfId="138" xr:uid="{00000000-0005-0000-0000-0000F1000000}"/>
    <cellStyle name="Comma 4 2 3 2 2 10" xfId="1138" xr:uid="{9420B514-06B6-4035-B97F-448EEEDAECFB}"/>
    <cellStyle name="Comma 4 2 3 2 2 2" xfId="684" xr:uid="{00000000-0005-0000-0000-0000F2000000}"/>
    <cellStyle name="Comma 4 2 3 2 2 2 2" xfId="3783" xr:uid="{EBD94C52-0B62-4636-A427-E69E5E33518F}"/>
    <cellStyle name="Comma 4 2 3 2 2 2 2 2" xfId="8001" xr:uid="{B87D4E11-5EE6-43D1-BE66-DB2ABA930D23}"/>
    <cellStyle name="Comma 4 2 3 2 2 2 3" xfId="5856" xr:uid="{1FC30E73-038E-48CE-BD3D-578DCC710A1E}"/>
    <cellStyle name="Comma 4 2 3 2 2 2 4" xfId="1552" xr:uid="{489935BA-729A-4130-AB10-88FF3547D778}"/>
    <cellStyle name="Comma 4 2 3 2 2 3" xfId="1967" xr:uid="{ACB37499-6C1A-4048-9976-02DB3D74C43B}"/>
    <cellStyle name="Comma 4 2 3 2 2 3 2" xfId="4196" xr:uid="{3DEA9704-BA70-429A-B3B2-7EA236CB6025}"/>
    <cellStyle name="Comma 4 2 3 2 2 3 2 2" xfId="8414" xr:uid="{0E07C16C-1248-496D-9653-9AA3ABCDAFC4}"/>
    <cellStyle name="Comma 4 2 3 2 2 3 3" xfId="6269" xr:uid="{8E6664AB-DFF2-4767-8B2D-B4D0241060D5}"/>
    <cellStyle name="Comma 4 2 3 2 2 4" xfId="2380" xr:uid="{81914F64-962D-4F36-85FB-1CD142D54912}"/>
    <cellStyle name="Comma 4 2 3 2 2 4 2" xfId="4609" xr:uid="{DFF02C52-3FAE-4660-8906-3EFAF93B9B34}"/>
    <cellStyle name="Comma 4 2 3 2 2 4 2 2" xfId="8827" xr:uid="{C4FF3618-6F55-442C-87EB-36623A618ACC}"/>
    <cellStyle name="Comma 4 2 3 2 2 4 3" xfId="6682" xr:uid="{1007E568-138E-4AD4-90D1-537AC068BAB0}"/>
    <cellStyle name="Comma 4 2 3 2 2 5" xfId="2793" xr:uid="{3024FE27-988F-4AA9-A4B2-FAE3576ECE04}"/>
    <cellStyle name="Comma 4 2 3 2 2 5 2" xfId="5022" xr:uid="{A4CEFDE5-BE4F-4D9B-B803-7646C9E42327}"/>
    <cellStyle name="Comma 4 2 3 2 2 5 2 2" xfId="9240" xr:uid="{AEEA7F1C-616B-428B-9F91-4FD87F9EC722}"/>
    <cellStyle name="Comma 4 2 3 2 2 5 3" xfId="7095" xr:uid="{A9C7B857-FCE4-429F-8A37-9127DFF89547}"/>
    <cellStyle name="Comma 4 2 3 2 2 6" xfId="3228" xr:uid="{583C1E78-3772-41D2-8CCA-AB55A07494F8}"/>
    <cellStyle name="Comma 4 2 3 2 2 6 2" xfId="7508" xr:uid="{6CFDF589-C37A-4C57-969C-9BD48F73F274}"/>
    <cellStyle name="Comma 4 2 3 2 2 7" xfId="3207" xr:uid="{72CA50D2-AA7A-4354-B041-D86B84D9BA6F}"/>
    <cellStyle name="Comma 4 2 3 2 2 8" xfId="3606" xr:uid="{52ED90B1-3D25-4177-AE26-3C5DD644A556}"/>
    <cellStyle name="Comma 4 2 3 2 2 8 2" xfId="7825" xr:uid="{02B5C7FC-6932-49AC-8B72-D49A90E5F0EE}"/>
    <cellStyle name="Comma 4 2 3 2 2 9" xfId="5442" xr:uid="{5FF71944-5EC6-49B1-AC1E-B962C6E7C00D}"/>
    <cellStyle name="Comma 4 2 3 2 3" xfId="683" xr:uid="{00000000-0005-0000-0000-0000F3000000}"/>
    <cellStyle name="Comma 4 2 3 2 3 2" xfId="3782" xr:uid="{95C03A68-ED30-43E3-AC18-F6AA50974D40}"/>
    <cellStyle name="Comma 4 2 3 2 3 2 2" xfId="8000" xr:uid="{909A8FF6-36D7-4312-BEAE-6ACF069FBB6A}"/>
    <cellStyle name="Comma 4 2 3 2 3 3" xfId="5855" xr:uid="{5BAEDBF2-17C6-431A-B32C-86FC4D7C874D}"/>
    <cellStyle name="Comma 4 2 3 2 3 4" xfId="1551" xr:uid="{0675C222-BF7A-46FA-A5A6-A42F5F8D05A4}"/>
    <cellStyle name="Comma 4 2 3 2 4" xfId="1966" xr:uid="{90B071DA-41B5-4B28-82E4-BB2FFB1F85FD}"/>
    <cellStyle name="Comma 4 2 3 2 4 2" xfId="4195" xr:uid="{722E1907-4E7A-4B65-837B-78E2FE9A88F5}"/>
    <cellStyle name="Comma 4 2 3 2 4 2 2" xfId="8413" xr:uid="{9D486059-28FC-4728-A0A5-F31233B1E178}"/>
    <cellStyle name="Comma 4 2 3 2 4 3" xfId="6268" xr:uid="{C9952147-49E5-4752-9C39-A91EB0229557}"/>
    <cellStyle name="Comma 4 2 3 2 5" xfId="2379" xr:uid="{BAA0ECB5-1814-4F9C-BDE3-173C6DFFBCC0}"/>
    <cellStyle name="Comma 4 2 3 2 5 2" xfId="4608" xr:uid="{DEE7C70C-32D7-4800-94B3-AAE56B40E3E1}"/>
    <cellStyle name="Comma 4 2 3 2 5 2 2" xfId="8826" xr:uid="{0FDFE813-886F-4F02-852F-318C1C01CB53}"/>
    <cellStyle name="Comma 4 2 3 2 5 3" xfId="6681" xr:uid="{D2B6D10D-4E25-42B5-A769-0CACC9BACB43}"/>
    <cellStyle name="Comma 4 2 3 2 6" xfId="2792" xr:uid="{C140F382-F6FF-4737-9F35-EDBCDCB6FBD2}"/>
    <cellStyle name="Comma 4 2 3 2 6 2" xfId="5021" xr:uid="{1820AD95-A406-4FF8-8A6D-D4D1AFB58AAA}"/>
    <cellStyle name="Comma 4 2 3 2 6 2 2" xfId="9239" xr:uid="{92CC0D52-8A85-42E5-83BE-926CACC0A010}"/>
    <cellStyle name="Comma 4 2 3 2 6 3" xfId="7094" xr:uid="{EAC023B1-51A1-460B-88BA-C967CE63D698}"/>
    <cellStyle name="Comma 4 2 3 2 7" xfId="3227" xr:uid="{FAB4BD13-1E24-4B5F-B835-F388286B36C5}"/>
    <cellStyle name="Comma 4 2 3 2 7 2" xfId="7507" xr:uid="{799322FF-6024-4D2E-8793-497495F3A724}"/>
    <cellStyle name="Comma 4 2 3 2 8" xfId="3208" xr:uid="{75FA5F4C-09DC-4204-AEF3-757F0BBE25B5}"/>
    <cellStyle name="Comma 4 2 3 2 9" xfId="3605" xr:uid="{49D9B1F5-5F89-4BA3-8C44-B134AB163824}"/>
    <cellStyle name="Comma 4 2 3 2 9 2" xfId="7824" xr:uid="{7DB93170-E930-44A0-9EDC-1F8F697A1BF1}"/>
    <cellStyle name="Comma 4 2 3 3" xfId="139" xr:uid="{00000000-0005-0000-0000-0000F4000000}"/>
    <cellStyle name="Comma 4 2 3 3 10" xfId="1139" xr:uid="{CC2C3273-E6C1-4D14-92B7-857BD9B13FB0}"/>
    <cellStyle name="Comma 4 2 3 3 2" xfId="685" xr:uid="{00000000-0005-0000-0000-0000F5000000}"/>
    <cellStyle name="Comma 4 2 3 3 2 2" xfId="3784" xr:uid="{4AB71884-452D-4273-8913-6D0EDA944EFE}"/>
    <cellStyle name="Comma 4 2 3 3 2 2 2" xfId="8002" xr:uid="{C5725D0B-C0CD-4454-99ED-25733A17B839}"/>
    <cellStyle name="Comma 4 2 3 3 2 3" xfId="5857" xr:uid="{437C9F96-27B8-4C83-85E3-3FFBDD537963}"/>
    <cellStyle name="Comma 4 2 3 3 2 4" xfId="1553" xr:uid="{8F712ABC-CF9D-43A9-A6CD-BD9F37954CBD}"/>
    <cellStyle name="Comma 4 2 3 3 3" xfId="1968" xr:uid="{383B3175-2CA4-4D0A-BA2B-024E9697DC14}"/>
    <cellStyle name="Comma 4 2 3 3 3 2" xfId="4197" xr:uid="{4D1B7FEE-B6D6-4BE3-841F-CF44D9B09988}"/>
    <cellStyle name="Comma 4 2 3 3 3 2 2" xfId="8415" xr:uid="{0CD82F0F-9A6C-4332-A88D-8B0A99D87C98}"/>
    <cellStyle name="Comma 4 2 3 3 3 3" xfId="6270" xr:uid="{F4262678-B08D-4F0A-A64A-E599854FB975}"/>
    <cellStyle name="Comma 4 2 3 3 4" xfId="2381" xr:uid="{7C427796-70F4-461F-BF9C-473B37D774E7}"/>
    <cellStyle name="Comma 4 2 3 3 4 2" xfId="4610" xr:uid="{1D8BA441-8F1C-4E76-AD6F-217C0DC5FCD9}"/>
    <cellStyle name="Comma 4 2 3 3 4 2 2" xfId="8828" xr:uid="{6BF18C3C-CC80-4872-BCE7-43A13FC30528}"/>
    <cellStyle name="Comma 4 2 3 3 4 3" xfId="6683" xr:uid="{1EB4DACD-8C7A-418C-BECB-CE9443E8F6C0}"/>
    <cellStyle name="Comma 4 2 3 3 5" xfId="2794" xr:uid="{360D17FF-A4C8-440B-81B0-974092E2DDD0}"/>
    <cellStyle name="Comma 4 2 3 3 5 2" xfId="5023" xr:uid="{BCFD53A2-D584-4BEA-AAE8-6232A4CA55DF}"/>
    <cellStyle name="Comma 4 2 3 3 5 2 2" xfId="9241" xr:uid="{3F14D227-80DA-4DB6-BB5B-061844B9B6DB}"/>
    <cellStyle name="Comma 4 2 3 3 5 3" xfId="7096" xr:uid="{443E59A7-B061-4FB7-80C9-070C21DACA38}"/>
    <cellStyle name="Comma 4 2 3 3 6" xfId="3229" xr:uid="{10748636-E8D1-4C27-806F-DB7EB4F0A10D}"/>
    <cellStyle name="Comma 4 2 3 3 6 2" xfId="7509" xr:uid="{9FD45688-E35C-4805-ADBE-5EA930444AEA}"/>
    <cellStyle name="Comma 4 2 3 3 7" xfId="3206" xr:uid="{DF61FC5B-A798-480C-9D51-B533892D2067}"/>
    <cellStyle name="Comma 4 2 3 3 8" xfId="3607" xr:uid="{51ED89D3-2DF4-4546-9398-F19387066E1D}"/>
    <cellStyle name="Comma 4 2 3 3 8 2" xfId="7826" xr:uid="{682A5FB0-707D-48DC-A801-88CC93CE5E47}"/>
    <cellStyle name="Comma 4 2 3 3 9" xfId="5443" xr:uid="{7E289059-6EFF-402D-B841-61DA0AD15D81}"/>
    <cellStyle name="Comma 4 2 3 4" xfId="682" xr:uid="{00000000-0005-0000-0000-0000F6000000}"/>
    <cellStyle name="Comma 4 2 3 4 2" xfId="3781" xr:uid="{32327188-F9F3-4E1D-ACEC-C7ECE5B22E31}"/>
    <cellStyle name="Comma 4 2 3 4 2 2" xfId="7999" xr:uid="{B305577E-F78F-452D-B9E9-C956ECA0A400}"/>
    <cellStyle name="Comma 4 2 3 4 3" xfId="5854" xr:uid="{83F19118-00D7-4113-82F9-400F133A08EE}"/>
    <cellStyle name="Comma 4 2 3 4 4" xfId="1550" xr:uid="{9E2BD581-6A87-4885-A2D4-ADED55B38E1D}"/>
    <cellStyle name="Comma 4 2 3 5" xfId="1965" xr:uid="{E5552AC0-C4C3-4471-A333-875B01ABD845}"/>
    <cellStyle name="Comma 4 2 3 5 2" xfId="4194" xr:uid="{686746B2-6EC8-44B7-97AE-4305BACD2CA6}"/>
    <cellStyle name="Comma 4 2 3 5 2 2" xfId="8412" xr:uid="{AF96702C-3BB5-4C19-B813-50B5B0295A79}"/>
    <cellStyle name="Comma 4 2 3 5 3" xfId="6267" xr:uid="{EED7C2AC-7F86-4B8D-BEE1-05698A36AC7F}"/>
    <cellStyle name="Comma 4 2 3 6" xfId="2378" xr:uid="{CBCC5D2A-F204-4687-B7E2-30DAD839E78E}"/>
    <cellStyle name="Comma 4 2 3 6 2" xfId="4607" xr:uid="{3567DA9C-1946-4EC9-AF09-EB1C85D41B1F}"/>
    <cellStyle name="Comma 4 2 3 6 2 2" xfId="8825" xr:uid="{E328C70D-D151-433F-BB56-7FE5A252887B}"/>
    <cellStyle name="Comma 4 2 3 6 3" xfId="6680" xr:uid="{BF408453-3B82-404B-93C0-C345C55791B7}"/>
    <cellStyle name="Comma 4 2 3 7" xfId="2791" xr:uid="{78708DBE-A361-45B6-80CE-589392CE52F3}"/>
    <cellStyle name="Comma 4 2 3 7 2" xfId="5020" xr:uid="{FD953FFC-7CC1-4CE1-8340-3FFAFE8350D5}"/>
    <cellStyle name="Comma 4 2 3 7 2 2" xfId="9238" xr:uid="{722E3307-D1AA-4F85-9661-30FE3A568308}"/>
    <cellStyle name="Comma 4 2 3 7 3" xfId="7093" xr:uid="{83FD1146-15AF-451E-A8A9-9BD68D86D9A1}"/>
    <cellStyle name="Comma 4 2 3 8" xfId="3226" xr:uid="{35DD7B4D-E687-40A1-89B0-C9299C047A47}"/>
    <cellStyle name="Comma 4 2 3 8 2" xfId="7506" xr:uid="{0060B1FC-123E-4882-A2D6-0CB26861F2AC}"/>
    <cellStyle name="Comma 4 2 3 9" xfId="3209" xr:uid="{AF073D10-EA41-44F3-B883-B3E21774F721}"/>
    <cellStyle name="Comma 4 2 4" xfId="140" xr:uid="{00000000-0005-0000-0000-0000F7000000}"/>
    <cellStyle name="Comma 4 2 4 10" xfId="5444" xr:uid="{3C38C82D-0FEF-4755-8EC8-307F62DA1842}"/>
    <cellStyle name="Comma 4 2 4 11" xfId="1140" xr:uid="{AB82943D-A77B-49AC-9A7C-CC581B5B1F5E}"/>
    <cellStyle name="Comma 4 2 4 2" xfId="141" xr:uid="{00000000-0005-0000-0000-0000F8000000}"/>
    <cellStyle name="Comma 4 2 4 2 10" xfId="1141" xr:uid="{1A401B21-DFA5-4645-83BF-293830856A5E}"/>
    <cellStyle name="Comma 4 2 4 2 2" xfId="687" xr:uid="{00000000-0005-0000-0000-0000F9000000}"/>
    <cellStyle name="Comma 4 2 4 2 2 2" xfId="3786" xr:uid="{AFF33E2D-DBAD-4042-ABFE-DBC43AA93DB7}"/>
    <cellStyle name="Comma 4 2 4 2 2 2 2" xfId="8004" xr:uid="{39EEBCEB-0426-4844-97FA-20CCB272D62A}"/>
    <cellStyle name="Comma 4 2 4 2 2 3" xfId="5859" xr:uid="{07EEB2AC-8FC5-4BC1-9EB9-7056179349BD}"/>
    <cellStyle name="Comma 4 2 4 2 2 4" xfId="1555" xr:uid="{0A9351A7-C417-4A44-B513-E92847AD3684}"/>
    <cellStyle name="Comma 4 2 4 2 3" xfId="1970" xr:uid="{65C1DD7D-7662-4920-90E9-68872073849C}"/>
    <cellStyle name="Comma 4 2 4 2 3 2" xfId="4199" xr:uid="{30EFB08F-51E5-487B-A14A-91E32567E4D0}"/>
    <cellStyle name="Comma 4 2 4 2 3 2 2" xfId="8417" xr:uid="{331978DF-A77E-4196-9180-483E3A0ED9C5}"/>
    <cellStyle name="Comma 4 2 4 2 3 3" xfId="6272" xr:uid="{7802F609-E7BE-4752-8399-2DA744BB6522}"/>
    <cellStyle name="Comma 4 2 4 2 4" xfId="2383" xr:uid="{911BFDF7-F2F1-423A-81A1-5140329744DD}"/>
    <cellStyle name="Comma 4 2 4 2 4 2" xfId="4612" xr:uid="{99C77873-D350-4613-8E44-81BB21FC7181}"/>
    <cellStyle name="Comma 4 2 4 2 4 2 2" xfId="8830" xr:uid="{56EB3D2C-DB26-4A8C-AA30-BB2B9E19F156}"/>
    <cellStyle name="Comma 4 2 4 2 4 3" xfId="6685" xr:uid="{6AEAAE81-3854-49EC-9EBC-B0DED1A06450}"/>
    <cellStyle name="Comma 4 2 4 2 5" xfId="2796" xr:uid="{45D88B6E-5E5B-40D1-B4CE-EDF7FD86AFB9}"/>
    <cellStyle name="Comma 4 2 4 2 5 2" xfId="5025" xr:uid="{1C2790F3-0226-4F7B-A040-7EC3BE190F5C}"/>
    <cellStyle name="Comma 4 2 4 2 5 2 2" xfId="9243" xr:uid="{31A0A1DB-5EA3-4B85-8DE0-BB57814ECA0A}"/>
    <cellStyle name="Comma 4 2 4 2 5 3" xfId="7098" xr:uid="{851DF749-718D-4FA6-B6CE-CBE6AF98C96E}"/>
    <cellStyle name="Comma 4 2 4 2 6" xfId="3231" xr:uid="{C7033DB5-5E15-48D2-8B73-0DD6185F2441}"/>
    <cellStyle name="Comma 4 2 4 2 6 2" xfId="7511" xr:uid="{63490F73-95C7-48B5-B098-6804E050F613}"/>
    <cellStyle name="Comma 4 2 4 2 7" xfId="3204" xr:uid="{4C95686A-C71F-4B70-B30A-61B115FBB868}"/>
    <cellStyle name="Comma 4 2 4 2 8" xfId="3609" xr:uid="{D48DC9CF-3F6A-4C8C-9107-080CB0ADC021}"/>
    <cellStyle name="Comma 4 2 4 2 8 2" xfId="7828" xr:uid="{B31FD7F0-EBF7-443C-90D1-5EED93F72686}"/>
    <cellStyle name="Comma 4 2 4 2 9" xfId="5445" xr:uid="{7B365804-4B79-4768-8ABA-0693938F007E}"/>
    <cellStyle name="Comma 4 2 4 3" xfId="686" xr:uid="{00000000-0005-0000-0000-0000FA000000}"/>
    <cellStyle name="Comma 4 2 4 3 2" xfId="3785" xr:uid="{549A2FD6-9DC0-43E9-89A2-62E4C5347D84}"/>
    <cellStyle name="Comma 4 2 4 3 2 2" xfId="8003" xr:uid="{23394E67-9D97-4813-89D7-ED736D012F31}"/>
    <cellStyle name="Comma 4 2 4 3 3" xfId="5858" xr:uid="{CB659A0D-A804-41A3-9F97-25D42F9E14DA}"/>
    <cellStyle name="Comma 4 2 4 3 4" xfId="1554" xr:uid="{4225F8CA-1265-470C-9780-8C0D3CE6BB51}"/>
    <cellStyle name="Comma 4 2 4 4" xfId="1969" xr:uid="{100675B1-A88F-4853-8533-5FE4EFC50731}"/>
    <cellStyle name="Comma 4 2 4 4 2" xfId="4198" xr:uid="{37A5F6BA-0F16-4DB7-AB85-60E1342BC83F}"/>
    <cellStyle name="Comma 4 2 4 4 2 2" xfId="8416" xr:uid="{6E87D940-8689-47C6-992C-8FC787F32AF3}"/>
    <cellStyle name="Comma 4 2 4 4 3" xfId="6271" xr:uid="{A4148316-5E64-40A0-B867-DBB6CA611465}"/>
    <cellStyle name="Comma 4 2 4 5" xfId="2382" xr:uid="{27E7F429-DB6C-4415-B0BA-5C35792B4BF4}"/>
    <cellStyle name="Comma 4 2 4 5 2" xfId="4611" xr:uid="{4FD66518-DEAC-4AE3-98B5-26DABDCE8A97}"/>
    <cellStyle name="Comma 4 2 4 5 2 2" xfId="8829" xr:uid="{BAE98314-1E7E-4036-92B4-28C1DF280AF6}"/>
    <cellStyle name="Comma 4 2 4 5 3" xfId="6684" xr:uid="{F37FA509-0850-434F-A722-F9F4C6806934}"/>
    <cellStyle name="Comma 4 2 4 6" xfId="2795" xr:uid="{97724B32-B30B-4C9E-B33C-6A9AC1A43D2C}"/>
    <cellStyle name="Comma 4 2 4 6 2" xfId="5024" xr:uid="{1799E757-93D9-4B57-91CE-385E876828E3}"/>
    <cellStyle name="Comma 4 2 4 6 2 2" xfId="9242" xr:uid="{77A4891E-D565-4F6B-9B12-55164DBCDFB0}"/>
    <cellStyle name="Comma 4 2 4 6 3" xfId="7097" xr:uid="{41F93857-D4CE-48A5-9D43-24D9C236FDB2}"/>
    <cellStyle name="Comma 4 2 4 7" xfId="3230" xr:uid="{DD1685E8-7FA0-4456-BEDD-5512799953D6}"/>
    <cellStyle name="Comma 4 2 4 7 2" xfId="7510" xr:uid="{CC7CECE6-4133-431E-BCAE-A163DA373324}"/>
    <cellStyle name="Comma 4 2 4 8" xfId="3205" xr:uid="{B5979C91-E9C6-4B62-A586-73B15C1F6DD6}"/>
    <cellStyle name="Comma 4 2 4 9" xfId="3608" xr:uid="{F6231B98-602F-42CB-B293-AE7E1FBDC6DF}"/>
    <cellStyle name="Comma 4 2 4 9 2" xfId="7827" xr:uid="{335A02F1-DA23-4531-9715-53F8AE8C07FF}"/>
    <cellStyle name="Comma 4 2 5" xfId="142" xr:uid="{00000000-0005-0000-0000-0000FB000000}"/>
    <cellStyle name="Comma 4 2 5 10" xfId="1142" xr:uid="{87451542-E611-45F3-9E31-1EDE884F4834}"/>
    <cellStyle name="Comma 4 2 5 2" xfId="688" xr:uid="{00000000-0005-0000-0000-0000FC000000}"/>
    <cellStyle name="Comma 4 2 5 2 2" xfId="3787" xr:uid="{8173D5BA-8F93-4065-AEAD-6756637B8AD6}"/>
    <cellStyle name="Comma 4 2 5 2 2 2" xfId="8005" xr:uid="{C0ACD72F-1915-49DB-B16F-880AE57736A2}"/>
    <cellStyle name="Comma 4 2 5 2 3" xfId="5860" xr:uid="{31C39BA2-978E-4DF2-A07E-54675D300CD2}"/>
    <cellStyle name="Comma 4 2 5 2 4" xfId="1556" xr:uid="{63C703B1-51C3-486E-B9FE-0973B0E209C8}"/>
    <cellStyle name="Comma 4 2 5 3" xfId="1971" xr:uid="{84A15805-C75F-4FDD-B4F6-576AA230B25A}"/>
    <cellStyle name="Comma 4 2 5 3 2" xfId="4200" xr:uid="{51D4AED2-9DFE-4303-96FE-F6036036857C}"/>
    <cellStyle name="Comma 4 2 5 3 2 2" xfId="8418" xr:uid="{0E55B01D-BF78-4F25-8FD6-8BD01DC11174}"/>
    <cellStyle name="Comma 4 2 5 3 3" xfId="6273" xr:uid="{46B37ABF-83C0-47C8-8225-51329C9A8E9C}"/>
    <cellStyle name="Comma 4 2 5 4" xfId="2384" xr:uid="{379F6A20-6192-447B-BDDF-86587C445B2A}"/>
    <cellStyle name="Comma 4 2 5 4 2" xfId="4613" xr:uid="{4295398A-9C5D-4F1B-9255-1456410539FA}"/>
    <cellStyle name="Comma 4 2 5 4 2 2" xfId="8831" xr:uid="{7BA8B7B4-4637-4F29-90DF-2E50ACB3264D}"/>
    <cellStyle name="Comma 4 2 5 4 3" xfId="6686" xr:uid="{FF3F0B67-731B-43C1-A27A-9D75E07B9B11}"/>
    <cellStyle name="Comma 4 2 5 5" xfId="2797" xr:uid="{830B7C6A-7191-4473-B81D-7525C22740D8}"/>
    <cellStyle name="Comma 4 2 5 5 2" xfId="5026" xr:uid="{26ADBA24-24A1-4EBB-85F8-1FA5B6D26645}"/>
    <cellStyle name="Comma 4 2 5 5 2 2" xfId="9244" xr:uid="{C57DC9FD-5A8F-4CAC-895B-75F06AA00EAB}"/>
    <cellStyle name="Comma 4 2 5 5 3" xfId="7099" xr:uid="{E57D4BA7-B92D-4B3E-B75C-23B383EA8457}"/>
    <cellStyle name="Comma 4 2 5 6" xfId="3232" xr:uid="{5622544E-8014-40DB-9B16-7C7F11C58732}"/>
    <cellStyle name="Comma 4 2 5 6 2" xfId="7512" xr:uid="{F2BE0A90-910C-4668-A7F9-411B307CEF28}"/>
    <cellStyle name="Comma 4 2 5 7" xfId="3203" xr:uid="{77B1EFF6-0E0A-494A-A508-B67B05255E51}"/>
    <cellStyle name="Comma 4 2 5 8" xfId="3610" xr:uid="{49811158-88A6-4BD4-85DF-D552EB8302B9}"/>
    <cellStyle name="Comma 4 2 5 8 2" xfId="7829" xr:uid="{E4668BA5-F383-4DC0-B135-29AC31507C51}"/>
    <cellStyle name="Comma 4 2 5 9" xfId="5446" xr:uid="{434AF07B-83B0-4BCF-ABF5-F628418F0B58}"/>
    <cellStyle name="Comma 4 2 6" xfId="143" xr:uid="{00000000-0005-0000-0000-0000FD000000}"/>
    <cellStyle name="Comma 4 2 6 10" xfId="1143" xr:uid="{BB525141-6637-4FCF-95D0-909CD91B89A3}"/>
    <cellStyle name="Comma 4 2 6 2" xfId="689" xr:uid="{00000000-0005-0000-0000-0000FE000000}"/>
    <cellStyle name="Comma 4 2 6 2 2" xfId="3788" xr:uid="{5643E5CE-3A9A-4293-BFB6-E3F2772C1D28}"/>
    <cellStyle name="Comma 4 2 6 2 2 2" xfId="8006" xr:uid="{0CF99168-6883-4623-B579-15B8767B01C3}"/>
    <cellStyle name="Comma 4 2 6 2 3" xfId="5861" xr:uid="{8AEC60DA-2646-48C8-B756-96D6B4593BFD}"/>
    <cellStyle name="Comma 4 2 6 2 4" xfId="1557" xr:uid="{CE54DF3E-206C-4057-8533-E1C06348B366}"/>
    <cellStyle name="Comma 4 2 6 3" xfId="1972" xr:uid="{2ADC5411-A435-495E-A8B9-ECEB61A1EFB1}"/>
    <cellStyle name="Comma 4 2 6 3 2" xfId="4201" xr:uid="{ADF12EC0-A859-4E37-8E73-C0C084F047F8}"/>
    <cellStyle name="Comma 4 2 6 3 2 2" xfId="8419" xr:uid="{7155FFAE-8FC3-4B6D-8679-CC6C31347A4B}"/>
    <cellStyle name="Comma 4 2 6 3 3" xfId="6274" xr:uid="{8C3A6180-4A87-42B3-9E65-83BAF7EEE47F}"/>
    <cellStyle name="Comma 4 2 6 4" xfId="2385" xr:uid="{556DFF39-7864-4EB5-B90D-BA895BB23BF1}"/>
    <cellStyle name="Comma 4 2 6 4 2" xfId="4614" xr:uid="{7D6C4C6E-D87B-44AE-93A2-79DFC27C292B}"/>
    <cellStyle name="Comma 4 2 6 4 2 2" xfId="8832" xr:uid="{761AE972-9A95-44B7-8B39-6072B710B666}"/>
    <cellStyle name="Comma 4 2 6 4 3" xfId="6687" xr:uid="{E52C8E14-4109-45BF-88BD-C6637EE69803}"/>
    <cellStyle name="Comma 4 2 6 5" xfId="2798" xr:uid="{1D7136D2-7908-439C-A190-9063B3E8FFB8}"/>
    <cellStyle name="Comma 4 2 6 5 2" xfId="5027" xr:uid="{EDFE2EFF-545D-4D36-8FF7-3CAA15FFAD80}"/>
    <cellStyle name="Comma 4 2 6 5 2 2" xfId="9245" xr:uid="{45305138-5D77-4576-8242-EA1F18E61585}"/>
    <cellStyle name="Comma 4 2 6 5 3" xfId="7100" xr:uid="{258879E9-70B6-4049-B5DE-A5BBFAA7A84F}"/>
    <cellStyle name="Comma 4 2 6 6" xfId="3233" xr:uid="{DE73FE16-FDB2-4117-830B-4F7BE99F387F}"/>
    <cellStyle name="Comma 4 2 6 6 2" xfId="7513" xr:uid="{5D4BDBCA-CA2F-43ED-A9F6-1A7BE6A1189A}"/>
    <cellStyle name="Comma 4 2 6 7" xfId="3202" xr:uid="{03B14217-C68B-4BFB-995D-CC5C87BAB8AD}"/>
    <cellStyle name="Comma 4 2 6 8" xfId="3611" xr:uid="{031B8273-B46F-4D64-AE26-47F82EB34BB0}"/>
    <cellStyle name="Comma 4 2 6 8 2" xfId="7830" xr:uid="{815E0847-0002-4848-94EA-85AE3FD5DCE4}"/>
    <cellStyle name="Comma 4 2 6 9" xfId="5447" xr:uid="{93AE4821-8106-4044-8434-31AFD06FF3AD}"/>
    <cellStyle name="Comma 4 3" xfId="144" xr:uid="{00000000-0005-0000-0000-0000FF000000}"/>
    <cellStyle name="Comma 4 3 2" xfId="145" xr:uid="{00000000-0005-0000-0000-000000010000}"/>
    <cellStyle name="Comma 4 3 2 10" xfId="3612" xr:uid="{8E591C5C-13B8-4312-9F87-541126C63E6E}"/>
    <cellStyle name="Comma 4 3 2 10 2" xfId="7831" xr:uid="{808C72FD-3EF8-4C61-A7CD-9C242D6D5D01}"/>
    <cellStyle name="Comma 4 3 2 11" xfId="5448" xr:uid="{79D263CF-6ACC-4ACA-B036-D6042E26A3C6}"/>
    <cellStyle name="Comma 4 3 2 12" xfId="1144" xr:uid="{AA9FE2E5-BCAC-4407-9AF6-6BC747ECC4CF}"/>
    <cellStyle name="Comma 4 3 2 2" xfId="146" xr:uid="{00000000-0005-0000-0000-000001010000}"/>
    <cellStyle name="Comma 4 3 2 2 10" xfId="5449" xr:uid="{B51395DF-6973-40B5-9DCD-5F5844CF9E1C}"/>
    <cellStyle name="Comma 4 3 2 2 11" xfId="1145" xr:uid="{148F4564-8301-4BCE-9A8E-652121978140}"/>
    <cellStyle name="Comma 4 3 2 2 2" xfId="147" xr:uid="{00000000-0005-0000-0000-000002010000}"/>
    <cellStyle name="Comma 4 3 2 2 2 10" xfId="1146" xr:uid="{4984B0C4-B16A-4B52-8E7D-4EC093A0B09B}"/>
    <cellStyle name="Comma 4 3 2 2 2 2" xfId="692" xr:uid="{00000000-0005-0000-0000-000003010000}"/>
    <cellStyle name="Comma 4 3 2 2 2 2 2" xfId="3791" xr:uid="{833DD911-7795-4F11-8500-52A355EB83EA}"/>
    <cellStyle name="Comma 4 3 2 2 2 2 2 2" xfId="8009" xr:uid="{B3191C79-E147-4445-A2D7-063A6A42C70E}"/>
    <cellStyle name="Comma 4 3 2 2 2 2 3" xfId="5864" xr:uid="{D842C08F-5C1F-4B79-B431-1F701C9FD7C0}"/>
    <cellStyle name="Comma 4 3 2 2 2 2 4" xfId="1560" xr:uid="{8D1190F1-8C1C-469A-8EF5-36138030CEA7}"/>
    <cellStyle name="Comma 4 3 2 2 2 3" xfId="1975" xr:uid="{28A07987-C85D-427A-842F-D17FFA0022BD}"/>
    <cellStyle name="Comma 4 3 2 2 2 3 2" xfId="4204" xr:uid="{E70A31D0-B9C1-440A-BF7F-AA1E473F2B69}"/>
    <cellStyle name="Comma 4 3 2 2 2 3 2 2" xfId="8422" xr:uid="{BF10777D-013A-4E6D-AE88-EBA4355CD5AF}"/>
    <cellStyle name="Comma 4 3 2 2 2 3 3" xfId="6277" xr:uid="{CF555338-07E0-49D4-AAF9-B033212051E4}"/>
    <cellStyle name="Comma 4 3 2 2 2 4" xfId="2388" xr:uid="{44ECA358-1E8E-4E97-98AD-672E5DA77370}"/>
    <cellStyle name="Comma 4 3 2 2 2 4 2" xfId="4617" xr:uid="{13F7673F-1C4C-4BCE-B35B-E3449E0F805E}"/>
    <cellStyle name="Comma 4 3 2 2 2 4 2 2" xfId="8835" xr:uid="{BCA4451A-669D-40AF-B3EF-36685CD19C9A}"/>
    <cellStyle name="Comma 4 3 2 2 2 4 3" xfId="6690" xr:uid="{34CEDCE7-C531-40EC-A73F-62695AD5F90D}"/>
    <cellStyle name="Comma 4 3 2 2 2 5" xfId="2801" xr:uid="{52BB0270-1A68-482C-B22A-F8C0FE2A6F3A}"/>
    <cellStyle name="Comma 4 3 2 2 2 5 2" xfId="5030" xr:uid="{3EF4BA55-AE85-4F1D-AB25-E32E6AF2F0B9}"/>
    <cellStyle name="Comma 4 3 2 2 2 5 2 2" xfId="9248" xr:uid="{85068B94-7D39-41D4-90A7-645256EA510D}"/>
    <cellStyle name="Comma 4 3 2 2 2 5 3" xfId="7103" xr:uid="{524B4E61-B2B1-461A-A8D6-23F0AEA45C27}"/>
    <cellStyle name="Comma 4 3 2 2 2 6" xfId="3236" xr:uid="{8559E3F8-CF93-4ED9-B9DA-8BFD192287D0}"/>
    <cellStyle name="Comma 4 3 2 2 2 6 2" xfId="7516" xr:uid="{ED4AB785-50F8-4B4C-9F03-DEB2C55A2932}"/>
    <cellStyle name="Comma 4 3 2 2 2 7" xfId="3199" xr:uid="{6C057970-A0B8-4DB5-82E8-0A0AB43226A9}"/>
    <cellStyle name="Comma 4 3 2 2 2 8" xfId="3614" xr:uid="{29A01623-1C05-44B1-A8DF-F5D362D59CD9}"/>
    <cellStyle name="Comma 4 3 2 2 2 8 2" xfId="7833" xr:uid="{5360F0BA-5ED5-4A67-B7B0-C22125A26C1F}"/>
    <cellStyle name="Comma 4 3 2 2 2 9" xfId="5450" xr:uid="{1211BC11-6EFD-4FA9-A960-F5DF8FABFCA4}"/>
    <cellStyle name="Comma 4 3 2 2 3" xfId="691" xr:uid="{00000000-0005-0000-0000-000004010000}"/>
    <cellStyle name="Comma 4 3 2 2 3 2" xfId="3790" xr:uid="{1A750EDA-FF78-4EE3-A069-19044DFFF145}"/>
    <cellStyle name="Comma 4 3 2 2 3 2 2" xfId="8008" xr:uid="{9C9C3B34-3E8B-440F-B1A0-F2BE112210DA}"/>
    <cellStyle name="Comma 4 3 2 2 3 3" xfId="5863" xr:uid="{A17BA3E8-7B54-4FFB-B7EA-915EC08CAE9C}"/>
    <cellStyle name="Comma 4 3 2 2 3 4" xfId="1559" xr:uid="{12C3020C-F577-4886-A7A0-261054364957}"/>
    <cellStyle name="Comma 4 3 2 2 4" xfId="1974" xr:uid="{04C79C9D-7A02-4571-8DAB-657F85B2A2A7}"/>
    <cellStyle name="Comma 4 3 2 2 4 2" xfId="4203" xr:uid="{98F09B71-6B22-4C81-8727-B8A9DE2B4049}"/>
    <cellStyle name="Comma 4 3 2 2 4 2 2" xfId="8421" xr:uid="{9DB0D9DF-F632-49BD-8B34-6E16EFD9AD40}"/>
    <cellStyle name="Comma 4 3 2 2 4 3" xfId="6276" xr:uid="{F550E9F4-DB24-4E38-960C-D936197A57DE}"/>
    <cellStyle name="Comma 4 3 2 2 5" xfId="2387" xr:uid="{8322D75E-7322-415E-AD59-E812BC028F31}"/>
    <cellStyle name="Comma 4 3 2 2 5 2" xfId="4616" xr:uid="{5A9818C7-1DDF-4E4D-BB14-6268B347D6AE}"/>
    <cellStyle name="Comma 4 3 2 2 5 2 2" xfId="8834" xr:uid="{15058803-8186-445D-95B3-6A0C292F7E8F}"/>
    <cellStyle name="Comma 4 3 2 2 5 3" xfId="6689" xr:uid="{F3A43CF4-67DA-4CCE-8131-EC9CC89A71DE}"/>
    <cellStyle name="Comma 4 3 2 2 6" xfId="2800" xr:uid="{E79D50EC-8D24-44C6-98CB-2FEE4596AAFC}"/>
    <cellStyle name="Comma 4 3 2 2 6 2" xfId="5029" xr:uid="{94130E8F-47C0-4213-B281-1107AC335EAE}"/>
    <cellStyle name="Comma 4 3 2 2 6 2 2" xfId="9247" xr:uid="{B69E0CBE-6160-4FD5-8499-4C44B02E5FF4}"/>
    <cellStyle name="Comma 4 3 2 2 6 3" xfId="7102" xr:uid="{8EC046EC-03D4-45EB-ADFE-C36C34CE5E34}"/>
    <cellStyle name="Comma 4 3 2 2 7" xfId="3235" xr:uid="{EAC6AFBF-CD03-4037-AD5D-63C57BBEF0EE}"/>
    <cellStyle name="Comma 4 3 2 2 7 2" xfId="7515" xr:uid="{5FA85AC3-0D62-4491-B8F9-CCD1F7D0433A}"/>
    <cellStyle name="Comma 4 3 2 2 8" xfId="3200" xr:uid="{DEA7521C-FCE6-4692-A92F-8E3CBF5C253E}"/>
    <cellStyle name="Comma 4 3 2 2 9" xfId="3613" xr:uid="{4BB1A2CD-D50E-4E15-B1FE-14D02F2A2D7E}"/>
    <cellStyle name="Comma 4 3 2 2 9 2" xfId="7832" xr:uid="{4A07AB87-A3B1-4806-A1E0-0DBBD735F9A1}"/>
    <cellStyle name="Comma 4 3 2 3" xfId="148" xr:uid="{00000000-0005-0000-0000-000005010000}"/>
    <cellStyle name="Comma 4 3 2 3 10" xfId="1147" xr:uid="{783B19CA-16B1-4808-9B31-F00BB821EFEE}"/>
    <cellStyle name="Comma 4 3 2 3 2" xfId="693" xr:uid="{00000000-0005-0000-0000-000006010000}"/>
    <cellStyle name="Comma 4 3 2 3 2 2" xfId="3792" xr:uid="{8A400E77-68E1-4BD8-A4AA-B54A395C964B}"/>
    <cellStyle name="Comma 4 3 2 3 2 2 2" xfId="8010" xr:uid="{7D1A4AD3-A6DA-4A48-A222-511F3F0BFFFF}"/>
    <cellStyle name="Comma 4 3 2 3 2 3" xfId="5865" xr:uid="{481B128C-B409-40CF-ADB0-AA9465D5D77A}"/>
    <cellStyle name="Comma 4 3 2 3 2 4" xfId="1561" xr:uid="{0E31E2DB-5407-44ED-B754-E437E3607DC4}"/>
    <cellStyle name="Comma 4 3 2 3 3" xfId="1976" xr:uid="{702F36D1-AC79-41B0-B68F-6BE74F593D4A}"/>
    <cellStyle name="Comma 4 3 2 3 3 2" xfId="4205" xr:uid="{47DF1267-B354-45FA-9B11-4F398F1F825E}"/>
    <cellStyle name="Comma 4 3 2 3 3 2 2" xfId="8423" xr:uid="{E595E47E-EE67-4EDD-B851-7D8F6772D532}"/>
    <cellStyle name="Comma 4 3 2 3 3 3" xfId="6278" xr:uid="{58381552-75F1-4D88-9B83-EFA46546A4CE}"/>
    <cellStyle name="Comma 4 3 2 3 4" xfId="2389" xr:uid="{0EB71E05-208B-4E3F-829D-7374CD3510DE}"/>
    <cellStyle name="Comma 4 3 2 3 4 2" xfId="4618" xr:uid="{05FE4C5F-9D3C-45D6-A7F4-C800318D5E9F}"/>
    <cellStyle name="Comma 4 3 2 3 4 2 2" xfId="8836" xr:uid="{4F87B68A-BC73-4674-A13B-EB3DA72AC434}"/>
    <cellStyle name="Comma 4 3 2 3 4 3" xfId="6691" xr:uid="{3FDD780E-EFC3-40F5-A4C1-C35D37DB2154}"/>
    <cellStyle name="Comma 4 3 2 3 5" xfId="2802" xr:uid="{790FBBBC-276C-4752-9A85-8E88FE9D55BC}"/>
    <cellStyle name="Comma 4 3 2 3 5 2" xfId="5031" xr:uid="{A36794E1-621B-43FE-A422-2E21435CCCE8}"/>
    <cellStyle name="Comma 4 3 2 3 5 2 2" xfId="9249" xr:uid="{A4D56579-8D35-4C8C-82E7-93755592CF33}"/>
    <cellStyle name="Comma 4 3 2 3 5 3" xfId="7104" xr:uid="{2D4A6194-093C-49EB-A926-6E3E0A64E794}"/>
    <cellStyle name="Comma 4 3 2 3 6" xfId="3237" xr:uid="{10962B95-CE7A-4D77-AB4D-11CF17C86CF0}"/>
    <cellStyle name="Comma 4 3 2 3 6 2" xfId="7517" xr:uid="{6CB74148-DEC8-435E-AA50-BD0EF2F49A5F}"/>
    <cellStyle name="Comma 4 3 2 3 7" xfId="3198" xr:uid="{D9DB80BF-5630-4D70-A97C-C7D4924BA1A1}"/>
    <cellStyle name="Comma 4 3 2 3 8" xfId="3615" xr:uid="{067088A4-A149-49FF-965D-79DA223A538C}"/>
    <cellStyle name="Comma 4 3 2 3 8 2" xfId="7834" xr:uid="{A11ACE2D-6D98-4FC7-BBCB-8A970C95C6EF}"/>
    <cellStyle name="Comma 4 3 2 3 9" xfId="5451" xr:uid="{B0B3A866-CBE5-4C08-8353-09AA61D49C34}"/>
    <cellStyle name="Comma 4 3 2 4" xfId="690" xr:uid="{00000000-0005-0000-0000-000007010000}"/>
    <cellStyle name="Comma 4 3 2 4 2" xfId="3789" xr:uid="{D0CC1063-56F5-456E-A714-C344B12AB4A8}"/>
    <cellStyle name="Comma 4 3 2 4 2 2" xfId="8007" xr:uid="{3823B65B-5C64-446F-AD48-2779F96EC124}"/>
    <cellStyle name="Comma 4 3 2 4 3" xfId="5862" xr:uid="{72492C54-49B3-49CA-B4B4-56DF857420CF}"/>
    <cellStyle name="Comma 4 3 2 4 4" xfId="1558" xr:uid="{7C20FF9F-ECB1-4BEF-B5C7-0BA4841AD12E}"/>
    <cellStyle name="Comma 4 3 2 5" xfId="1973" xr:uid="{16B409D7-4213-4793-9A75-D5978E4C4296}"/>
    <cellStyle name="Comma 4 3 2 5 2" xfId="4202" xr:uid="{80DDE766-9C4B-4CB2-973B-F91CD6694AED}"/>
    <cellStyle name="Comma 4 3 2 5 2 2" xfId="8420" xr:uid="{5BF7AB28-3544-4A4F-A871-66E6D38EFDF9}"/>
    <cellStyle name="Comma 4 3 2 5 3" xfId="6275" xr:uid="{368857CF-31FD-4D4A-9C61-CAB0B2C163A4}"/>
    <cellStyle name="Comma 4 3 2 6" xfId="2386" xr:uid="{9DD8F066-2D74-4A1B-B9B6-739A156CAFD4}"/>
    <cellStyle name="Comma 4 3 2 6 2" xfId="4615" xr:uid="{F71241CF-FFA7-4BAB-AD3D-F974A9ABF152}"/>
    <cellStyle name="Comma 4 3 2 6 2 2" xfId="8833" xr:uid="{A1D7B752-51F1-404A-AA8E-04EA3A677E14}"/>
    <cellStyle name="Comma 4 3 2 6 3" xfId="6688" xr:uid="{4CF8D9A2-232B-4CAE-9CE1-7B99629D48A6}"/>
    <cellStyle name="Comma 4 3 2 7" xfId="2799" xr:uid="{45E1B787-30CD-423D-A581-84C0BD647857}"/>
    <cellStyle name="Comma 4 3 2 7 2" xfId="5028" xr:uid="{40AD21EC-C5F7-4ED0-A51B-84A1A00DF11D}"/>
    <cellStyle name="Comma 4 3 2 7 2 2" xfId="9246" xr:uid="{8E8D5A8B-1135-46C9-8F61-2107AEBCED22}"/>
    <cellStyle name="Comma 4 3 2 7 3" xfId="7101" xr:uid="{1056E7B3-4F15-45EB-8F52-C84CDC37A309}"/>
    <cellStyle name="Comma 4 3 2 8" xfId="3234" xr:uid="{A7A99B1E-D993-48BE-BD33-58E8BB401049}"/>
    <cellStyle name="Comma 4 3 2 8 2" xfId="7514" xr:uid="{43EDF4D8-9491-4170-9E4F-16BF9EA749C2}"/>
    <cellStyle name="Comma 4 3 2 9" xfId="3201" xr:uid="{E175D515-499B-4A80-82EF-F8A7D021A3FF}"/>
    <cellStyle name="Comma 4 3 3" xfId="149" xr:uid="{00000000-0005-0000-0000-000008010000}"/>
    <cellStyle name="Comma 4 3 3 10" xfId="5452" xr:uid="{9C9C42AF-1DAF-4EF3-9E88-E90A6AD2CFAF}"/>
    <cellStyle name="Comma 4 3 3 11" xfId="1148" xr:uid="{FE668E47-FD12-42E5-BBB1-BAD32EF902EB}"/>
    <cellStyle name="Comma 4 3 3 2" xfId="150" xr:uid="{00000000-0005-0000-0000-000009010000}"/>
    <cellStyle name="Comma 4 3 3 2 10" xfId="1149" xr:uid="{88D51627-E0D3-4D23-82FF-7BBBC2CA4F0B}"/>
    <cellStyle name="Comma 4 3 3 2 2" xfId="695" xr:uid="{00000000-0005-0000-0000-00000A010000}"/>
    <cellStyle name="Comma 4 3 3 2 2 2" xfId="3794" xr:uid="{B1E18D38-36C5-44FF-BC51-084B526F8D70}"/>
    <cellStyle name="Comma 4 3 3 2 2 2 2" xfId="8012" xr:uid="{6F9B87CE-DCD2-4CF6-B961-D3471C4CE64C}"/>
    <cellStyle name="Comma 4 3 3 2 2 3" xfId="5867" xr:uid="{F156FF90-D2C8-4023-A0C1-FC0B2CC68A10}"/>
    <cellStyle name="Comma 4 3 3 2 2 4" xfId="1563" xr:uid="{E5563C3D-8464-441F-8C8E-75F3F29EE5E1}"/>
    <cellStyle name="Comma 4 3 3 2 3" xfId="1978" xr:uid="{20ECA902-22E1-4963-83F2-64FD7303BC70}"/>
    <cellStyle name="Comma 4 3 3 2 3 2" xfId="4207" xr:uid="{74ACF836-88E5-4435-9294-4C1A1850CEAE}"/>
    <cellStyle name="Comma 4 3 3 2 3 2 2" xfId="8425" xr:uid="{FBB423AD-487D-45FC-BEA2-AA92F1350FE5}"/>
    <cellStyle name="Comma 4 3 3 2 3 3" xfId="6280" xr:uid="{847B2062-B669-43A4-9105-B6E7270E533C}"/>
    <cellStyle name="Comma 4 3 3 2 4" xfId="2391" xr:uid="{0F16E6D0-B228-4502-82C1-B80571DBBA67}"/>
    <cellStyle name="Comma 4 3 3 2 4 2" xfId="4620" xr:uid="{2E8CE2D9-0567-47A4-A009-884661AC579F}"/>
    <cellStyle name="Comma 4 3 3 2 4 2 2" xfId="8838" xr:uid="{D3261C6B-B167-41F9-84E0-6CCFB70251F2}"/>
    <cellStyle name="Comma 4 3 3 2 4 3" xfId="6693" xr:uid="{DF188E76-F100-4998-8C2B-FF35F3732C00}"/>
    <cellStyle name="Comma 4 3 3 2 5" xfId="2804" xr:uid="{0A82A3C8-2535-46F4-A2E0-A897EB36CA0A}"/>
    <cellStyle name="Comma 4 3 3 2 5 2" xfId="5033" xr:uid="{92F73FA5-0568-4E4F-9FA3-F6440320028E}"/>
    <cellStyle name="Comma 4 3 3 2 5 2 2" xfId="9251" xr:uid="{6EC52071-D7AA-46F5-A296-06F68277B988}"/>
    <cellStyle name="Comma 4 3 3 2 5 3" xfId="7106" xr:uid="{A868817F-DDEA-484B-8048-C06BC260823F}"/>
    <cellStyle name="Comma 4 3 3 2 6" xfId="3239" xr:uid="{9FC5AA2A-39C3-43B4-9982-17A207F43FA5}"/>
    <cellStyle name="Comma 4 3 3 2 6 2" xfId="7519" xr:uid="{ECFE97F0-EEBE-44B4-8E88-61D5D13624AE}"/>
    <cellStyle name="Comma 4 3 3 2 7" xfId="3196" xr:uid="{6FDC2BB2-B96D-4EFD-A85C-92B7746118E5}"/>
    <cellStyle name="Comma 4 3 3 2 8" xfId="3617" xr:uid="{68964486-A80F-41A8-9922-1C317FDD3B74}"/>
    <cellStyle name="Comma 4 3 3 2 8 2" xfId="7836" xr:uid="{E5CD48FA-6D21-4E55-BE8F-DA3DDB26E580}"/>
    <cellStyle name="Comma 4 3 3 2 9" xfId="5453" xr:uid="{0ACF631E-2540-4BD1-947E-7C3A5EF804FA}"/>
    <cellStyle name="Comma 4 3 3 3" xfId="694" xr:uid="{00000000-0005-0000-0000-00000B010000}"/>
    <cellStyle name="Comma 4 3 3 3 2" xfId="3793" xr:uid="{1FE8A4DB-8F0E-44FC-82B6-79DBB77B8FC7}"/>
    <cellStyle name="Comma 4 3 3 3 2 2" xfId="8011" xr:uid="{EA7C7642-FC1E-45D3-A92D-5EFB4340F908}"/>
    <cellStyle name="Comma 4 3 3 3 3" xfId="5866" xr:uid="{400A4B4E-F821-44F7-B79B-BF2CA5743A18}"/>
    <cellStyle name="Comma 4 3 3 3 4" xfId="1562" xr:uid="{750A0275-286F-4B7F-A35B-8834BF860A0E}"/>
    <cellStyle name="Comma 4 3 3 4" xfId="1977" xr:uid="{98CE851D-365F-4229-A48E-EFB5546B7F7E}"/>
    <cellStyle name="Comma 4 3 3 4 2" xfId="4206" xr:uid="{F236E3E1-E7C5-4F54-B1A2-4E1D48947E5A}"/>
    <cellStyle name="Comma 4 3 3 4 2 2" xfId="8424" xr:uid="{DF96768A-A9A7-4018-91B3-D24C672BA2A6}"/>
    <cellStyle name="Comma 4 3 3 4 3" xfId="6279" xr:uid="{0B00F951-548F-4BA2-BFDC-E46F475227C5}"/>
    <cellStyle name="Comma 4 3 3 5" xfId="2390" xr:uid="{30B3FA6D-02A2-4DE7-965D-535B15976B6C}"/>
    <cellStyle name="Comma 4 3 3 5 2" xfId="4619" xr:uid="{758C1B4C-06D6-4936-9A90-71ECB7E88A3C}"/>
    <cellStyle name="Comma 4 3 3 5 2 2" xfId="8837" xr:uid="{030F44F3-545B-4A89-B290-57791D55F95A}"/>
    <cellStyle name="Comma 4 3 3 5 3" xfId="6692" xr:uid="{721B6520-F15F-4455-8EBF-20DA2984FFE8}"/>
    <cellStyle name="Comma 4 3 3 6" xfId="2803" xr:uid="{8F3BBDDF-B9DF-40A7-A194-5A61131F69D7}"/>
    <cellStyle name="Comma 4 3 3 6 2" xfId="5032" xr:uid="{5EB1EF14-C991-40E1-8427-88C00A1C34B6}"/>
    <cellStyle name="Comma 4 3 3 6 2 2" xfId="9250" xr:uid="{EF2C8D92-F0AF-4A72-80B7-6F64B6F50443}"/>
    <cellStyle name="Comma 4 3 3 6 3" xfId="7105" xr:uid="{FEE80E84-5617-42B9-8D6E-1AA331440A7E}"/>
    <cellStyle name="Comma 4 3 3 7" xfId="3238" xr:uid="{70A2B8DA-4266-4918-AA1E-1900C29B508A}"/>
    <cellStyle name="Comma 4 3 3 7 2" xfId="7518" xr:uid="{C40AF5E7-5996-4AB9-B28A-69B43A7218E4}"/>
    <cellStyle name="Comma 4 3 3 8" xfId="3197" xr:uid="{E7B597C1-E47F-4D22-990E-49F0A57C8366}"/>
    <cellStyle name="Comma 4 3 3 9" xfId="3616" xr:uid="{DBB0A48F-F81B-4A5E-9ADA-BC85424488CD}"/>
    <cellStyle name="Comma 4 3 3 9 2" xfId="7835" xr:uid="{FA4A29F2-8B1F-4D76-875A-32DE0EC2330B}"/>
    <cellStyle name="Comma 4 3 4" xfId="151" xr:uid="{00000000-0005-0000-0000-00000C010000}"/>
    <cellStyle name="Comma 4 3 4 10" xfId="1150" xr:uid="{41C03C33-BC53-466E-B645-B94B0069457F}"/>
    <cellStyle name="Comma 4 3 4 2" xfId="696" xr:uid="{00000000-0005-0000-0000-00000D010000}"/>
    <cellStyle name="Comma 4 3 4 2 2" xfId="3795" xr:uid="{06F65F56-9E08-46AC-9356-026C9D8BD325}"/>
    <cellStyle name="Comma 4 3 4 2 2 2" xfId="8013" xr:uid="{55FF1875-AE8F-49C1-9E71-3342BA4E6043}"/>
    <cellStyle name="Comma 4 3 4 2 3" xfId="5868" xr:uid="{64C200CD-4C2B-445A-801D-55C0F592C2BD}"/>
    <cellStyle name="Comma 4 3 4 2 4" xfId="1564" xr:uid="{13F8C7C5-E714-4A88-A6F3-232263F85206}"/>
    <cellStyle name="Comma 4 3 4 3" xfId="1979" xr:uid="{0DE75B84-3141-4720-A2A2-F9D839046A40}"/>
    <cellStyle name="Comma 4 3 4 3 2" xfId="4208" xr:uid="{FD740CD5-8875-4063-B614-065B726751DE}"/>
    <cellStyle name="Comma 4 3 4 3 2 2" xfId="8426" xr:uid="{2472371E-7D3B-4FBB-99D6-ACF7559F5A69}"/>
    <cellStyle name="Comma 4 3 4 3 3" xfId="6281" xr:uid="{0BB8A972-114A-472B-BF7F-FB1CCBF12863}"/>
    <cellStyle name="Comma 4 3 4 4" xfId="2392" xr:uid="{87092D10-F1D4-43A0-AFCD-D65D1F3AF766}"/>
    <cellStyle name="Comma 4 3 4 4 2" xfId="4621" xr:uid="{3AAB42FE-92A1-4FED-8B02-9D12B9495ADF}"/>
    <cellStyle name="Comma 4 3 4 4 2 2" xfId="8839" xr:uid="{1928BDE4-D0CB-4279-941F-AC6E533A248C}"/>
    <cellStyle name="Comma 4 3 4 4 3" xfId="6694" xr:uid="{3D668638-69E0-4D89-B558-9EE3F4139DCE}"/>
    <cellStyle name="Comma 4 3 4 5" xfId="2805" xr:uid="{E35AF26A-46D8-45B8-AD00-676EEBC17F98}"/>
    <cellStyle name="Comma 4 3 4 5 2" xfId="5034" xr:uid="{E22C1F96-BF96-473A-9527-B54A8C0E84A4}"/>
    <cellStyle name="Comma 4 3 4 5 2 2" xfId="9252" xr:uid="{00F5CD87-897F-40D1-9723-EC2CDAFD520C}"/>
    <cellStyle name="Comma 4 3 4 5 3" xfId="7107" xr:uid="{B3BB5DA1-8876-405C-A741-28B1C041352C}"/>
    <cellStyle name="Comma 4 3 4 6" xfId="3240" xr:uid="{D08560C9-3444-4B9A-AEA9-AFA10DF9BC32}"/>
    <cellStyle name="Comma 4 3 4 6 2" xfId="7520" xr:uid="{0739D181-489F-4E97-BAED-9064C3AF4F09}"/>
    <cellStyle name="Comma 4 3 4 7" xfId="3536" xr:uid="{5776406D-9CB4-48A7-924E-EBF47245457F}"/>
    <cellStyle name="Comma 4 3 4 8" xfId="3618" xr:uid="{F40FD24C-07E2-445C-A2F9-2E1030B7BAF9}"/>
    <cellStyle name="Comma 4 3 4 8 2" xfId="7837" xr:uid="{0BE671A4-9FF1-4EC7-8748-C7861CB03938}"/>
    <cellStyle name="Comma 4 3 4 9" xfId="5454" xr:uid="{35868805-3DD3-4133-BD88-7B179FE48DD0}"/>
    <cellStyle name="Comma 4 3 5" xfId="152" xr:uid="{00000000-0005-0000-0000-00000E010000}"/>
    <cellStyle name="Comma 4 3 5 10" xfId="1151" xr:uid="{250CA8D9-C7CF-4495-AE9D-2077B53FE7C9}"/>
    <cellStyle name="Comma 4 3 5 2" xfId="697" xr:uid="{00000000-0005-0000-0000-00000F010000}"/>
    <cellStyle name="Comma 4 3 5 2 2" xfId="3796" xr:uid="{3F7AD114-787C-4290-9105-CE022C36BF71}"/>
    <cellStyle name="Comma 4 3 5 2 2 2" xfId="8014" xr:uid="{B289600E-4456-4525-8D9C-31BFB52B9340}"/>
    <cellStyle name="Comma 4 3 5 2 3" xfId="5869" xr:uid="{0D6F62B4-8FF7-426D-8AE9-C0268D59BEED}"/>
    <cellStyle name="Comma 4 3 5 2 4" xfId="1565" xr:uid="{E0ADC4E4-F03B-4A91-91DB-3185C5B93B9B}"/>
    <cellStyle name="Comma 4 3 5 3" xfId="1980" xr:uid="{FFDF20FB-329F-4311-B110-D04A52A522D1}"/>
    <cellStyle name="Comma 4 3 5 3 2" xfId="4209" xr:uid="{BFB2CF74-BD34-4944-921F-B6CFAE62F202}"/>
    <cellStyle name="Comma 4 3 5 3 2 2" xfId="8427" xr:uid="{2F2D5176-93AA-4C38-A8F0-A14DAC13491D}"/>
    <cellStyle name="Comma 4 3 5 3 3" xfId="6282" xr:uid="{C98AE6E6-D661-4E44-A856-CF12A99C2058}"/>
    <cellStyle name="Comma 4 3 5 4" xfId="2393" xr:uid="{FFC9195F-8AAE-4842-83BF-003CD2BEDFD1}"/>
    <cellStyle name="Comma 4 3 5 4 2" xfId="4622" xr:uid="{8C3B0414-BD65-4797-8187-7B8F9DDA9329}"/>
    <cellStyle name="Comma 4 3 5 4 2 2" xfId="8840" xr:uid="{D2FEBACA-336C-4E4F-9304-56358E1A51B5}"/>
    <cellStyle name="Comma 4 3 5 4 3" xfId="6695" xr:uid="{F96761E6-88AE-469D-92F3-069A3E0A2386}"/>
    <cellStyle name="Comma 4 3 5 5" xfId="2806" xr:uid="{92C17B95-36C4-4C5B-BA61-0B3B590826F9}"/>
    <cellStyle name="Comma 4 3 5 5 2" xfId="5035" xr:uid="{CE278F74-D8ED-4D12-B429-53974957FAEB}"/>
    <cellStyle name="Comma 4 3 5 5 2 2" xfId="9253" xr:uid="{9E2A3F7B-E3CD-4D9A-9EDB-C9A97CA3CE0E}"/>
    <cellStyle name="Comma 4 3 5 5 3" xfId="7108" xr:uid="{C06BA9F4-1A2A-4E34-9DB3-45139472D529}"/>
    <cellStyle name="Comma 4 3 5 6" xfId="3241" xr:uid="{C851673E-CCF7-4827-B2ED-478A0BD36638}"/>
    <cellStyle name="Comma 4 3 5 6 2" xfId="7521" xr:uid="{210727BA-FFEE-4212-B9E2-FE814E6CB6F6}"/>
    <cellStyle name="Comma 4 3 5 7" xfId="3537" xr:uid="{AFA0EEEA-D595-4E29-A3B5-DFF70E67C1A1}"/>
    <cellStyle name="Comma 4 3 5 8" xfId="3619" xr:uid="{C31EF0DE-8CE7-4A19-B257-1DBD29A7FA62}"/>
    <cellStyle name="Comma 4 3 5 8 2" xfId="7838" xr:uid="{12FCECA5-E085-422E-80B5-F66FB87DA769}"/>
    <cellStyle name="Comma 4 3 5 9" xfId="5455" xr:uid="{1C341510-D992-40F5-8F57-9671270F0309}"/>
    <cellStyle name="Comma 4 4" xfId="153" xr:uid="{00000000-0005-0000-0000-000010010000}"/>
    <cellStyle name="Comma 4 4 10" xfId="3620" xr:uid="{F24DEF80-70C4-4768-9909-5CD14247F950}"/>
    <cellStyle name="Comma 4 4 10 2" xfId="7839" xr:uid="{C5DE1320-2E83-4675-A586-B722AE3FA341}"/>
    <cellStyle name="Comma 4 4 11" xfId="5456" xr:uid="{35250DE2-00E1-4810-9128-58653A23FDBA}"/>
    <cellStyle name="Comma 4 4 12" xfId="1152" xr:uid="{BAAC8F42-48FD-49C8-9ADD-FC80449B391B}"/>
    <cellStyle name="Comma 4 4 2" xfId="154" xr:uid="{00000000-0005-0000-0000-000011010000}"/>
    <cellStyle name="Comma 4 4 2 10" xfId="5457" xr:uid="{4E7485A2-2C19-4485-8792-1A982CFEDA2D}"/>
    <cellStyle name="Comma 4 4 2 11" xfId="1153" xr:uid="{A7BC7B82-04AC-4D2C-81D8-4316C09FDD7E}"/>
    <cellStyle name="Comma 4 4 2 2" xfId="155" xr:uid="{00000000-0005-0000-0000-000012010000}"/>
    <cellStyle name="Comma 4 4 2 2 10" xfId="1154" xr:uid="{A87F3143-D5D8-4490-B021-4EC6E0634D06}"/>
    <cellStyle name="Comma 4 4 2 2 2" xfId="700" xr:uid="{00000000-0005-0000-0000-000013010000}"/>
    <cellStyle name="Comma 4 4 2 2 2 2" xfId="3799" xr:uid="{ABD89D2C-A757-48AF-8F57-755C73AD641C}"/>
    <cellStyle name="Comma 4 4 2 2 2 2 2" xfId="8017" xr:uid="{4C97940E-AA35-4BEC-BCAA-821F17230E1C}"/>
    <cellStyle name="Comma 4 4 2 2 2 3" xfId="5872" xr:uid="{9CB3BE74-905C-41F6-AA61-CE12CA43798B}"/>
    <cellStyle name="Comma 4 4 2 2 2 4" xfId="1568" xr:uid="{B2785561-2222-420C-AE43-998FC2F6ED45}"/>
    <cellStyle name="Comma 4 4 2 2 3" xfId="1983" xr:uid="{1B7CF34F-40A8-4B51-9D51-38154A8B059B}"/>
    <cellStyle name="Comma 4 4 2 2 3 2" xfId="4212" xr:uid="{64908B7C-FBBB-4C2E-B981-4522C98AA06F}"/>
    <cellStyle name="Comma 4 4 2 2 3 2 2" xfId="8430" xr:uid="{7C9A10BB-7294-4A8D-B2F2-4542C4CB949A}"/>
    <cellStyle name="Comma 4 4 2 2 3 3" xfId="6285" xr:uid="{58911923-6936-4EAD-9B7C-7F7A5231B431}"/>
    <cellStyle name="Comma 4 4 2 2 4" xfId="2396" xr:uid="{04231B4D-E681-496B-93B7-BA45E72A39D4}"/>
    <cellStyle name="Comma 4 4 2 2 4 2" xfId="4625" xr:uid="{E778323D-C724-413C-88C1-359AD6096DC0}"/>
    <cellStyle name="Comma 4 4 2 2 4 2 2" xfId="8843" xr:uid="{C5B05413-62BD-4CAF-9DEB-CF24F54D9852}"/>
    <cellStyle name="Comma 4 4 2 2 4 3" xfId="6698" xr:uid="{325A0C1A-DF56-48C0-B8C4-5B5E536F5DD1}"/>
    <cellStyle name="Comma 4 4 2 2 5" xfId="2809" xr:uid="{16ED05C5-6F38-4720-ABA8-141C3FF5E777}"/>
    <cellStyle name="Comma 4 4 2 2 5 2" xfId="5038" xr:uid="{D6887C59-EBB4-42D6-89E8-911815511D5E}"/>
    <cellStyle name="Comma 4 4 2 2 5 2 2" xfId="9256" xr:uid="{1F6C9CF2-D3CC-4908-946E-48252097BF5A}"/>
    <cellStyle name="Comma 4 4 2 2 5 3" xfId="7111" xr:uid="{6FCEA585-9CA3-4FA4-AE0D-6EF657521FB8}"/>
    <cellStyle name="Comma 4 4 2 2 6" xfId="3244" xr:uid="{3F24451A-D700-44CD-B9E3-F8C812ED9715}"/>
    <cellStyle name="Comma 4 4 2 2 6 2" xfId="7524" xr:uid="{A0937643-1D36-402C-9C19-62568A3E1E6A}"/>
    <cellStyle name="Comma 4 4 2 2 7" xfId="3540" xr:uid="{F692CD76-B128-442C-AEE9-D1A07338BB70}"/>
    <cellStyle name="Comma 4 4 2 2 8" xfId="3622" xr:uid="{BFF52B0D-0E85-4660-8361-42EABE3622E7}"/>
    <cellStyle name="Comma 4 4 2 2 8 2" xfId="7841" xr:uid="{373BE87A-5904-4546-89D0-A58562C43C3F}"/>
    <cellStyle name="Comma 4 4 2 2 9" xfId="5458" xr:uid="{E68D360C-F579-47E8-9252-78E7151EB7E7}"/>
    <cellStyle name="Comma 4 4 2 3" xfId="699" xr:uid="{00000000-0005-0000-0000-000014010000}"/>
    <cellStyle name="Comma 4 4 2 3 2" xfId="3798" xr:uid="{F753515E-BBDC-419B-89DA-337A0B45B89C}"/>
    <cellStyle name="Comma 4 4 2 3 2 2" xfId="8016" xr:uid="{D2781882-DA62-4823-AD28-0F3E238FA243}"/>
    <cellStyle name="Comma 4 4 2 3 3" xfId="5871" xr:uid="{C35BAF40-0809-47FD-8468-B7B6BE10B8FD}"/>
    <cellStyle name="Comma 4 4 2 3 4" xfId="1567" xr:uid="{DFC915B7-6DAC-4D68-A11E-DBE5F18CD7D6}"/>
    <cellStyle name="Comma 4 4 2 4" xfId="1982" xr:uid="{24BF9661-36D1-4D23-B546-11FAE508C7FD}"/>
    <cellStyle name="Comma 4 4 2 4 2" xfId="4211" xr:uid="{ABD9BE4E-BA06-44BC-B181-5882A7F219BB}"/>
    <cellStyle name="Comma 4 4 2 4 2 2" xfId="8429" xr:uid="{486186F0-99D0-4EFD-8765-082D7BE3CA51}"/>
    <cellStyle name="Comma 4 4 2 4 3" xfId="6284" xr:uid="{987EC89E-3039-4931-962A-226F4EF37CFD}"/>
    <cellStyle name="Comma 4 4 2 5" xfId="2395" xr:uid="{367B1039-DAC5-4571-9F24-FB8CD3012998}"/>
    <cellStyle name="Comma 4 4 2 5 2" xfId="4624" xr:uid="{7994F2B8-E133-4CBB-915A-FAA8530F5FFA}"/>
    <cellStyle name="Comma 4 4 2 5 2 2" xfId="8842" xr:uid="{84EDB352-4E35-48BF-ADFE-86940EFFB56D}"/>
    <cellStyle name="Comma 4 4 2 5 3" xfId="6697" xr:uid="{3AE3227F-B50D-4A1F-B3EB-3F5B200D12DE}"/>
    <cellStyle name="Comma 4 4 2 6" xfId="2808" xr:uid="{9A3118B3-F247-4FA5-B51A-1429DEA872FE}"/>
    <cellStyle name="Comma 4 4 2 6 2" xfId="5037" xr:uid="{1C9E59CD-3D20-4FB9-8303-042ECCFEBA17}"/>
    <cellStyle name="Comma 4 4 2 6 2 2" xfId="9255" xr:uid="{244B3593-EAD0-4937-836C-CD33EB6CBA7A}"/>
    <cellStyle name="Comma 4 4 2 6 3" xfId="7110" xr:uid="{38D60EE6-CA58-457E-A38D-0AEF0A4FE7F0}"/>
    <cellStyle name="Comma 4 4 2 7" xfId="3243" xr:uid="{AA9AA778-F8C8-480A-9C6D-0AF638A30A67}"/>
    <cellStyle name="Comma 4 4 2 7 2" xfId="7523" xr:uid="{685E103C-C082-49CE-B7C3-98BA67260383}"/>
    <cellStyle name="Comma 4 4 2 8" xfId="3539" xr:uid="{58A4183B-239E-42FF-BE38-94917A193B03}"/>
    <cellStyle name="Comma 4 4 2 9" xfId="3621" xr:uid="{AC2C78B5-D9A0-46D3-B629-0D2F94258C1D}"/>
    <cellStyle name="Comma 4 4 2 9 2" xfId="7840" xr:uid="{7579DC53-EE0D-4F74-BA04-FAE1B1167A50}"/>
    <cellStyle name="Comma 4 4 3" xfId="156" xr:uid="{00000000-0005-0000-0000-000015010000}"/>
    <cellStyle name="Comma 4 4 3 10" xfId="1155" xr:uid="{35ECB564-4EFA-4E45-99A1-BBA25E1272BB}"/>
    <cellStyle name="Comma 4 4 3 2" xfId="701" xr:uid="{00000000-0005-0000-0000-000016010000}"/>
    <cellStyle name="Comma 4 4 3 2 2" xfId="3800" xr:uid="{6698334D-DC74-4A27-B5AA-A2CD8E66781C}"/>
    <cellStyle name="Comma 4 4 3 2 2 2" xfId="8018" xr:uid="{AC041264-A0CB-444C-B8F8-53033484CC2A}"/>
    <cellStyle name="Comma 4 4 3 2 3" xfId="5873" xr:uid="{9D2B7CBD-81F1-47D1-B9BB-1FA78AEF0B1D}"/>
    <cellStyle name="Comma 4 4 3 2 4" xfId="1569" xr:uid="{E210FF5E-9461-4767-82B7-520D762BFE44}"/>
    <cellStyle name="Comma 4 4 3 3" xfId="1984" xr:uid="{5FD4310C-AB4E-4E17-9B7B-AB8BBDE77C34}"/>
    <cellStyle name="Comma 4 4 3 3 2" xfId="4213" xr:uid="{C2A6B5A6-8277-4A34-81B5-E2AF8319FC92}"/>
    <cellStyle name="Comma 4 4 3 3 2 2" xfId="8431" xr:uid="{5F3DA1DB-4505-49A5-B4B6-03B22A2D0DED}"/>
    <cellStyle name="Comma 4 4 3 3 3" xfId="6286" xr:uid="{574625FC-F2C1-40C2-8809-E93302F46633}"/>
    <cellStyle name="Comma 4 4 3 4" xfId="2397" xr:uid="{3CA44640-4D66-4699-A33F-9003289397F6}"/>
    <cellStyle name="Comma 4 4 3 4 2" xfId="4626" xr:uid="{1DCF6AC0-61B2-41A0-9E64-9D1328813A33}"/>
    <cellStyle name="Comma 4 4 3 4 2 2" xfId="8844" xr:uid="{B1BAC590-DD38-4E3E-9A73-3F9A3D7DF402}"/>
    <cellStyle name="Comma 4 4 3 4 3" xfId="6699" xr:uid="{096770C5-B2C3-44F0-8E34-F81F2B836399}"/>
    <cellStyle name="Comma 4 4 3 5" xfId="2810" xr:uid="{EE9CF461-E3E1-4A9F-9A43-3404FA0F5CD6}"/>
    <cellStyle name="Comma 4 4 3 5 2" xfId="5039" xr:uid="{9011E071-9029-496D-A346-540ACC4A25BB}"/>
    <cellStyle name="Comma 4 4 3 5 2 2" xfId="9257" xr:uid="{9B130C0A-AF2F-435D-8A90-4ACF028BE192}"/>
    <cellStyle name="Comma 4 4 3 5 3" xfId="7112" xr:uid="{938D79A0-4B6B-434E-AA20-0E4B510198E1}"/>
    <cellStyle name="Comma 4 4 3 6" xfId="3245" xr:uid="{1481FEAC-C4A3-49E7-BD68-07C77F689C86}"/>
    <cellStyle name="Comma 4 4 3 6 2" xfId="7525" xr:uid="{9961B589-1E64-4E12-9DDE-507AC471E290}"/>
    <cellStyle name="Comma 4 4 3 7" xfId="3541" xr:uid="{53D8B908-6F63-40C6-B109-53DB9DD6222D}"/>
    <cellStyle name="Comma 4 4 3 8" xfId="3623" xr:uid="{ACF7E966-0433-45AD-AE24-6DADF820C97D}"/>
    <cellStyle name="Comma 4 4 3 8 2" xfId="7842" xr:uid="{777CA898-B080-4C9A-8A85-C57022E923A0}"/>
    <cellStyle name="Comma 4 4 3 9" xfId="5459" xr:uid="{FD63013C-BA57-412F-9C1B-5B2B1B7ADBD8}"/>
    <cellStyle name="Comma 4 4 4" xfId="698" xr:uid="{00000000-0005-0000-0000-000017010000}"/>
    <cellStyle name="Comma 4 4 4 2" xfId="3797" xr:uid="{2E38A184-B6E4-4526-B1F1-931F04824AAF}"/>
    <cellStyle name="Comma 4 4 4 2 2" xfId="8015" xr:uid="{873BC820-B90B-4EC0-B4A5-CCE689C17FCF}"/>
    <cellStyle name="Comma 4 4 4 3" xfId="5870" xr:uid="{C5C5CA18-B556-4F41-9B92-06411D357674}"/>
    <cellStyle name="Comma 4 4 4 4" xfId="1566" xr:uid="{0DF40741-8DA8-4C7E-B4E0-61A5ED215E48}"/>
    <cellStyle name="Comma 4 4 5" xfId="1981" xr:uid="{7D9C6914-6D66-4F80-9EE8-28BA4C5D7B34}"/>
    <cellStyle name="Comma 4 4 5 2" xfId="4210" xr:uid="{24EA4A86-25EA-4938-8470-A34942D05C14}"/>
    <cellStyle name="Comma 4 4 5 2 2" xfId="8428" xr:uid="{F0724052-17E8-41B3-B2DA-AF3B9FEEEE22}"/>
    <cellStyle name="Comma 4 4 5 3" xfId="6283" xr:uid="{5F34EC7D-FCD2-43F8-8850-A7A33147E1EF}"/>
    <cellStyle name="Comma 4 4 6" xfId="2394" xr:uid="{AEE181D6-0F8A-4CAF-AD52-41482766BAD2}"/>
    <cellStyle name="Comma 4 4 6 2" xfId="4623" xr:uid="{A7620D52-1663-40F0-9BC1-2601F11BEF5C}"/>
    <cellStyle name="Comma 4 4 6 2 2" xfId="8841" xr:uid="{CAF1237C-9361-42F7-BA92-7EF264861038}"/>
    <cellStyle name="Comma 4 4 6 3" xfId="6696" xr:uid="{75E0E49E-0B7C-4F51-83DC-7029D5A283B7}"/>
    <cellStyle name="Comma 4 4 7" xfId="2807" xr:uid="{98A5D915-132B-43FE-842D-B82E7732017C}"/>
    <cellStyle name="Comma 4 4 7 2" xfId="5036" xr:uid="{FED1E58C-888D-4EE1-80BC-9014CBC899BA}"/>
    <cellStyle name="Comma 4 4 7 2 2" xfId="9254" xr:uid="{8D946713-AFF7-48C6-A4C2-9CDD1D5034A6}"/>
    <cellStyle name="Comma 4 4 7 3" xfId="7109" xr:uid="{819D14E7-4867-408F-B67C-84AA479035DF}"/>
    <cellStyle name="Comma 4 4 8" xfId="3242" xr:uid="{508C4E2C-31D9-4D1A-B182-D3E54815B2CA}"/>
    <cellStyle name="Comma 4 4 8 2" xfId="7522" xr:uid="{38C86A91-9B93-46B6-8808-DFC007075320}"/>
    <cellStyle name="Comma 4 4 9" xfId="3538" xr:uid="{A2EA47EF-D009-421F-898F-28262AE63BB1}"/>
    <cellStyle name="Comma 4 5" xfId="157" xr:uid="{00000000-0005-0000-0000-000018010000}"/>
    <cellStyle name="Comma 4 5 10" xfId="5460" xr:uid="{6AB8710F-DF73-4A6C-A064-76A3A935E40A}"/>
    <cellStyle name="Comma 4 5 11" xfId="1156" xr:uid="{BB77C9BF-5020-4FA6-968B-4F4EFF904CA7}"/>
    <cellStyle name="Comma 4 5 2" xfId="158" xr:uid="{00000000-0005-0000-0000-000019010000}"/>
    <cellStyle name="Comma 4 5 2 10" xfId="1157" xr:uid="{4108DCDE-E8DB-47AC-BBD0-FB283126F83C}"/>
    <cellStyle name="Comma 4 5 2 2" xfId="703" xr:uid="{00000000-0005-0000-0000-00001A010000}"/>
    <cellStyle name="Comma 4 5 2 2 2" xfId="3802" xr:uid="{80F528E3-5D97-45D1-9999-624B5F44B5BF}"/>
    <cellStyle name="Comma 4 5 2 2 2 2" xfId="8020" xr:uid="{F482AE3E-7B18-46A2-B838-8065E2794996}"/>
    <cellStyle name="Comma 4 5 2 2 3" xfId="5875" xr:uid="{82B6160B-FA77-421B-B7A2-B081DEF030A1}"/>
    <cellStyle name="Comma 4 5 2 2 4" xfId="1571" xr:uid="{3FBC93AC-6FBD-4C2D-853D-E1EFC6FEF2E8}"/>
    <cellStyle name="Comma 4 5 2 3" xfId="1986" xr:uid="{5484580E-2B45-4A90-80FF-614978E7B638}"/>
    <cellStyle name="Comma 4 5 2 3 2" xfId="4215" xr:uid="{85398959-9A18-4787-8BF7-CC7841AACF2C}"/>
    <cellStyle name="Comma 4 5 2 3 2 2" xfId="8433" xr:uid="{9E4CE120-0F4C-415D-9BCB-2EC6A4DCAC55}"/>
    <cellStyle name="Comma 4 5 2 3 3" xfId="6288" xr:uid="{151A7FAB-D590-49A0-A9E9-2C194D2092A7}"/>
    <cellStyle name="Comma 4 5 2 4" xfId="2399" xr:uid="{32B0F795-7856-451D-8658-DB3B19D6DCD1}"/>
    <cellStyle name="Comma 4 5 2 4 2" xfId="4628" xr:uid="{2AA89276-2A5D-4FD5-A837-41C50B4D8CBC}"/>
    <cellStyle name="Comma 4 5 2 4 2 2" xfId="8846" xr:uid="{1BC66D79-2284-491F-9C81-4D36A53D7EC1}"/>
    <cellStyle name="Comma 4 5 2 4 3" xfId="6701" xr:uid="{D8C64CFF-E3A1-4C5B-8E15-B1869C1321D4}"/>
    <cellStyle name="Comma 4 5 2 5" xfId="2812" xr:uid="{EB1E908B-DF56-47BB-9F4D-6CA376237CF1}"/>
    <cellStyle name="Comma 4 5 2 5 2" xfId="5041" xr:uid="{781B2617-9665-45D5-8C26-0BEE701ACC79}"/>
    <cellStyle name="Comma 4 5 2 5 2 2" xfId="9259" xr:uid="{C9FBC837-66FA-46E9-8445-11B4B4C146E6}"/>
    <cellStyle name="Comma 4 5 2 5 3" xfId="7114" xr:uid="{5568FE0E-E8B3-4C0F-A772-CDA44DCABA59}"/>
    <cellStyle name="Comma 4 5 2 6" xfId="3247" xr:uid="{C6A36D6D-1E3D-44D7-8166-B4EF72355E6C}"/>
    <cellStyle name="Comma 4 5 2 6 2" xfId="7527" xr:uid="{4A6D08AB-A0FD-4332-8E37-0CC91D777012}"/>
    <cellStyle name="Comma 4 5 2 7" xfId="3543" xr:uid="{1712CEA2-48F5-464B-AE79-55356D0C6179}"/>
    <cellStyle name="Comma 4 5 2 8" xfId="3625" xr:uid="{BE489FA0-4745-4EF0-8B87-F7EFA617C39E}"/>
    <cellStyle name="Comma 4 5 2 8 2" xfId="7844" xr:uid="{77FDF5FC-494D-4717-ACB7-4A97B9A6C299}"/>
    <cellStyle name="Comma 4 5 2 9" xfId="5461" xr:uid="{55A9CC7C-CCC7-4CD5-B5F1-2DBFAC12F197}"/>
    <cellStyle name="Comma 4 5 3" xfId="702" xr:uid="{00000000-0005-0000-0000-00001B010000}"/>
    <cellStyle name="Comma 4 5 3 2" xfId="3801" xr:uid="{0738CE2F-2CD5-4990-85CE-33D362873E8B}"/>
    <cellStyle name="Comma 4 5 3 2 2" xfId="8019" xr:uid="{0CBB1AF2-FB33-4213-9986-68CE6B1FDCE8}"/>
    <cellStyle name="Comma 4 5 3 3" xfId="5874" xr:uid="{9DDFD5D1-69D1-4966-9DED-3CD0B181644F}"/>
    <cellStyle name="Comma 4 5 3 4" xfId="1570" xr:uid="{2B952678-CB7A-4C4F-9C26-2D9BC0977C35}"/>
    <cellStyle name="Comma 4 5 4" xfId="1985" xr:uid="{5D7978EE-056A-447E-951A-A1F8F2E5F4EF}"/>
    <cellStyle name="Comma 4 5 4 2" xfId="4214" xr:uid="{1A1E5B10-8A33-4873-BD2B-B3910670745B}"/>
    <cellStyle name="Comma 4 5 4 2 2" xfId="8432" xr:uid="{C0E1C15F-792A-4019-95D1-6F9831E3E4B6}"/>
    <cellStyle name="Comma 4 5 4 3" xfId="6287" xr:uid="{9D0DAE96-2F8E-4D50-8D1F-388BA57BB569}"/>
    <cellStyle name="Comma 4 5 5" xfId="2398" xr:uid="{D4BF8E2A-FBDE-4688-BFF0-76802B7BDBDD}"/>
    <cellStyle name="Comma 4 5 5 2" xfId="4627" xr:uid="{09FF3BF5-572F-4AF0-92E3-6A91ED02AA07}"/>
    <cellStyle name="Comma 4 5 5 2 2" xfId="8845" xr:uid="{200414D8-4487-4739-8676-E38E01936C76}"/>
    <cellStyle name="Comma 4 5 5 3" xfId="6700" xr:uid="{FEE0EBB7-BEAA-4FED-BD33-1940F1D7A7A8}"/>
    <cellStyle name="Comma 4 5 6" xfId="2811" xr:uid="{F2A46710-9D15-42A9-BAF3-604BAE937100}"/>
    <cellStyle name="Comma 4 5 6 2" xfId="5040" xr:uid="{08285DCD-9BFC-4EC4-A778-1214F4D6816E}"/>
    <cellStyle name="Comma 4 5 6 2 2" xfId="9258" xr:uid="{3B4D09A9-3AF5-49E4-B153-0872CBEBBE0E}"/>
    <cellStyle name="Comma 4 5 6 3" xfId="7113" xr:uid="{242E146E-ABC6-4B42-8FB4-BA40CF923B0E}"/>
    <cellStyle name="Comma 4 5 7" xfId="3246" xr:uid="{76F436D5-756F-41ED-A0BE-BE3862506F15}"/>
    <cellStyle name="Comma 4 5 7 2" xfId="7526" xr:uid="{1EB3BD12-1B96-4AE9-9CF1-5E85923B5C5B}"/>
    <cellStyle name="Comma 4 5 8" xfId="3542" xr:uid="{0A718476-3C49-4637-8E0E-8ADFE6520058}"/>
    <cellStyle name="Comma 4 5 9" xfId="3624" xr:uid="{ED618E6D-90FF-4763-B288-342D9A63473E}"/>
    <cellStyle name="Comma 4 5 9 2" xfId="7843" xr:uid="{61DA1665-1B41-48E5-935F-3F7B8E88A055}"/>
    <cellStyle name="Comma 4 6" xfId="159" xr:uid="{00000000-0005-0000-0000-00001C010000}"/>
    <cellStyle name="Comma 4 6 10" xfId="1158" xr:uid="{65526342-D61C-4E1D-8F71-6991C43F30A5}"/>
    <cellStyle name="Comma 4 6 2" xfId="704" xr:uid="{00000000-0005-0000-0000-00001D010000}"/>
    <cellStyle name="Comma 4 6 2 2" xfId="3803" xr:uid="{6C1E97F9-C0AE-4AC7-ACA2-C6F217915EF7}"/>
    <cellStyle name="Comma 4 6 2 2 2" xfId="8021" xr:uid="{7C09899D-C044-4B90-8B1D-287256F82DAB}"/>
    <cellStyle name="Comma 4 6 2 3" xfId="5876" xr:uid="{C8CAB98E-3372-43AA-B5A0-90B5BDFA0C81}"/>
    <cellStyle name="Comma 4 6 2 4" xfId="1572" xr:uid="{DAD7B690-9315-430F-8CDF-B83E3CC42065}"/>
    <cellStyle name="Comma 4 6 3" xfId="1987" xr:uid="{36E1F83D-5264-4E96-A5EB-67957971F656}"/>
    <cellStyle name="Comma 4 6 3 2" xfId="4216" xr:uid="{14CE4F36-A65C-4D14-A169-755FC4761217}"/>
    <cellStyle name="Comma 4 6 3 2 2" xfId="8434" xr:uid="{5D8CFD72-0EF1-4524-A176-34723CD4EF3B}"/>
    <cellStyle name="Comma 4 6 3 3" xfId="6289" xr:uid="{9F7D820D-0E2C-4C8F-A28D-A834EC7C7E33}"/>
    <cellStyle name="Comma 4 6 4" xfId="2400" xr:uid="{CA4821D4-759C-4A06-A296-E477B2364211}"/>
    <cellStyle name="Comma 4 6 4 2" xfId="4629" xr:uid="{C3812914-D3F6-404B-89C5-A41130F8D5EC}"/>
    <cellStyle name="Comma 4 6 4 2 2" xfId="8847" xr:uid="{C6525FEE-BF44-4A0E-BE6A-AE0CC43581DB}"/>
    <cellStyle name="Comma 4 6 4 3" xfId="6702" xr:uid="{8AF01D7E-7A3A-400D-BA31-6FD6AF12D043}"/>
    <cellStyle name="Comma 4 6 5" xfId="2813" xr:uid="{B0838E06-7E0C-4736-860A-720E101FDE56}"/>
    <cellStyle name="Comma 4 6 5 2" xfId="5042" xr:uid="{06AC2D4B-765A-4DDF-83B5-974B21BE8B77}"/>
    <cellStyle name="Comma 4 6 5 2 2" xfId="9260" xr:uid="{54E1C36E-BD66-4B8F-9D9E-4D36659E573A}"/>
    <cellStyle name="Comma 4 6 5 3" xfId="7115" xr:uid="{4F804DB0-387E-44C0-B73A-62BBBA7DED12}"/>
    <cellStyle name="Comma 4 6 6" xfId="3248" xr:uid="{BE6104AB-2850-4A12-8A07-E388CAD39478}"/>
    <cellStyle name="Comma 4 6 6 2" xfId="7528" xr:uid="{C8F00BCF-962A-4FDD-A562-F2579DEEDD9A}"/>
    <cellStyle name="Comma 4 6 7" xfId="3544" xr:uid="{FB717D78-C2EA-4ABA-BA8A-042150AACDFD}"/>
    <cellStyle name="Comma 4 6 8" xfId="3626" xr:uid="{AACA50E5-423E-4C0B-9554-F590E4752123}"/>
    <cellStyle name="Comma 4 6 8 2" xfId="7845" xr:uid="{4EC16C23-F49A-4EA4-A00F-C3A334632D19}"/>
    <cellStyle name="Comma 4 6 9" xfId="5462" xr:uid="{FE973CE9-28B0-4AFD-BD9E-C5F6CEC61B7C}"/>
    <cellStyle name="Comma 4 7" xfId="160" xr:uid="{00000000-0005-0000-0000-00001E010000}"/>
    <cellStyle name="Comma 4 7 10" xfId="1159" xr:uid="{2585185B-68AC-4C08-ADEE-CEC9F53E0002}"/>
    <cellStyle name="Comma 4 7 2" xfId="705" xr:uid="{00000000-0005-0000-0000-00001F010000}"/>
    <cellStyle name="Comma 4 7 2 2" xfId="3804" xr:uid="{E8EECC4A-F04F-48F1-B057-D363F977C229}"/>
    <cellStyle name="Comma 4 7 2 2 2" xfId="8022" xr:uid="{70AE0335-08A2-4060-9A8D-8F5522D2B8D5}"/>
    <cellStyle name="Comma 4 7 2 3" xfId="5877" xr:uid="{026B4151-2975-4573-9EE1-AF2AB74554C8}"/>
    <cellStyle name="Comma 4 7 2 4" xfId="1573" xr:uid="{90A2A5D4-5648-4FEC-86E6-50F70999B811}"/>
    <cellStyle name="Comma 4 7 3" xfId="1988" xr:uid="{74BA2059-5FBF-476F-AA9B-751C533CB62C}"/>
    <cellStyle name="Comma 4 7 3 2" xfId="4217" xr:uid="{6D4CE139-14D6-4FEA-BA81-7180BC39BD68}"/>
    <cellStyle name="Comma 4 7 3 2 2" xfId="8435" xr:uid="{421C2442-5D75-4C5A-B03A-E861352FBBC7}"/>
    <cellStyle name="Comma 4 7 3 3" xfId="6290" xr:uid="{0940EDD2-54A1-46C6-AB08-555C4534C810}"/>
    <cellStyle name="Comma 4 7 4" xfId="2401" xr:uid="{8E18DEEC-1272-49D4-8FC3-F02ECD18AF75}"/>
    <cellStyle name="Comma 4 7 4 2" xfId="4630" xr:uid="{E34681C8-6E80-4CF5-9374-FEBA1A618A1B}"/>
    <cellStyle name="Comma 4 7 4 2 2" xfId="8848" xr:uid="{135C87B2-3541-4864-A13F-A15B4D0D44C6}"/>
    <cellStyle name="Comma 4 7 4 3" xfId="6703" xr:uid="{C7A1F21E-99BE-44AB-8682-BD1C7004955F}"/>
    <cellStyle name="Comma 4 7 5" xfId="2814" xr:uid="{11A0F0A6-0ECE-4ED1-9B86-FC9A2DA08A82}"/>
    <cellStyle name="Comma 4 7 5 2" xfId="5043" xr:uid="{2118FB83-3F0C-43F8-85BD-D53ADFBA58FB}"/>
    <cellStyle name="Comma 4 7 5 2 2" xfId="9261" xr:uid="{778C542E-37AA-44BD-ABD5-C7E3B5BBA9B7}"/>
    <cellStyle name="Comma 4 7 5 3" xfId="7116" xr:uid="{E492E80A-436A-401E-B009-86F2C6DB5392}"/>
    <cellStyle name="Comma 4 7 6" xfId="3249" xr:uid="{DD7AAAE1-9006-4086-8FA4-C77E74CD8446}"/>
    <cellStyle name="Comma 4 7 6 2" xfId="7529" xr:uid="{D1124F28-2D74-444A-83EB-442408250519}"/>
    <cellStyle name="Comma 4 7 7" xfId="3545" xr:uid="{6DBDB813-A850-4226-9C44-06757FFAA0EA}"/>
    <cellStyle name="Comma 4 7 8" xfId="3627" xr:uid="{581E5596-A2B8-4D88-A10E-16B51A6A9CA7}"/>
    <cellStyle name="Comma 4 7 8 2" xfId="7846" xr:uid="{E63AD738-E555-4941-920C-597FD693E0E8}"/>
    <cellStyle name="Comma 4 7 9" xfId="5463" xr:uid="{31D49209-F211-4020-ACDF-8D01F6DB844B}"/>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5331" xr:uid="{B3C8AFDA-3517-46E6-83D8-F717C02A58EC}"/>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2 3" xfId="1574" xr:uid="{00317E3C-C8C9-4A81-AE76-EADFC2339EF5}"/>
    <cellStyle name="Currency 13" xfId="3546" xr:uid="{147D95B7-B4A4-420C-8377-68907F6CE3E1}"/>
    <cellStyle name="Currency 13 2" xfId="5329" xr:uid="{961EAA2B-7AE1-4E84-9B6A-C7A8A2AB9E38}"/>
    <cellStyle name="Currency 13 3" xfId="3282" xr:uid="{35E9BB86-FBDE-4D70-94A9-9E450849B317}"/>
    <cellStyle name="Currency 14" xfId="5334" xr:uid="{1F38AC48-0D41-4CDA-9C27-5BED7ED6500E}"/>
    <cellStyle name="Currency 14 2" xfId="9548" xr:uid="{9EC9A6DB-858D-4835-B711-E7E48EA8E887}"/>
    <cellStyle name="Currency 14 3" xfId="9551" xr:uid="{675E1190-FAF5-4B60-8F5E-F31DF466358D}"/>
    <cellStyle name="Currency 14 3 2" xfId="9554" xr:uid="{1DDAF8BC-AD58-4F06-98D7-4BC87894F13F}"/>
    <cellStyle name="Currency 14 3 2 2" xfId="9557" xr:uid="{A386EABC-BF22-4269-BAD0-E4C6253DFC24}"/>
    <cellStyle name="Currency 14 3 2 2 2" xfId="9561" xr:uid="{BE9B1A9E-4537-4F37-8852-5EB29CCE7479}"/>
    <cellStyle name="Currency 14 3 2 2 2 2" xfId="9564" xr:uid="{C454256F-66B6-42FC-B286-A72E3CBDBDB9}"/>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3628" xr:uid="{3E24928D-FCE6-4880-A689-48B5261D6631}"/>
    <cellStyle name="Currency 3 2 2 10 2" xfId="7847" xr:uid="{55BD5E42-C1ED-4306-A5CA-ED188F0849F7}"/>
    <cellStyle name="Currency 3 2 2 11" xfId="5464" xr:uid="{DD2D0F88-B156-4D1A-A32B-D885F26A2D53}"/>
    <cellStyle name="Currency 3 2 2 12" xfId="1160" xr:uid="{B4063F7A-2403-4812-AA99-EADF27BC8F13}"/>
    <cellStyle name="Currency 3 2 2 2" xfId="180" xr:uid="{00000000-0005-0000-0000-00003D010000}"/>
    <cellStyle name="Currency 3 2 2 2 10" xfId="5465" xr:uid="{D5914909-120C-4A1B-8E52-7F02C8BAEEE7}"/>
    <cellStyle name="Currency 3 2 2 2 11" xfId="1161" xr:uid="{2B1F1C9E-EFDD-4CD6-A88E-F0697FB553D5}"/>
    <cellStyle name="Currency 3 2 2 2 2" xfId="181" xr:uid="{00000000-0005-0000-0000-00003E010000}"/>
    <cellStyle name="Currency 3 2 2 2 2 10" xfId="1162" xr:uid="{936556B1-4302-4E08-93EB-A43AA440DB3A}"/>
    <cellStyle name="Currency 3 2 2 2 2 2" xfId="717" xr:uid="{00000000-0005-0000-0000-00003F010000}"/>
    <cellStyle name="Currency 3 2 2 2 2 2 2" xfId="3807" xr:uid="{200A0E04-211A-444C-AF61-95D6D839FF15}"/>
    <cellStyle name="Currency 3 2 2 2 2 2 2 2" xfId="8025" xr:uid="{BC7C1658-0673-47C0-AA21-163371101AD3}"/>
    <cellStyle name="Currency 3 2 2 2 2 2 3" xfId="5880" xr:uid="{86C89BDD-BD62-461B-8A4C-B103C0021AAD}"/>
    <cellStyle name="Currency 3 2 2 2 2 2 4" xfId="1577" xr:uid="{020D0A29-E561-471E-A8B8-D2A5458DE61E}"/>
    <cellStyle name="Currency 3 2 2 2 2 3" xfId="1991" xr:uid="{2D46BB53-6CB9-43EB-AD56-6C7C7EEBF183}"/>
    <cellStyle name="Currency 3 2 2 2 2 3 2" xfId="4220" xr:uid="{1F1B492B-DEA8-4FA4-AA73-1A5403919C0E}"/>
    <cellStyle name="Currency 3 2 2 2 2 3 2 2" xfId="8438" xr:uid="{F72C2544-0810-450D-A685-C98B4922DEB8}"/>
    <cellStyle name="Currency 3 2 2 2 2 3 3" xfId="6293" xr:uid="{A4D33C6E-6EBD-4305-A899-86A3D67DCAC3}"/>
    <cellStyle name="Currency 3 2 2 2 2 4" xfId="2404" xr:uid="{4BD9EAAC-F140-4C46-89FF-89EE1F30F2C3}"/>
    <cellStyle name="Currency 3 2 2 2 2 4 2" xfId="4633" xr:uid="{4F1C8836-CFB7-4CE1-BF40-FC801C91B599}"/>
    <cellStyle name="Currency 3 2 2 2 2 4 2 2" xfId="8851" xr:uid="{BB4D5ACA-798E-408B-A854-AC87846ED8D7}"/>
    <cellStyle name="Currency 3 2 2 2 2 4 3" xfId="6706" xr:uid="{E8F3A88F-0A95-4965-8928-E870772029AB}"/>
    <cellStyle name="Currency 3 2 2 2 2 5" xfId="2817" xr:uid="{69EB5364-2234-4473-A3B1-FE7437097B15}"/>
    <cellStyle name="Currency 3 2 2 2 2 5 2" xfId="5046" xr:uid="{8DF23D0F-A36B-4F85-9562-3E3A4C953DB0}"/>
    <cellStyle name="Currency 3 2 2 2 2 5 2 2" xfId="9264" xr:uid="{620540CA-0A7D-42FB-BA27-B1EA04B23356}"/>
    <cellStyle name="Currency 3 2 2 2 2 5 3" xfId="7119" xr:uid="{C93FA1AC-8AE3-4DBD-81C9-CF7CD20F6656}"/>
    <cellStyle name="Currency 3 2 2 2 2 6" xfId="3252" xr:uid="{AF982ABD-5F69-41E8-947F-D447B337CF0A}"/>
    <cellStyle name="Currency 3 2 2 2 2 6 2" xfId="7532" xr:uid="{9E667780-0600-48FE-B48C-DC88956ADC65}"/>
    <cellStyle name="Currency 3 2 2 2 2 7" xfId="3549" xr:uid="{A7773C17-A7CC-4376-BF99-2D54C105F824}"/>
    <cellStyle name="Currency 3 2 2 2 2 8" xfId="3630" xr:uid="{CC2F1B63-201E-44F5-BD49-EFB981D98E0F}"/>
    <cellStyle name="Currency 3 2 2 2 2 8 2" xfId="7849" xr:uid="{CBAD2C04-29EA-47DC-9FC8-1F0D03334814}"/>
    <cellStyle name="Currency 3 2 2 2 2 9" xfId="5466" xr:uid="{B3779A65-7560-434D-B621-B70109C94753}"/>
    <cellStyle name="Currency 3 2 2 2 3" xfId="716" xr:uid="{00000000-0005-0000-0000-000040010000}"/>
    <cellStyle name="Currency 3 2 2 2 3 2" xfId="3806" xr:uid="{F237B508-CCB3-4828-892F-941B3F37ACE4}"/>
    <cellStyle name="Currency 3 2 2 2 3 2 2" xfId="8024" xr:uid="{5E98FBD6-493D-415D-84D4-9DA2AADC8E1F}"/>
    <cellStyle name="Currency 3 2 2 2 3 3" xfId="5879" xr:uid="{0B88EBF6-7586-4546-A52D-384061836B91}"/>
    <cellStyle name="Currency 3 2 2 2 3 4" xfId="1576" xr:uid="{64B7D877-B5FE-4E1F-A74A-A9FF27F31970}"/>
    <cellStyle name="Currency 3 2 2 2 4" xfId="1990" xr:uid="{84B749E5-4971-4FC6-B36A-10E6BDC05854}"/>
    <cellStyle name="Currency 3 2 2 2 4 2" xfId="4219" xr:uid="{63F55CE6-8CB0-4983-8EC7-B77F4495236B}"/>
    <cellStyle name="Currency 3 2 2 2 4 2 2" xfId="8437" xr:uid="{50B7182F-4CDF-428B-ABA1-2E53670A5057}"/>
    <cellStyle name="Currency 3 2 2 2 4 3" xfId="6292" xr:uid="{2BC2B829-D691-4389-B18C-D28119D88210}"/>
    <cellStyle name="Currency 3 2 2 2 5" xfId="2403" xr:uid="{31AB5ACC-001F-401B-A07D-3B7599DBAC6B}"/>
    <cellStyle name="Currency 3 2 2 2 5 2" xfId="4632" xr:uid="{9D240A0C-256A-4DCE-B845-D1FB08EF2F9F}"/>
    <cellStyle name="Currency 3 2 2 2 5 2 2" xfId="8850" xr:uid="{B1E4B80F-30A4-4A0B-BB5C-637CBDA55BC0}"/>
    <cellStyle name="Currency 3 2 2 2 5 3" xfId="6705" xr:uid="{2DA2C2C1-B92C-425D-846F-FE350C281A3D}"/>
    <cellStyle name="Currency 3 2 2 2 6" xfId="2816" xr:uid="{FE7B07D3-00FC-4502-AC7E-742B55916104}"/>
    <cellStyle name="Currency 3 2 2 2 6 2" xfId="5045" xr:uid="{C1388864-64AA-435D-99D4-09F08DF23E9A}"/>
    <cellStyle name="Currency 3 2 2 2 6 2 2" xfId="9263" xr:uid="{F6BE09AD-B7A7-4EE9-A1CF-0DA78F7FE818}"/>
    <cellStyle name="Currency 3 2 2 2 6 3" xfId="7118" xr:uid="{65E74005-F9A7-4FA5-8E84-9FAAF3A891D4}"/>
    <cellStyle name="Currency 3 2 2 2 7" xfId="3251" xr:uid="{8A4BBFD8-B853-4EB9-9027-A8AD75E5F9D5}"/>
    <cellStyle name="Currency 3 2 2 2 7 2" xfId="7531" xr:uid="{2605A82C-700A-4B5B-A040-43037DE3885D}"/>
    <cellStyle name="Currency 3 2 2 2 8" xfId="3548" xr:uid="{7458E550-CCA0-419F-B2B6-5ABCCB3AFF8A}"/>
    <cellStyle name="Currency 3 2 2 2 9" xfId="3629" xr:uid="{62F96725-F05A-4472-A39B-C372B115118A}"/>
    <cellStyle name="Currency 3 2 2 2 9 2" xfId="7848" xr:uid="{4FF1FE3D-1E35-4BFE-9F22-58B102C34E86}"/>
    <cellStyle name="Currency 3 2 2 3" xfId="182" xr:uid="{00000000-0005-0000-0000-000041010000}"/>
    <cellStyle name="Currency 3 2 2 3 10" xfId="1163" xr:uid="{2D725264-830C-4B4D-9F1F-718018953EB8}"/>
    <cellStyle name="Currency 3 2 2 3 2" xfId="718" xr:uid="{00000000-0005-0000-0000-000042010000}"/>
    <cellStyle name="Currency 3 2 2 3 2 2" xfId="3808" xr:uid="{B15AF5BF-EE0B-49D8-9895-9319BCA79A95}"/>
    <cellStyle name="Currency 3 2 2 3 2 2 2" xfId="8026" xr:uid="{C2F9BF80-CD3D-4E33-9ACC-0E4C8B3353A0}"/>
    <cellStyle name="Currency 3 2 2 3 2 3" xfId="5881" xr:uid="{43A1562F-063C-491C-8037-EE591CEFF4A0}"/>
    <cellStyle name="Currency 3 2 2 3 2 4" xfId="1578" xr:uid="{D9B03901-6C98-46FC-8520-8519F1C96FCA}"/>
    <cellStyle name="Currency 3 2 2 3 3" xfId="1992" xr:uid="{EBE7F28F-70AD-4BC8-88BC-4AB9CA9AF323}"/>
    <cellStyle name="Currency 3 2 2 3 3 2" xfId="4221" xr:uid="{D7FF5980-2957-4A07-8512-D929B8DF89E0}"/>
    <cellStyle name="Currency 3 2 2 3 3 2 2" xfId="8439" xr:uid="{885645F0-D325-4475-8103-F0D54E337896}"/>
    <cellStyle name="Currency 3 2 2 3 3 3" xfId="6294" xr:uid="{9F54A472-521E-435D-96B6-10B539047855}"/>
    <cellStyle name="Currency 3 2 2 3 4" xfId="2405" xr:uid="{D1BFA6D5-B02F-47A0-912C-EC33BF56E828}"/>
    <cellStyle name="Currency 3 2 2 3 4 2" xfId="4634" xr:uid="{B86F3A49-CE76-4FBA-8E7B-23725C258E5F}"/>
    <cellStyle name="Currency 3 2 2 3 4 2 2" xfId="8852" xr:uid="{AF23765D-7C94-4771-8317-9A9792E4E029}"/>
    <cellStyle name="Currency 3 2 2 3 4 3" xfId="6707" xr:uid="{AE459F38-DC46-44ED-BC55-3CF9FDDD981C}"/>
    <cellStyle name="Currency 3 2 2 3 5" xfId="2818" xr:uid="{5EEA0C27-1845-4964-9153-E7E75E08A2C4}"/>
    <cellStyle name="Currency 3 2 2 3 5 2" xfId="5047" xr:uid="{A38EF299-32F2-4071-B51E-6899EEC20720}"/>
    <cellStyle name="Currency 3 2 2 3 5 2 2" xfId="9265" xr:uid="{203E5382-17BC-4892-802D-0657AD3CEB9F}"/>
    <cellStyle name="Currency 3 2 2 3 5 3" xfId="7120" xr:uid="{46B80EA7-7D9E-4FA2-BBEA-C1F81BC98137}"/>
    <cellStyle name="Currency 3 2 2 3 6" xfId="3253" xr:uid="{A4A1E5E5-0C22-44A7-81C2-5F788F90AFA4}"/>
    <cellStyle name="Currency 3 2 2 3 6 2" xfId="7533" xr:uid="{9C1EDB31-FEB5-4581-A82D-0B048C0CA18C}"/>
    <cellStyle name="Currency 3 2 2 3 7" xfId="3550" xr:uid="{359B02B3-0FBB-460C-85DF-29A49682D4C3}"/>
    <cellStyle name="Currency 3 2 2 3 8" xfId="3631" xr:uid="{3DCE6E2C-00A7-4275-8F7B-EF67631D88DD}"/>
    <cellStyle name="Currency 3 2 2 3 8 2" xfId="7850" xr:uid="{EA723E1A-C62F-435D-A276-2B5E71B1333B}"/>
    <cellStyle name="Currency 3 2 2 3 9" xfId="5467" xr:uid="{F5C99FAC-691E-4F4F-BF59-9B7FE61E6D01}"/>
    <cellStyle name="Currency 3 2 2 4" xfId="715" xr:uid="{00000000-0005-0000-0000-000043010000}"/>
    <cellStyle name="Currency 3 2 2 4 2" xfId="3805" xr:uid="{4C108688-A875-4AA0-860F-90F3DCFBB111}"/>
    <cellStyle name="Currency 3 2 2 4 2 2" xfId="8023" xr:uid="{45E0E110-F293-4B27-9E93-9E98737709D7}"/>
    <cellStyle name="Currency 3 2 2 4 3" xfId="5878" xr:uid="{D24383F6-5021-44CD-B3EA-8B88080C752C}"/>
    <cellStyle name="Currency 3 2 2 4 4" xfId="1575" xr:uid="{A568B9DB-5875-4B24-A6BA-E6B0D87C36B9}"/>
    <cellStyle name="Currency 3 2 2 5" xfId="1989" xr:uid="{FBA013CC-774B-493D-B89E-518A0368054B}"/>
    <cellStyle name="Currency 3 2 2 5 2" xfId="4218" xr:uid="{4B40762D-1228-4F98-9C8F-A2EFB7BE04E3}"/>
    <cellStyle name="Currency 3 2 2 5 2 2" xfId="8436" xr:uid="{0FA19EB1-7C34-4B07-AF56-CF7A2D1F53AE}"/>
    <cellStyle name="Currency 3 2 2 5 3" xfId="6291" xr:uid="{1A61741B-AA8C-4F82-8D15-320A1830B3D9}"/>
    <cellStyle name="Currency 3 2 2 6" xfId="2402" xr:uid="{F74CA289-4C6E-4819-BB83-20631350980E}"/>
    <cellStyle name="Currency 3 2 2 6 2" xfId="4631" xr:uid="{2A8D336F-8606-4091-BB36-F7A89222A6A8}"/>
    <cellStyle name="Currency 3 2 2 6 2 2" xfId="8849" xr:uid="{56540F2C-BAD9-4A6C-9421-7778DB43F366}"/>
    <cellStyle name="Currency 3 2 2 6 3" xfId="6704" xr:uid="{5E143701-A572-4667-8A6E-272DD0A122E9}"/>
    <cellStyle name="Currency 3 2 2 7" xfId="2815" xr:uid="{6B61C586-D86F-48DE-9FE9-AA8E60F94A99}"/>
    <cellStyle name="Currency 3 2 2 7 2" xfId="5044" xr:uid="{61A171CE-114E-46F4-917D-0BB131D41AC6}"/>
    <cellStyle name="Currency 3 2 2 7 2 2" xfId="9262" xr:uid="{BBF90E08-CB1E-4C1C-AAAB-4345E1519774}"/>
    <cellStyle name="Currency 3 2 2 7 3" xfId="7117" xr:uid="{6FE2A10E-58A0-4303-B2D4-782A8E33C705}"/>
    <cellStyle name="Currency 3 2 2 8" xfId="3250" xr:uid="{F81FEF3E-43FF-4544-8957-34A396CBD576}"/>
    <cellStyle name="Currency 3 2 2 8 2" xfId="7530" xr:uid="{3D71D72E-A3E0-4BF6-ACF9-2CAF1802F40A}"/>
    <cellStyle name="Currency 3 2 2 9" xfId="3547" xr:uid="{67DFDD99-F004-4C74-871C-991FD0AA9DC2}"/>
    <cellStyle name="Currency 3 2 3" xfId="183" xr:uid="{00000000-0005-0000-0000-000044010000}"/>
    <cellStyle name="Currency 3 2 3 10" xfId="5468" xr:uid="{40848F0F-C636-43DB-82F8-84FEF0960F26}"/>
    <cellStyle name="Currency 3 2 3 11" xfId="1164" xr:uid="{871E429A-27E0-4C8D-9B22-BF1434E0E0C5}"/>
    <cellStyle name="Currency 3 2 3 2" xfId="184" xr:uid="{00000000-0005-0000-0000-000045010000}"/>
    <cellStyle name="Currency 3 2 3 2 10" xfId="1165" xr:uid="{6AC07EE2-89FE-4683-BBA5-9953E316B04E}"/>
    <cellStyle name="Currency 3 2 3 2 2" xfId="720" xr:uid="{00000000-0005-0000-0000-000046010000}"/>
    <cellStyle name="Currency 3 2 3 2 2 2" xfId="3810" xr:uid="{3AA00C65-D24B-46DD-A64C-76F4D5834821}"/>
    <cellStyle name="Currency 3 2 3 2 2 2 2" xfId="8028" xr:uid="{2B39ECF5-3881-44B9-9C2D-207F33D7CA43}"/>
    <cellStyle name="Currency 3 2 3 2 2 3" xfId="5883" xr:uid="{666DA403-953D-447E-99BA-FEAE14C5A7D1}"/>
    <cellStyle name="Currency 3 2 3 2 2 4" xfId="1580" xr:uid="{9D1161C6-5E0C-42A7-861A-3419EFF71103}"/>
    <cellStyle name="Currency 3 2 3 2 3" xfId="1994" xr:uid="{934C65E8-2414-4B61-8298-68AC15445E25}"/>
    <cellStyle name="Currency 3 2 3 2 3 2" xfId="4223" xr:uid="{BCC6CB37-D8A9-4D9C-B474-FFBC8313E2CD}"/>
    <cellStyle name="Currency 3 2 3 2 3 2 2" xfId="8441" xr:uid="{7613B14A-5785-4999-998F-55926D723068}"/>
    <cellStyle name="Currency 3 2 3 2 3 3" xfId="6296" xr:uid="{6A3075C6-4D9B-401A-9504-86AC2333504A}"/>
    <cellStyle name="Currency 3 2 3 2 4" xfId="2407" xr:uid="{024FB361-F807-4E2B-B407-530F7E8B53C2}"/>
    <cellStyle name="Currency 3 2 3 2 4 2" xfId="4636" xr:uid="{EF9BDF45-6D66-4267-856F-FF3B72D0B535}"/>
    <cellStyle name="Currency 3 2 3 2 4 2 2" xfId="8854" xr:uid="{29278459-2DA1-4927-AB27-F7ACEFA0D65C}"/>
    <cellStyle name="Currency 3 2 3 2 4 3" xfId="6709" xr:uid="{EA8D3ECD-49F2-4DDB-8A7B-E2092D93EC42}"/>
    <cellStyle name="Currency 3 2 3 2 5" xfId="2820" xr:uid="{86FE13F7-EA1B-4CE1-BB23-C3AC75DCB2A5}"/>
    <cellStyle name="Currency 3 2 3 2 5 2" xfId="5049" xr:uid="{3CB07D51-A91A-479A-94DB-308E0C027AC5}"/>
    <cellStyle name="Currency 3 2 3 2 5 2 2" xfId="9267" xr:uid="{C1989C77-CB6E-4548-BCE0-A80625CF0794}"/>
    <cellStyle name="Currency 3 2 3 2 5 3" xfId="7122" xr:uid="{B5D6F3EC-59B1-43D4-A324-E6F0465C334A}"/>
    <cellStyle name="Currency 3 2 3 2 6" xfId="3255" xr:uid="{76BB8FD4-35DB-45EE-ABF6-7E5199CF3E6F}"/>
    <cellStyle name="Currency 3 2 3 2 6 2" xfId="7535" xr:uid="{413AC3A4-1B7D-4EAE-BDF6-32FB93479257}"/>
    <cellStyle name="Currency 3 2 3 2 7" xfId="3552" xr:uid="{A2397720-FB89-48E0-ADB9-BE6A07A55E63}"/>
    <cellStyle name="Currency 3 2 3 2 8" xfId="3633" xr:uid="{1D5B34E6-5A7C-4EA0-B7BC-7B5B75DCCE35}"/>
    <cellStyle name="Currency 3 2 3 2 8 2" xfId="7852" xr:uid="{E65F9264-E088-4C2C-B214-CFECA1B8AE99}"/>
    <cellStyle name="Currency 3 2 3 2 9" xfId="5469" xr:uid="{A39071AB-CCF5-49E9-8349-FBE9AFDE1C5E}"/>
    <cellStyle name="Currency 3 2 3 3" xfId="719" xr:uid="{00000000-0005-0000-0000-000047010000}"/>
    <cellStyle name="Currency 3 2 3 3 2" xfId="3809" xr:uid="{F3A20FD8-7C62-464B-B7FF-22EC591254D6}"/>
    <cellStyle name="Currency 3 2 3 3 2 2" xfId="8027" xr:uid="{58B0FD13-A36D-4BFC-9D6E-CF62CFAA3077}"/>
    <cellStyle name="Currency 3 2 3 3 3" xfId="5882" xr:uid="{E31E4F15-40CB-4E3B-9359-01E359B6EAE3}"/>
    <cellStyle name="Currency 3 2 3 3 4" xfId="1579" xr:uid="{FAA4311C-0DCB-499F-8344-994A4BE0C975}"/>
    <cellStyle name="Currency 3 2 3 4" xfId="1993" xr:uid="{4E97A7CE-7F92-44D1-9298-1AD88CD0AAB1}"/>
    <cellStyle name="Currency 3 2 3 4 2" xfId="4222" xr:uid="{18C6A084-0AA2-4BB7-A3E5-1D86BDF9E61B}"/>
    <cellStyle name="Currency 3 2 3 4 2 2" xfId="8440" xr:uid="{5617E893-53E5-41A4-8C9F-B66FBF9D3FDD}"/>
    <cellStyle name="Currency 3 2 3 4 3" xfId="6295" xr:uid="{3DEB76F9-25C2-4995-92EE-E547A2BF229D}"/>
    <cellStyle name="Currency 3 2 3 5" xfId="2406" xr:uid="{90A397D5-271A-4660-BEDD-2D6B6F9C962C}"/>
    <cellStyle name="Currency 3 2 3 5 2" xfId="4635" xr:uid="{AE3C2DA8-D91B-4C79-8D45-878F801C3295}"/>
    <cellStyle name="Currency 3 2 3 5 2 2" xfId="8853" xr:uid="{07B63AA7-A63A-4184-BA55-9AD3699D1897}"/>
    <cellStyle name="Currency 3 2 3 5 3" xfId="6708" xr:uid="{5E6EE5E8-DCFE-4CE5-8E09-C8C0DF1C4265}"/>
    <cellStyle name="Currency 3 2 3 6" xfId="2819" xr:uid="{887BC9DB-A6F8-4D34-90BD-4C243534A05E}"/>
    <cellStyle name="Currency 3 2 3 6 2" xfId="5048" xr:uid="{8AC9B94C-BF98-4A47-AEF3-F506A454E4E3}"/>
    <cellStyle name="Currency 3 2 3 6 2 2" xfId="9266" xr:uid="{9BC2D059-463B-461D-922F-9C7FAE0853A2}"/>
    <cellStyle name="Currency 3 2 3 6 3" xfId="7121" xr:uid="{F44638DF-663C-4AE0-BE15-1A8C6B13B135}"/>
    <cellStyle name="Currency 3 2 3 7" xfId="3254" xr:uid="{3362D88F-2F94-4655-9842-DB8A1CFEF47F}"/>
    <cellStyle name="Currency 3 2 3 7 2" xfId="7534" xr:uid="{C9252B45-5492-401D-9E55-F92B4508524E}"/>
    <cellStyle name="Currency 3 2 3 8" xfId="3551" xr:uid="{878C2B12-8EFD-4BAD-AAC2-933CF31C76C4}"/>
    <cellStyle name="Currency 3 2 3 9" xfId="3632" xr:uid="{53EC4A90-9D35-45CC-8044-C1821AFEE91E}"/>
    <cellStyle name="Currency 3 2 3 9 2" xfId="7851" xr:uid="{971D2A54-9C20-40BF-B368-1E14A4D3716E}"/>
    <cellStyle name="Currency 3 2 4" xfId="185" xr:uid="{00000000-0005-0000-0000-000048010000}"/>
    <cellStyle name="Currency 3 2 4 10" xfId="1166" xr:uid="{2DAAB8DA-23B3-4036-8798-443C195CF3B5}"/>
    <cellStyle name="Currency 3 2 4 2" xfId="721" xr:uid="{00000000-0005-0000-0000-000049010000}"/>
    <cellStyle name="Currency 3 2 4 2 2" xfId="3811" xr:uid="{9A83DCE7-FD73-4DF9-A234-EFCCB39A6B75}"/>
    <cellStyle name="Currency 3 2 4 2 2 2" xfId="8029" xr:uid="{38E02B42-CB3F-4395-9F34-E7F45A6AC71B}"/>
    <cellStyle name="Currency 3 2 4 2 3" xfId="5884" xr:uid="{C1DCCAC1-FC59-427A-B213-71253B472191}"/>
    <cellStyle name="Currency 3 2 4 2 4" xfId="1581" xr:uid="{76B60434-0FB7-42EE-8AFE-D8BE756B0B6B}"/>
    <cellStyle name="Currency 3 2 4 3" xfId="1995" xr:uid="{212D297F-2C9F-4988-AFE0-56D64385AC5A}"/>
    <cellStyle name="Currency 3 2 4 3 2" xfId="4224" xr:uid="{BB75CFF4-123E-4899-BB98-FE258BD8E08A}"/>
    <cellStyle name="Currency 3 2 4 3 2 2" xfId="8442" xr:uid="{EED5C622-E60B-49C2-A472-9C028D55A63D}"/>
    <cellStyle name="Currency 3 2 4 3 3" xfId="6297" xr:uid="{0531EF4C-CF06-430B-88E1-B3837F9ED003}"/>
    <cellStyle name="Currency 3 2 4 4" xfId="2408" xr:uid="{AFDD611F-6D88-4B7E-9BF5-D84E82FC8377}"/>
    <cellStyle name="Currency 3 2 4 4 2" xfId="4637" xr:uid="{4EDE6516-C373-4D56-A946-7476DE0B6CBA}"/>
    <cellStyle name="Currency 3 2 4 4 2 2" xfId="8855" xr:uid="{3EA0FE47-2F45-488D-B38F-B58774D8825D}"/>
    <cellStyle name="Currency 3 2 4 4 3" xfId="6710" xr:uid="{21201133-374C-42E1-B329-45699187413F}"/>
    <cellStyle name="Currency 3 2 4 5" xfId="2821" xr:uid="{7E2A832B-6EE6-4F87-BDF8-CBF57B16A26D}"/>
    <cellStyle name="Currency 3 2 4 5 2" xfId="5050" xr:uid="{3BE9FD1A-B8D3-47EB-80F7-EA39051FDE40}"/>
    <cellStyle name="Currency 3 2 4 5 2 2" xfId="9268" xr:uid="{704C2EB3-9AF3-43EB-9DE8-BBB1D9C8261D}"/>
    <cellStyle name="Currency 3 2 4 5 3" xfId="7123" xr:uid="{316A70D7-B225-4C62-B428-1674EA7A7E52}"/>
    <cellStyle name="Currency 3 2 4 6" xfId="3256" xr:uid="{783889C1-CC0E-4AAB-AEFC-52F576EFCA8F}"/>
    <cellStyle name="Currency 3 2 4 6 2" xfId="7536" xr:uid="{F3C9108D-5109-478A-9D43-0072E27945CA}"/>
    <cellStyle name="Currency 3 2 4 7" xfId="3553" xr:uid="{0AD1A1D5-2094-4E90-A906-88DD32193861}"/>
    <cellStyle name="Currency 3 2 4 8" xfId="3634" xr:uid="{872519A4-CE6E-4B1A-B7DE-CE3612FC4E99}"/>
    <cellStyle name="Currency 3 2 4 8 2" xfId="7853" xr:uid="{6A5DEF07-DBFD-4104-BD03-0FC8D5D25CA8}"/>
    <cellStyle name="Currency 3 2 4 9" xfId="5470" xr:uid="{A096D2A6-BA33-4A35-BDC8-F96B33848D8A}"/>
    <cellStyle name="Currency 3 2 5" xfId="186" xr:uid="{00000000-0005-0000-0000-00004A010000}"/>
    <cellStyle name="Currency 3 2 5 10" xfId="1167" xr:uid="{4526B79F-D2CA-45E3-A0E6-63144A671A9A}"/>
    <cellStyle name="Currency 3 2 5 2" xfId="722" xr:uid="{00000000-0005-0000-0000-00004B010000}"/>
    <cellStyle name="Currency 3 2 5 2 2" xfId="3812" xr:uid="{AED61866-CEA5-4D55-BDD0-AF1550CD827B}"/>
    <cellStyle name="Currency 3 2 5 2 2 2" xfId="8030" xr:uid="{095ED645-03AD-455E-B723-E1E4AF6480D4}"/>
    <cellStyle name="Currency 3 2 5 2 3" xfId="5885" xr:uid="{30D43763-B061-41BA-A676-CD4AD7C6EC6B}"/>
    <cellStyle name="Currency 3 2 5 2 4" xfId="1582" xr:uid="{89B413D5-88B1-4BFE-9A2B-81C0CD227863}"/>
    <cellStyle name="Currency 3 2 5 3" xfId="1996" xr:uid="{AAB9155C-578D-437A-B752-970B1F71032C}"/>
    <cellStyle name="Currency 3 2 5 3 2" xfId="4225" xr:uid="{EAF293F4-6D36-4156-8066-D5562DB8F80E}"/>
    <cellStyle name="Currency 3 2 5 3 2 2" xfId="8443" xr:uid="{C790E654-4148-44B2-AC38-C12621E287B3}"/>
    <cellStyle name="Currency 3 2 5 3 3" xfId="6298" xr:uid="{F710CC0A-F9C5-4D3B-86AD-2DB58A3321F6}"/>
    <cellStyle name="Currency 3 2 5 4" xfId="2409" xr:uid="{85B454FA-323B-4EF9-84E4-6A8BD5D17730}"/>
    <cellStyle name="Currency 3 2 5 4 2" xfId="4638" xr:uid="{221992E1-E84B-49F4-B637-68A3F8E495F6}"/>
    <cellStyle name="Currency 3 2 5 4 2 2" xfId="8856" xr:uid="{49B672AC-9A11-49E9-AA80-02A649FC2C10}"/>
    <cellStyle name="Currency 3 2 5 4 3" xfId="6711" xr:uid="{5D9B437E-728C-44EA-83BB-6C2E0F830188}"/>
    <cellStyle name="Currency 3 2 5 5" xfId="2822" xr:uid="{D5C7262B-7D7F-4A48-A816-0C300165E41E}"/>
    <cellStyle name="Currency 3 2 5 5 2" xfId="5051" xr:uid="{A2BD3C2F-826E-454C-8F17-6F610F37BB19}"/>
    <cellStyle name="Currency 3 2 5 5 2 2" xfId="9269" xr:uid="{8C806A8A-D453-443B-94FD-E27C79DCBA25}"/>
    <cellStyle name="Currency 3 2 5 5 3" xfId="7124" xr:uid="{F5502CC4-2A23-4F7F-9211-239C1A4CAC04}"/>
    <cellStyle name="Currency 3 2 5 6" xfId="3257" xr:uid="{D4964264-5A6B-4F3F-8384-6B371375B680}"/>
    <cellStyle name="Currency 3 2 5 6 2" xfId="7537" xr:uid="{81493E09-325F-44B2-B64D-E751A085A1D7}"/>
    <cellStyle name="Currency 3 2 5 7" xfId="3554" xr:uid="{1CB642F3-B222-4709-9F0A-E0EFA601EE1D}"/>
    <cellStyle name="Currency 3 2 5 8" xfId="3635" xr:uid="{F0CAF660-E182-4B9C-996E-7DB0A606ABF4}"/>
    <cellStyle name="Currency 3 2 5 8 2" xfId="7854" xr:uid="{EDE779BA-962A-46FD-969F-97E1C5EE8AA8}"/>
    <cellStyle name="Currency 3 2 5 9" xfId="5471" xr:uid="{70FDF68B-3F29-4585-9A79-05BEA8CC2D7B}"/>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3636" xr:uid="{99AC2C49-CFC9-4C7D-89EE-E7920F4D7081}"/>
    <cellStyle name="Currency 5 2 2 2 10 2" xfId="7855" xr:uid="{06E269FA-3FA7-4EFE-A0AD-B92E03AA4245}"/>
    <cellStyle name="Currency 5 2 2 2 11" xfId="5472" xr:uid="{347E0B5A-B287-4695-A7D4-651C96DA6106}"/>
    <cellStyle name="Currency 5 2 2 2 12" xfId="1168" xr:uid="{C36EECA3-8274-4D86-8F56-2DBB7085ED0F}"/>
    <cellStyle name="Currency 5 2 2 2 2" xfId="198" xr:uid="{00000000-0005-0000-0000-00005C010000}"/>
    <cellStyle name="Currency 5 2 2 2 2 10" xfId="5473" xr:uid="{522BC93A-0CF9-4683-8AD3-A233815B5A8C}"/>
    <cellStyle name="Currency 5 2 2 2 2 11" xfId="1169" xr:uid="{2BE3B07D-2799-4223-BAEB-39F44B03DC4B}"/>
    <cellStyle name="Currency 5 2 2 2 2 2" xfId="199" xr:uid="{00000000-0005-0000-0000-00005D010000}"/>
    <cellStyle name="Currency 5 2 2 2 2 2 10" xfId="1170" xr:uid="{A368AFD5-AFB3-4B73-853A-9446AF635761}"/>
    <cellStyle name="Currency 5 2 2 2 2 2 2" xfId="732" xr:uid="{00000000-0005-0000-0000-00005E010000}"/>
    <cellStyle name="Currency 5 2 2 2 2 2 2 2" xfId="3815" xr:uid="{C4AF08D0-1E66-4706-ABD7-A95F81D9035C}"/>
    <cellStyle name="Currency 5 2 2 2 2 2 2 2 2" xfId="8033" xr:uid="{5360AB65-DB2A-4A9A-B384-A92F3F12E1ED}"/>
    <cellStyle name="Currency 5 2 2 2 2 2 2 3" xfId="5888" xr:uid="{540AC175-400C-47E1-BE88-2AAC0419D90F}"/>
    <cellStyle name="Currency 5 2 2 2 2 2 2 4" xfId="1585" xr:uid="{8BCD5089-7161-4560-8D5E-E19A939C5BDB}"/>
    <cellStyle name="Currency 5 2 2 2 2 2 3" xfId="1999" xr:uid="{F7D5C66C-9D96-497F-BFAC-733CFFF64C8A}"/>
    <cellStyle name="Currency 5 2 2 2 2 2 3 2" xfId="4228" xr:uid="{898063B4-FDAD-4873-876E-EE95797C1183}"/>
    <cellStyle name="Currency 5 2 2 2 2 2 3 2 2" xfId="8446" xr:uid="{DC5FADA6-A055-44B0-A9D3-BE322296D534}"/>
    <cellStyle name="Currency 5 2 2 2 2 2 3 3" xfId="6301" xr:uid="{9ABF0358-3C47-460B-A9BE-993872850276}"/>
    <cellStyle name="Currency 5 2 2 2 2 2 4" xfId="2412" xr:uid="{031E1245-476A-42F0-9FE7-7EB4933368FD}"/>
    <cellStyle name="Currency 5 2 2 2 2 2 4 2" xfId="4641" xr:uid="{D82A71C7-F766-42EB-991C-3844153147FE}"/>
    <cellStyle name="Currency 5 2 2 2 2 2 4 2 2" xfId="8859" xr:uid="{0BCBAB66-D227-450B-AB0E-E53064E60E6A}"/>
    <cellStyle name="Currency 5 2 2 2 2 2 4 3" xfId="6714" xr:uid="{6CF3F7D9-0E0B-4C11-91D8-7BB114E1C937}"/>
    <cellStyle name="Currency 5 2 2 2 2 2 5" xfId="2825" xr:uid="{DC0788BC-18DB-4F7A-9B7E-1FFE6AE139A4}"/>
    <cellStyle name="Currency 5 2 2 2 2 2 5 2" xfId="5054" xr:uid="{5B8F48A8-9961-4227-AD59-605BC3D1D64D}"/>
    <cellStyle name="Currency 5 2 2 2 2 2 5 2 2" xfId="9272" xr:uid="{F3F698EF-9895-40E4-BE6E-91643D5B75EF}"/>
    <cellStyle name="Currency 5 2 2 2 2 2 5 3" xfId="7127" xr:uid="{66F34FFD-7042-4F10-8828-B22600B9D243}"/>
    <cellStyle name="Currency 5 2 2 2 2 2 6" xfId="3260" xr:uid="{363F00D4-90B0-449D-8C56-E6A1249A4B66}"/>
    <cellStyle name="Currency 5 2 2 2 2 2 6 2" xfId="7540" xr:uid="{3B3DBE32-545B-45B2-849A-2AD76A859E07}"/>
    <cellStyle name="Currency 5 2 2 2 2 2 7" xfId="3557" xr:uid="{624F5B2E-8311-45BA-A7A9-C95B7AD6A539}"/>
    <cellStyle name="Currency 5 2 2 2 2 2 8" xfId="3638" xr:uid="{A4B251E6-7156-4CA6-A66C-BCB547B97E2E}"/>
    <cellStyle name="Currency 5 2 2 2 2 2 8 2" xfId="7857" xr:uid="{8B68BE07-C03C-4337-9101-8B575F78BFCD}"/>
    <cellStyle name="Currency 5 2 2 2 2 2 9" xfId="5474" xr:uid="{CB733CBC-690E-427C-B513-96E234D8EB7B}"/>
    <cellStyle name="Currency 5 2 2 2 2 3" xfId="731" xr:uid="{00000000-0005-0000-0000-00005F010000}"/>
    <cellStyle name="Currency 5 2 2 2 2 3 2" xfId="3814" xr:uid="{6DE56C31-7B4A-4C85-A82D-C3933CD87A2A}"/>
    <cellStyle name="Currency 5 2 2 2 2 3 2 2" xfId="8032" xr:uid="{E846390D-53C0-43EE-A36D-E147EA5C533B}"/>
    <cellStyle name="Currency 5 2 2 2 2 3 3" xfId="5887" xr:uid="{C562A902-8680-43D4-BA47-CEE7A1B9DB10}"/>
    <cellStyle name="Currency 5 2 2 2 2 3 4" xfId="1584" xr:uid="{8A550A0F-9027-44C6-8E27-03A3079C3540}"/>
    <cellStyle name="Currency 5 2 2 2 2 4" xfId="1998" xr:uid="{AA4CA50F-C270-405B-B32E-3D1007979F56}"/>
    <cellStyle name="Currency 5 2 2 2 2 4 2" xfId="4227" xr:uid="{3904D077-064E-4DD7-A242-0F9E7C220AC7}"/>
    <cellStyle name="Currency 5 2 2 2 2 4 2 2" xfId="8445" xr:uid="{891F5C1A-2678-499C-A90D-04F837D76B26}"/>
    <cellStyle name="Currency 5 2 2 2 2 4 3" xfId="6300" xr:uid="{673BFD5A-FE08-4847-A677-9AC365671434}"/>
    <cellStyle name="Currency 5 2 2 2 2 5" xfId="2411" xr:uid="{2A339C69-DC6D-4DAF-A181-75CF01F16433}"/>
    <cellStyle name="Currency 5 2 2 2 2 5 2" xfId="4640" xr:uid="{0D621AD4-9787-41EE-A1C5-7B1B1DCD8FC7}"/>
    <cellStyle name="Currency 5 2 2 2 2 5 2 2" xfId="8858" xr:uid="{12C53815-F169-4B5E-8112-074B1113F66D}"/>
    <cellStyle name="Currency 5 2 2 2 2 5 3" xfId="6713" xr:uid="{C8D8287A-EC6E-4F24-88F0-353224818C17}"/>
    <cellStyle name="Currency 5 2 2 2 2 6" xfId="2824" xr:uid="{176859A3-92D1-4E89-B396-1C4C65403076}"/>
    <cellStyle name="Currency 5 2 2 2 2 6 2" xfId="5053" xr:uid="{EA16B8B7-8F40-49B5-847A-659965D3BB38}"/>
    <cellStyle name="Currency 5 2 2 2 2 6 2 2" xfId="9271" xr:uid="{3F46F429-0FF1-4AE0-9C42-312541CA29AF}"/>
    <cellStyle name="Currency 5 2 2 2 2 6 3" xfId="7126" xr:uid="{9AB2CF50-AFF6-4694-B3D3-272FF89C43BF}"/>
    <cellStyle name="Currency 5 2 2 2 2 7" xfId="3259" xr:uid="{9DE5AC92-ADFD-4A4D-AD6E-445F888971B3}"/>
    <cellStyle name="Currency 5 2 2 2 2 7 2" xfId="7539" xr:uid="{B612F299-E725-48CE-9419-50DBE27EB0A1}"/>
    <cellStyle name="Currency 5 2 2 2 2 8" xfId="3556" xr:uid="{5F8259DC-7B85-4839-96BF-3E86BC8C0B91}"/>
    <cellStyle name="Currency 5 2 2 2 2 9" xfId="3637" xr:uid="{52697367-A2DF-4B0B-BFE9-3BAE62B970A5}"/>
    <cellStyle name="Currency 5 2 2 2 2 9 2" xfId="7856" xr:uid="{B8A0CE0C-A380-493D-95E6-A04DA8398319}"/>
    <cellStyle name="Currency 5 2 2 2 3" xfId="200" xr:uid="{00000000-0005-0000-0000-000060010000}"/>
    <cellStyle name="Currency 5 2 2 2 3 10" xfId="1171" xr:uid="{854277E0-BABD-4C8A-BFD4-2820FA885361}"/>
    <cellStyle name="Currency 5 2 2 2 3 2" xfId="733" xr:uid="{00000000-0005-0000-0000-000061010000}"/>
    <cellStyle name="Currency 5 2 2 2 3 2 2" xfId="3816" xr:uid="{B6BE6239-FE1A-4CF9-8B39-EB40F4BCF1DA}"/>
    <cellStyle name="Currency 5 2 2 2 3 2 2 2" xfId="8034" xr:uid="{BF6AFB7F-06F8-4FD5-8ECF-43872BFFE223}"/>
    <cellStyle name="Currency 5 2 2 2 3 2 3" xfId="5889" xr:uid="{BFFDDB9E-8B71-47BD-8AF9-09CDB4B08D4A}"/>
    <cellStyle name="Currency 5 2 2 2 3 2 4" xfId="1586" xr:uid="{B526C19C-B51A-433A-B24C-CAC52C951FA9}"/>
    <cellStyle name="Currency 5 2 2 2 3 3" xfId="2000" xr:uid="{0F535DA0-B3F7-4867-BC99-9D2005C5A5A4}"/>
    <cellStyle name="Currency 5 2 2 2 3 3 2" xfId="4229" xr:uid="{CC9B1A16-1148-442D-B348-E6CD92EB3D1E}"/>
    <cellStyle name="Currency 5 2 2 2 3 3 2 2" xfId="8447" xr:uid="{D9A068BE-669F-46B6-9AC0-56E65DB25ACF}"/>
    <cellStyle name="Currency 5 2 2 2 3 3 3" xfId="6302" xr:uid="{6DC15947-2632-45EA-92F3-4909233FC64E}"/>
    <cellStyle name="Currency 5 2 2 2 3 4" xfId="2413" xr:uid="{43DBF570-F89D-4400-880A-85D0DC871E02}"/>
    <cellStyle name="Currency 5 2 2 2 3 4 2" xfId="4642" xr:uid="{7F615400-45BA-48DE-8BCE-937118EBCCBB}"/>
    <cellStyle name="Currency 5 2 2 2 3 4 2 2" xfId="8860" xr:uid="{B083A86D-BDAD-4F80-B434-93D7BCABE671}"/>
    <cellStyle name="Currency 5 2 2 2 3 4 3" xfId="6715" xr:uid="{580757E9-2ECC-482A-99A0-7B9ABCDB80EB}"/>
    <cellStyle name="Currency 5 2 2 2 3 5" xfId="2826" xr:uid="{72911977-FBEE-4E5E-B912-53B94661FF0B}"/>
    <cellStyle name="Currency 5 2 2 2 3 5 2" xfId="5055" xr:uid="{EC75C160-9F67-45ED-8B4C-E151FF9B582E}"/>
    <cellStyle name="Currency 5 2 2 2 3 5 2 2" xfId="9273" xr:uid="{DF3E6AD8-5F8B-4630-8E02-F949D05F31E3}"/>
    <cellStyle name="Currency 5 2 2 2 3 5 3" xfId="7128" xr:uid="{7C543930-89BA-43E9-BC41-3A991FA2FAC4}"/>
    <cellStyle name="Currency 5 2 2 2 3 6" xfId="3261" xr:uid="{2A6D4AD4-CA2B-4430-A5EA-5EAAFE61EC7D}"/>
    <cellStyle name="Currency 5 2 2 2 3 6 2" xfId="7541" xr:uid="{8CCC7B61-6FC0-4EF7-A66C-BB7F4EB6DC39}"/>
    <cellStyle name="Currency 5 2 2 2 3 7" xfId="3558" xr:uid="{28BBC63C-17D8-4A64-A5A1-6E07D82BED6E}"/>
    <cellStyle name="Currency 5 2 2 2 3 8" xfId="3639" xr:uid="{FDAAFA6C-23D4-4959-91CB-9C9790755DED}"/>
    <cellStyle name="Currency 5 2 2 2 3 8 2" xfId="7858" xr:uid="{D9295F26-17D0-4FBC-86FC-AC01A2109ECD}"/>
    <cellStyle name="Currency 5 2 2 2 3 9" xfId="5475" xr:uid="{5110B657-BB14-4886-B341-B7EAA7EDA823}"/>
    <cellStyle name="Currency 5 2 2 2 4" xfId="730" xr:uid="{00000000-0005-0000-0000-000062010000}"/>
    <cellStyle name="Currency 5 2 2 2 4 2" xfId="3813" xr:uid="{31AEEC27-372B-4A92-9F31-83317C73C747}"/>
    <cellStyle name="Currency 5 2 2 2 4 2 2" xfId="8031" xr:uid="{3A296716-F560-4D66-AD4F-9AD3727BD258}"/>
    <cellStyle name="Currency 5 2 2 2 4 3" xfId="5886" xr:uid="{8AA50D3B-DD55-41B6-875E-1A2F1650D78A}"/>
    <cellStyle name="Currency 5 2 2 2 4 4" xfId="1583" xr:uid="{ED0FBC25-F77E-45D0-AA3D-52EE02E442BB}"/>
    <cellStyle name="Currency 5 2 2 2 5" xfId="1997" xr:uid="{AAC5A094-6CFB-4F7E-BB3F-F1FCE3C3B864}"/>
    <cellStyle name="Currency 5 2 2 2 5 2" xfId="4226" xr:uid="{E8D2992C-760A-47A5-B092-085C1300A30B}"/>
    <cellStyle name="Currency 5 2 2 2 5 2 2" xfId="8444" xr:uid="{CC5E8EA6-9DDA-4812-BA7D-BEEE177D63EB}"/>
    <cellStyle name="Currency 5 2 2 2 5 3" xfId="6299" xr:uid="{573443A9-942D-4A8B-930B-04DE7614CDAB}"/>
    <cellStyle name="Currency 5 2 2 2 6" xfId="2410" xr:uid="{C349FA69-D849-4994-A82C-51B719330791}"/>
    <cellStyle name="Currency 5 2 2 2 6 2" xfId="4639" xr:uid="{C6046051-F5A3-4286-A9A4-19726C116766}"/>
    <cellStyle name="Currency 5 2 2 2 6 2 2" xfId="8857" xr:uid="{3157FE0D-FB49-4ECE-B974-292B5B2D53AE}"/>
    <cellStyle name="Currency 5 2 2 2 6 3" xfId="6712" xr:uid="{043AEDCC-4D03-432B-A002-3CB1947E37D9}"/>
    <cellStyle name="Currency 5 2 2 2 7" xfId="2823" xr:uid="{3E64CB0C-68FC-4720-8A45-F694C4A0D167}"/>
    <cellStyle name="Currency 5 2 2 2 7 2" xfId="5052" xr:uid="{44B20F5F-B43E-42EB-BE99-F9B18A5A3433}"/>
    <cellStyle name="Currency 5 2 2 2 7 2 2" xfId="9270" xr:uid="{BD336110-91CD-43EE-9A0B-7378E35219D1}"/>
    <cellStyle name="Currency 5 2 2 2 7 3" xfId="7125" xr:uid="{9121D001-710C-461C-B4FA-B1EEAA87A343}"/>
    <cellStyle name="Currency 5 2 2 2 8" xfId="3258" xr:uid="{95F57401-98B8-4B84-A282-77BE46A50C68}"/>
    <cellStyle name="Currency 5 2 2 2 8 2" xfId="7538" xr:uid="{89F7470B-93EA-49E2-9A93-5B9BEC4BD9C4}"/>
    <cellStyle name="Currency 5 2 2 2 9" xfId="3555" xr:uid="{DDACAB5B-163C-4647-BAD3-FD3453DA7489}"/>
    <cellStyle name="Currency 5 2 2 3" xfId="201" xr:uid="{00000000-0005-0000-0000-000063010000}"/>
    <cellStyle name="Currency 5 2 2 3 10" xfId="5476" xr:uid="{309118EC-0E65-4CF2-BDAF-3A53E0FB4CC5}"/>
    <cellStyle name="Currency 5 2 2 3 11" xfId="1172" xr:uid="{E8AE3871-E26A-48D5-B959-6ED329A5C4D7}"/>
    <cellStyle name="Currency 5 2 2 3 2" xfId="202" xr:uid="{00000000-0005-0000-0000-000064010000}"/>
    <cellStyle name="Currency 5 2 2 3 2 10" xfId="1173" xr:uid="{84E4E359-6C35-4CE4-8D00-82623BD793D8}"/>
    <cellStyle name="Currency 5 2 2 3 2 2" xfId="735" xr:uid="{00000000-0005-0000-0000-000065010000}"/>
    <cellStyle name="Currency 5 2 2 3 2 2 2" xfId="3818" xr:uid="{A91499E6-42BF-470C-A45B-92E3BB8C64DD}"/>
    <cellStyle name="Currency 5 2 2 3 2 2 2 2" xfId="8036" xr:uid="{868DB51A-D28D-4D04-995B-A8BED2D5CD31}"/>
    <cellStyle name="Currency 5 2 2 3 2 2 3" xfId="5891" xr:uid="{E4B34F69-C54F-4395-B7F7-F4AE9F2F99EC}"/>
    <cellStyle name="Currency 5 2 2 3 2 2 4" xfId="1588" xr:uid="{BC5A4889-3C1A-4973-BB76-095CDB36A8BF}"/>
    <cellStyle name="Currency 5 2 2 3 2 3" xfId="2002" xr:uid="{B46EB3E8-D7B6-4E05-9D10-12057763A6C2}"/>
    <cellStyle name="Currency 5 2 2 3 2 3 2" xfId="4231" xr:uid="{29D078E9-4C25-498F-AD6D-6D947637B9A2}"/>
    <cellStyle name="Currency 5 2 2 3 2 3 2 2" xfId="8449" xr:uid="{CB07A02C-6B54-455B-9997-9CBCB80F27E2}"/>
    <cellStyle name="Currency 5 2 2 3 2 3 3" xfId="6304" xr:uid="{87E1C919-D742-44C1-9890-4FF6A41070AE}"/>
    <cellStyle name="Currency 5 2 2 3 2 4" xfId="2415" xr:uid="{BC150D92-A1AD-453D-B6D9-3A37908AA2D9}"/>
    <cellStyle name="Currency 5 2 2 3 2 4 2" xfId="4644" xr:uid="{71AB76F8-DDE9-4CFF-BFE4-08F39332BEE2}"/>
    <cellStyle name="Currency 5 2 2 3 2 4 2 2" xfId="8862" xr:uid="{4DE74C70-2795-4504-B574-0F41782519A0}"/>
    <cellStyle name="Currency 5 2 2 3 2 4 3" xfId="6717" xr:uid="{739564C8-5D9A-4859-91F3-EC11A9B369F9}"/>
    <cellStyle name="Currency 5 2 2 3 2 5" xfId="2828" xr:uid="{D88E6AE3-0984-4483-9C9C-313AF7ADFD5E}"/>
    <cellStyle name="Currency 5 2 2 3 2 5 2" xfId="5057" xr:uid="{D7FEC163-B2A6-46CE-B249-3AFFDCC096A4}"/>
    <cellStyle name="Currency 5 2 2 3 2 5 2 2" xfId="9275" xr:uid="{259BFB8B-2714-490B-A464-E9A346BB28D1}"/>
    <cellStyle name="Currency 5 2 2 3 2 5 3" xfId="7130" xr:uid="{E54F06A9-0E57-4CA4-A5FD-B935A3071078}"/>
    <cellStyle name="Currency 5 2 2 3 2 6" xfId="3263" xr:uid="{0CF111D9-D218-451D-B6AF-C57F2F105F74}"/>
    <cellStyle name="Currency 5 2 2 3 2 6 2" xfId="7543" xr:uid="{80065E1A-DBB3-42D9-8B95-F2A34F953817}"/>
    <cellStyle name="Currency 5 2 2 3 2 7" xfId="3560" xr:uid="{A46DD542-6050-4971-99C8-C01DA1C5AD9C}"/>
    <cellStyle name="Currency 5 2 2 3 2 8" xfId="3641" xr:uid="{698FB95A-1DE0-4E84-85AE-D3998E4D25C1}"/>
    <cellStyle name="Currency 5 2 2 3 2 8 2" xfId="7860" xr:uid="{411F63AF-19E8-4C1C-9EAF-AA44206F1D11}"/>
    <cellStyle name="Currency 5 2 2 3 2 9" xfId="5477" xr:uid="{5728B7E8-8901-4F05-95DA-56ED2631A2D0}"/>
    <cellStyle name="Currency 5 2 2 3 3" xfId="734" xr:uid="{00000000-0005-0000-0000-000066010000}"/>
    <cellStyle name="Currency 5 2 2 3 3 2" xfId="3817" xr:uid="{326D119A-8CB0-4448-A8D8-3FAA9AD848A5}"/>
    <cellStyle name="Currency 5 2 2 3 3 2 2" xfId="8035" xr:uid="{AC6D2A55-EB82-413A-97A0-09D42E288391}"/>
    <cellStyle name="Currency 5 2 2 3 3 3" xfId="5890" xr:uid="{5F497886-CEB2-4A0A-ABB9-03B87E377540}"/>
    <cellStyle name="Currency 5 2 2 3 3 4" xfId="1587" xr:uid="{8DE9FFBA-8EE5-41D4-B2D1-922F0EADE7C6}"/>
    <cellStyle name="Currency 5 2 2 3 4" xfId="2001" xr:uid="{B771BDF7-75CC-40D8-B92D-88F20C65A565}"/>
    <cellStyle name="Currency 5 2 2 3 4 2" xfId="4230" xr:uid="{85536E18-E79B-4352-987B-58B55E820450}"/>
    <cellStyle name="Currency 5 2 2 3 4 2 2" xfId="8448" xr:uid="{AE39A47A-3131-4767-8308-E5F561C987FD}"/>
    <cellStyle name="Currency 5 2 2 3 4 3" xfId="6303" xr:uid="{95A818BF-03D4-4EBA-9DF0-725A05A03FE9}"/>
    <cellStyle name="Currency 5 2 2 3 5" xfId="2414" xr:uid="{A72F07ED-310D-4ACE-A4A5-A0AB9B3D0176}"/>
    <cellStyle name="Currency 5 2 2 3 5 2" xfId="4643" xr:uid="{8241A5A8-B69A-4AB5-A998-CD4C241E5DAC}"/>
    <cellStyle name="Currency 5 2 2 3 5 2 2" xfId="8861" xr:uid="{095D853A-C3D2-4660-A730-96F3888A5C7C}"/>
    <cellStyle name="Currency 5 2 2 3 5 3" xfId="6716" xr:uid="{8E08EA98-1FFD-49B4-BAD0-D04EE8EBCF1A}"/>
    <cellStyle name="Currency 5 2 2 3 6" xfId="2827" xr:uid="{4295CBD4-5643-4C11-A196-C0016587FE0B}"/>
    <cellStyle name="Currency 5 2 2 3 6 2" xfId="5056" xr:uid="{26D57355-1F08-43A5-8C1C-8E15659352B2}"/>
    <cellStyle name="Currency 5 2 2 3 6 2 2" xfId="9274" xr:uid="{8B1E451F-8935-4399-94FC-C3761E09FCEB}"/>
    <cellStyle name="Currency 5 2 2 3 6 3" xfId="7129" xr:uid="{E4699D9F-C2B0-49FE-A72F-329FAE8D04EC}"/>
    <cellStyle name="Currency 5 2 2 3 7" xfId="3262" xr:uid="{197C2BB5-B7D9-498B-BE1C-C71F27C74C1B}"/>
    <cellStyle name="Currency 5 2 2 3 7 2" xfId="7542" xr:uid="{FE317409-7DD5-49DF-B350-2DAE3F2F7AB9}"/>
    <cellStyle name="Currency 5 2 2 3 8" xfId="3559" xr:uid="{6FFEB9D0-1F72-46DF-B17E-7410FD9B382B}"/>
    <cellStyle name="Currency 5 2 2 3 9" xfId="3640" xr:uid="{098A84A1-3F76-49B9-8BC5-A33A8AEECC8E}"/>
    <cellStyle name="Currency 5 2 2 3 9 2" xfId="7859" xr:uid="{EF276C65-FA80-4313-8BC6-C88F7FA890AE}"/>
    <cellStyle name="Currency 5 2 2 4" xfId="203" xr:uid="{00000000-0005-0000-0000-000067010000}"/>
    <cellStyle name="Currency 5 2 2 4 10" xfId="1174" xr:uid="{0CDF7BF8-B956-48A3-93F5-AE26960E723F}"/>
    <cellStyle name="Currency 5 2 2 4 2" xfId="736" xr:uid="{00000000-0005-0000-0000-000068010000}"/>
    <cellStyle name="Currency 5 2 2 4 2 2" xfId="3819" xr:uid="{50A0C0F6-E68A-46BD-96B0-8466D1EBB292}"/>
    <cellStyle name="Currency 5 2 2 4 2 2 2" xfId="8037" xr:uid="{87FD3769-CFD6-47EA-82CE-5E8497ECEC98}"/>
    <cellStyle name="Currency 5 2 2 4 2 3" xfId="5892" xr:uid="{6C95A025-84BB-4EBC-9914-7B90A7127CAE}"/>
    <cellStyle name="Currency 5 2 2 4 2 4" xfId="1589" xr:uid="{9ED1E395-6C4B-4A9C-BFA2-45818B8D6832}"/>
    <cellStyle name="Currency 5 2 2 4 3" xfId="2003" xr:uid="{046799B3-6C72-450B-9A9C-149076D4A1AB}"/>
    <cellStyle name="Currency 5 2 2 4 3 2" xfId="4232" xr:uid="{7D18C028-A36A-47EC-998A-8EC9330EC813}"/>
    <cellStyle name="Currency 5 2 2 4 3 2 2" xfId="8450" xr:uid="{317055B4-F5F6-47DD-8134-34CB11D0B3CD}"/>
    <cellStyle name="Currency 5 2 2 4 3 3" xfId="6305" xr:uid="{8A88DC3E-4EC2-4B46-A53A-A3C2CF588484}"/>
    <cellStyle name="Currency 5 2 2 4 4" xfId="2416" xr:uid="{3BB4268B-DDDF-41A5-AD02-075967A1779F}"/>
    <cellStyle name="Currency 5 2 2 4 4 2" xfId="4645" xr:uid="{8E432B60-801A-43B8-89DC-AAF629F7BAC6}"/>
    <cellStyle name="Currency 5 2 2 4 4 2 2" xfId="8863" xr:uid="{1A84DFC9-67F6-4D06-BEC6-041A8373E75D}"/>
    <cellStyle name="Currency 5 2 2 4 4 3" xfId="6718" xr:uid="{D5F6DC1D-1CAE-4882-86A9-9EFF208A6BD1}"/>
    <cellStyle name="Currency 5 2 2 4 5" xfId="2829" xr:uid="{E55C82AE-8067-42EC-90E0-46652EC2D322}"/>
    <cellStyle name="Currency 5 2 2 4 5 2" xfId="5058" xr:uid="{311ECBFF-2327-4C15-86F5-0731DA70C2A5}"/>
    <cellStyle name="Currency 5 2 2 4 5 2 2" xfId="9276" xr:uid="{C87F81BD-A6B7-4009-B643-5E43F890FD8A}"/>
    <cellStyle name="Currency 5 2 2 4 5 3" xfId="7131" xr:uid="{E8FB065B-6363-4F08-873E-7220AE791BFD}"/>
    <cellStyle name="Currency 5 2 2 4 6" xfId="3264" xr:uid="{3DB70075-89AE-4AB0-97D2-9144976AB344}"/>
    <cellStyle name="Currency 5 2 2 4 6 2" xfId="7544" xr:uid="{951255C8-D2D3-4ADC-86F6-B2E56584C5D5}"/>
    <cellStyle name="Currency 5 2 2 4 7" xfId="3561" xr:uid="{D77B2341-8C78-4F60-877C-2ABC222F6C63}"/>
    <cellStyle name="Currency 5 2 2 4 8" xfId="3642" xr:uid="{FEF704A2-4595-4E68-A1D1-0795920072BE}"/>
    <cellStyle name="Currency 5 2 2 4 8 2" xfId="7861" xr:uid="{0ECE12FA-DE1E-4B4B-8EC5-560E796072CF}"/>
    <cellStyle name="Currency 5 2 2 4 9" xfId="5478" xr:uid="{38B02A08-4F8D-4F7C-B2DF-5C1FA9F984AD}"/>
    <cellStyle name="Currency 5 2 2 5" xfId="204" xr:uid="{00000000-0005-0000-0000-000069010000}"/>
    <cellStyle name="Currency 5 2 2 5 10" xfId="1175" xr:uid="{E411FDC3-E97A-495B-98EA-D4F93BB9FF8A}"/>
    <cellStyle name="Currency 5 2 2 5 2" xfId="737" xr:uid="{00000000-0005-0000-0000-00006A010000}"/>
    <cellStyle name="Currency 5 2 2 5 2 2" xfId="3820" xr:uid="{ECC46A68-E215-4931-BF89-14947D3CFABC}"/>
    <cellStyle name="Currency 5 2 2 5 2 2 2" xfId="8038" xr:uid="{94DBE86C-274C-4F1E-8074-9B5436412167}"/>
    <cellStyle name="Currency 5 2 2 5 2 3" xfId="5893" xr:uid="{DF0A7AEE-4243-45B8-8D1F-BEDF4AE587C1}"/>
    <cellStyle name="Currency 5 2 2 5 2 4" xfId="1590" xr:uid="{EBBEE1F2-6B74-4888-805E-B270563D7325}"/>
    <cellStyle name="Currency 5 2 2 5 3" xfId="2004" xr:uid="{787FEE76-2E26-4CA5-9A4C-7483F5CC4ED9}"/>
    <cellStyle name="Currency 5 2 2 5 3 2" xfId="4233" xr:uid="{579CDC4B-6C29-49D4-9B03-8C92449A03A7}"/>
    <cellStyle name="Currency 5 2 2 5 3 2 2" xfId="8451" xr:uid="{B31191AE-B5F8-4A6D-891A-4A544B666230}"/>
    <cellStyle name="Currency 5 2 2 5 3 3" xfId="6306" xr:uid="{F1408FF9-4CFC-4F1B-903D-BA02EC2BDE6E}"/>
    <cellStyle name="Currency 5 2 2 5 4" xfId="2417" xr:uid="{35CC9724-F51E-4893-947F-399786D8047F}"/>
    <cellStyle name="Currency 5 2 2 5 4 2" xfId="4646" xr:uid="{38F0C21C-ADA8-4523-8EEA-5B089CBCAD9F}"/>
    <cellStyle name="Currency 5 2 2 5 4 2 2" xfId="8864" xr:uid="{805710A1-B763-4774-8293-26D1C095375F}"/>
    <cellStyle name="Currency 5 2 2 5 4 3" xfId="6719" xr:uid="{C8BBFA46-153F-478A-9446-1912DB5EB95B}"/>
    <cellStyle name="Currency 5 2 2 5 5" xfId="2830" xr:uid="{A829B419-AF25-47AD-8287-6C0A2F65550B}"/>
    <cellStyle name="Currency 5 2 2 5 5 2" xfId="5059" xr:uid="{77576883-F7FE-4EC1-88CC-7306607265D4}"/>
    <cellStyle name="Currency 5 2 2 5 5 2 2" xfId="9277" xr:uid="{03E72872-2DEA-4CBC-815A-EC28DA481EE0}"/>
    <cellStyle name="Currency 5 2 2 5 5 3" xfId="7132" xr:uid="{914A8B08-FEAF-4A5B-9A29-76BB0791742C}"/>
    <cellStyle name="Currency 5 2 2 5 6" xfId="3265" xr:uid="{6ABAC559-4646-4169-96BF-DB9F7A79FEE8}"/>
    <cellStyle name="Currency 5 2 2 5 6 2" xfId="7545" xr:uid="{6E9F77BC-740B-47DD-AAAA-C0DCD9B2F765}"/>
    <cellStyle name="Currency 5 2 2 5 7" xfId="3562" xr:uid="{EB576132-743D-4857-AE70-B610B2AEDBFD}"/>
    <cellStyle name="Currency 5 2 2 5 8" xfId="3643" xr:uid="{2261D7A0-45AE-44E5-8D88-F8B6408C0E7F}"/>
    <cellStyle name="Currency 5 2 2 5 8 2" xfId="7862" xr:uid="{61CCD1A6-A94E-4B7D-BB20-02243C5685EB}"/>
    <cellStyle name="Currency 5 2 2 5 9" xfId="5479" xr:uid="{230D5FD6-996F-4F7E-B70B-B8AA3A05C0B1}"/>
    <cellStyle name="Currency 5 2 3" xfId="205" xr:uid="{00000000-0005-0000-0000-00006B010000}"/>
    <cellStyle name="Currency 5 2 3 2" xfId="738" xr:uid="{00000000-0005-0000-0000-00006C010000}"/>
    <cellStyle name="Currency 5 2 4" xfId="206" xr:uid="{00000000-0005-0000-0000-00006D010000}"/>
    <cellStyle name="Currency 5 2 4 10" xfId="5480" xr:uid="{89D59044-B4B4-4B63-B800-9EC17FC23EF2}"/>
    <cellStyle name="Currency 5 2 4 11" xfId="1176" xr:uid="{2F573BD3-F898-445F-BF74-78AA006C8307}"/>
    <cellStyle name="Currency 5 2 4 2" xfId="207" xr:uid="{00000000-0005-0000-0000-00006E010000}"/>
    <cellStyle name="Currency 5 2 4 2 10" xfId="1177" xr:uid="{B9A0CEA4-B58B-40E2-A543-E690DB42BC39}"/>
    <cellStyle name="Currency 5 2 4 2 2" xfId="740" xr:uid="{00000000-0005-0000-0000-00006F010000}"/>
    <cellStyle name="Currency 5 2 4 2 2 2" xfId="3822" xr:uid="{02211CC4-07E7-4EB9-86DC-A8D03ABA9513}"/>
    <cellStyle name="Currency 5 2 4 2 2 2 2" xfId="8040" xr:uid="{C997899D-F26E-4B84-9573-BACCBE831B6D}"/>
    <cellStyle name="Currency 5 2 4 2 2 3" xfId="5895" xr:uid="{163F123C-F18D-49EC-A617-8256EC926C82}"/>
    <cellStyle name="Currency 5 2 4 2 2 4" xfId="1592" xr:uid="{3E77A1EB-50B3-40EC-A399-4D43EB3B545D}"/>
    <cellStyle name="Currency 5 2 4 2 3" xfId="2006" xr:uid="{A4E6E4C9-D2A3-4BD3-A7E4-8066C015263E}"/>
    <cellStyle name="Currency 5 2 4 2 3 2" xfId="4235" xr:uid="{5B229682-A487-43D4-8826-CCE6BB138118}"/>
    <cellStyle name="Currency 5 2 4 2 3 2 2" xfId="8453" xr:uid="{5C0F1ACB-160C-4A87-A4D1-8C8E37DADE2E}"/>
    <cellStyle name="Currency 5 2 4 2 3 3" xfId="6308" xr:uid="{C26FEABF-BF5E-4AF2-98AF-99CB89F057C5}"/>
    <cellStyle name="Currency 5 2 4 2 4" xfId="2419" xr:uid="{AD60109B-F36C-47C7-BFC9-A01B8C0DB108}"/>
    <cellStyle name="Currency 5 2 4 2 4 2" xfId="4648" xr:uid="{79528689-A219-4952-B855-828F2A13233B}"/>
    <cellStyle name="Currency 5 2 4 2 4 2 2" xfId="8866" xr:uid="{059F2884-7331-4688-96C4-ACAE0B54AF92}"/>
    <cellStyle name="Currency 5 2 4 2 4 3" xfId="6721" xr:uid="{8F4BF8CF-63A2-4B0F-9B2E-CB9ED6F11482}"/>
    <cellStyle name="Currency 5 2 4 2 5" xfId="2832" xr:uid="{BA3E3EEF-C4EB-45DE-97F4-2E9C36A55C66}"/>
    <cellStyle name="Currency 5 2 4 2 5 2" xfId="5061" xr:uid="{C0F20CFA-CA7B-4406-8A87-CBC6A17080B8}"/>
    <cellStyle name="Currency 5 2 4 2 5 2 2" xfId="9279" xr:uid="{A54E07F0-7358-49A9-BDCE-4F3BA3AB4BB2}"/>
    <cellStyle name="Currency 5 2 4 2 5 3" xfId="7134" xr:uid="{85BA4186-E5DC-459A-A1A0-3ADC36438515}"/>
    <cellStyle name="Currency 5 2 4 2 6" xfId="3267" xr:uid="{B4B008B2-85D6-4B2B-BE42-657670258AC3}"/>
    <cellStyle name="Currency 5 2 4 2 6 2" xfId="7547" xr:uid="{9E3A8832-703D-4416-8DEA-A3C458B110B2}"/>
    <cellStyle name="Currency 5 2 4 2 7" xfId="3564" xr:uid="{341671B8-C28E-486C-95A1-8723EFC7051E}"/>
    <cellStyle name="Currency 5 2 4 2 8" xfId="3645" xr:uid="{4E856C94-D94B-459B-B63E-A35490A94CE7}"/>
    <cellStyle name="Currency 5 2 4 2 8 2" xfId="7864" xr:uid="{0D0DCF79-416E-48CA-A289-5EBBE941A239}"/>
    <cellStyle name="Currency 5 2 4 2 9" xfId="5481" xr:uid="{D3539192-9B6B-4C81-B635-836A0E5D1137}"/>
    <cellStyle name="Currency 5 2 4 3" xfId="739" xr:uid="{00000000-0005-0000-0000-000070010000}"/>
    <cellStyle name="Currency 5 2 4 3 2" xfId="3821" xr:uid="{15AC1921-67F2-4015-877C-60BE62C54F50}"/>
    <cellStyle name="Currency 5 2 4 3 2 2" xfId="8039" xr:uid="{1E1DDEC5-3F25-402B-8A2D-FA5338CF2391}"/>
    <cellStyle name="Currency 5 2 4 3 3" xfId="5894" xr:uid="{C6B0426C-21A8-4157-B5A2-A78BA5E94518}"/>
    <cellStyle name="Currency 5 2 4 3 4" xfId="1591" xr:uid="{A1536816-522C-463E-ACE1-9631137B9ACB}"/>
    <cellStyle name="Currency 5 2 4 4" xfId="2005" xr:uid="{D8FFEAE2-9EA2-4A51-8333-B6D7E77A3394}"/>
    <cellStyle name="Currency 5 2 4 4 2" xfId="4234" xr:uid="{D1EA9048-96A5-4359-A8F4-D50577B67F74}"/>
    <cellStyle name="Currency 5 2 4 4 2 2" xfId="8452" xr:uid="{55DF5909-20B3-4AE7-AC58-CDF7BB652EBD}"/>
    <cellStyle name="Currency 5 2 4 4 3" xfId="6307" xr:uid="{6D294CAF-D479-450C-838A-454CE6D701F8}"/>
    <cellStyle name="Currency 5 2 4 5" xfId="2418" xr:uid="{44347BFD-0BB4-499C-9DE5-A57F59AC9D1D}"/>
    <cellStyle name="Currency 5 2 4 5 2" xfId="4647" xr:uid="{43923027-6BB4-4CC2-ACE5-ACD4C14EC185}"/>
    <cellStyle name="Currency 5 2 4 5 2 2" xfId="8865" xr:uid="{FBE93CF2-0F82-428E-A2AC-51FCA6861008}"/>
    <cellStyle name="Currency 5 2 4 5 3" xfId="6720" xr:uid="{3F8F4F85-212B-4FCF-99F1-D404042AA9AC}"/>
    <cellStyle name="Currency 5 2 4 6" xfId="2831" xr:uid="{2A3497EB-B3A1-4A22-B710-4F95FC67E95C}"/>
    <cellStyle name="Currency 5 2 4 6 2" xfId="5060" xr:uid="{6505AB95-D749-48DA-8292-CAA471FF3CF1}"/>
    <cellStyle name="Currency 5 2 4 6 2 2" xfId="9278" xr:uid="{41C8AEC6-291D-4F20-83F5-66E01FFA6D34}"/>
    <cellStyle name="Currency 5 2 4 6 3" xfId="7133" xr:uid="{88D27E4D-42F5-44AE-91D1-8D0ED83250A9}"/>
    <cellStyle name="Currency 5 2 4 7" xfId="3266" xr:uid="{F5101A1F-16A2-48DE-AA7C-18F0F78C9CC1}"/>
    <cellStyle name="Currency 5 2 4 7 2" xfId="7546" xr:uid="{64980C9B-0306-4948-B76F-46BC18760620}"/>
    <cellStyle name="Currency 5 2 4 8" xfId="3563" xr:uid="{AA29398F-86B7-4141-82FD-DF5821D21E6C}"/>
    <cellStyle name="Currency 5 2 4 9" xfId="3644" xr:uid="{84B73FBF-8417-4D7A-BBF1-81F5060751BE}"/>
    <cellStyle name="Currency 5 2 4 9 2" xfId="7863" xr:uid="{93C41956-3373-4AB8-8017-3F348C56F1B1}"/>
    <cellStyle name="Currency 5 2 5" xfId="208" xr:uid="{00000000-0005-0000-0000-000071010000}"/>
    <cellStyle name="Currency 5 2 5 10" xfId="1178" xr:uid="{9A8B02EE-D681-4ED8-85AA-85F65D9648B8}"/>
    <cellStyle name="Currency 5 2 5 2" xfId="741" xr:uid="{00000000-0005-0000-0000-000072010000}"/>
    <cellStyle name="Currency 5 2 5 2 2" xfId="3823" xr:uid="{7A27DF2C-1712-44C8-99FF-1BF44B7E66FC}"/>
    <cellStyle name="Currency 5 2 5 2 2 2" xfId="8041" xr:uid="{31E80C71-E163-4E1B-8DC0-AD1ABAF20616}"/>
    <cellStyle name="Currency 5 2 5 2 3" xfId="5896" xr:uid="{8CF965D7-C281-4025-B7A9-F3751219BACE}"/>
    <cellStyle name="Currency 5 2 5 2 4" xfId="1593" xr:uid="{0BCE1D39-B9AA-4EC3-B60E-1E028EDFA77A}"/>
    <cellStyle name="Currency 5 2 5 3" xfId="2007" xr:uid="{4AD0A260-03FB-446E-851E-0A606DBCFE59}"/>
    <cellStyle name="Currency 5 2 5 3 2" xfId="4236" xr:uid="{DD094D57-5607-4D24-B735-8A50AD9C2BF7}"/>
    <cellStyle name="Currency 5 2 5 3 2 2" xfId="8454" xr:uid="{FF03592D-D2C7-48D9-8364-5FBFC7927376}"/>
    <cellStyle name="Currency 5 2 5 3 3" xfId="6309" xr:uid="{40941EED-BA33-4A12-89D3-9FD4CE255607}"/>
    <cellStyle name="Currency 5 2 5 4" xfId="2420" xr:uid="{EC5BD253-F72F-4FB5-8D5A-57A2058878AC}"/>
    <cellStyle name="Currency 5 2 5 4 2" xfId="4649" xr:uid="{69F58D45-B476-4C20-8217-56D2FF5FEE31}"/>
    <cellStyle name="Currency 5 2 5 4 2 2" xfId="8867" xr:uid="{A154BE32-12ED-4FCB-9AB7-D83D1AF69DF7}"/>
    <cellStyle name="Currency 5 2 5 4 3" xfId="6722" xr:uid="{E67BBA6E-CEFC-4C5B-9864-BDEFDBAD69C1}"/>
    <cellStyle name="Currency 5 2 5 5" xfId="2833" xr:uid="{122D9A59-E91E-4E03-947E-5BC1DE55D603}"/>
    <cellStyle name="Currency 5 2 5 5 2" xfId="5062" xr:uid="{1D6153C3-CD38-4E5D-B8A3-A8863BCAED35}"/>
    <cellStyle name="Currency 5 2 5 5 2 2" xfId="9280" xr:uid="{13CA3C63-02E7-450F-909A-ACF40892C39E}"/>
    <cellStyle name="Currency 5 2 5 5 3" xfId="7135" xr:uid="{2C0E8C5A-2613-4690-A659-CB1081110A1C}"/>
    <cellStyle name="Currency 5 2 5 6" xfId="3268" xr:uid="{0F4119F1-E5FF-4C94-803C-9C39064F31B2}"/>
    <cellStyle name="Currency 5 2 5 6 2" xfId="7548" xr:uid="{76ECF02D-8B64-46C8-ABE2-A8A66BA328A9}"/>
    <cellStyle name="Currency 5 2 5 7" xfId="3565" xr:uid="{7B82C2CD-22B7-445A-8415-FC1630BC90DF}"/>
    <cellStyle name="Currency 5 2 5 8" xfId="3646" xr:uid="{8239513C-C3D0-40DB-94A9-24A66CFFF8E9}"/>
    <cellStyle name="Currency 5 2 5 8 2" xfId="7865" xr:uid="{1AF08637-158A-4FB4-8DA3-0B7BD44EA9A8}"/>
    <cellStyle name="Currency 5 2 5 9" xfId="5482" xr:uid="{DA0940AC-0CF6-47C8-953C-8EAE71E03917}"/>
    <cellStyle name="Currency 5 2 6" xfId="209" xr:uid="{00000000-0005-0000-0000-000073010000}"/>
    <cellStyle name="Currency 5 2 6 10" xfId="1179" xr:uid="{E5BC0373-9333-45A9-AC9E-71DE5DC7BADF}"/>
    <cellStyle name="Currency 5 2 6 2" xfId="742" xr:uid="{00000000-0005-0000-0000-000074010000}"/>
    <cellStyle name="Currency 5 2 6 2 2" xfId="3824" xr:uid="{53B46F65-AFE1-40D2-B2F9-C7D7BF7D0672}"/>
    <cellStyle name="Currency 5 2 6 2 2 2" xfId="8042" xr:uid="{7712A38E-7130-495A-A59F-55E4315F213B}"/>
    <cellStyle name="Currency 5 2 6 2 3" xfId="5897" xr:uid="{BB310265-5513-42A7-9EDF-8091FBE27814}"/>
    <cellStyle name="Currency 5 2 6 2 4" xfId="1594" xr:uid="{DB2B269A-7A61-401D-9FBF-91CE7D635ABE}"/>
    <cellStyle name="Currency 5 2 6 3" xfId="2008" xr:uid="{2754E010-FC34-4719-9E34-982C1133F7BB}"/>
    <cellStyle name="Currency 5 2 6 3 2" xfId="4237" xr:uid="{1AC742CA-6232-4518-9CE8-A6CB69842366}"/>
    <cellStyle name="Currency 5 2 6 3 2 2" xfId="8455" xr:uid="{3AE83F29-167A-4178-85EF-031975D65B55}"/>
    <cellStyle name="Currency 5 2 6 3 3" xfId="6310" xr:uid="{ECC05AAD-27AA-4BC8-AEBE-F5D5F59C0040}"/>
    <cellStyle name="Currency 5 2 6 4" xfId="2421" xr:uid="{1C90D853-2EA9-4E82-8D90-BACE5D8FA93C}"/>
    <cellStyle name="Currency 5 2 6 4 2" xfId="4650" xr:uid="{E6528738-1523-4663-A629-7764CEAD7867}"/>
    <cellStyle name="Currency 5 2 6 4 2 2" xfId="8868" xr:uid="{2F11E299-41C3-48AB-BE80-A96083871FAA}"/>
    <cellStyle name="Currency 5 2 6 4 3" xfId="6723" xr:uid="{475F1850-5146-4938-80C0-6EFAB85CBFB1}"/>
    <cellStyle name="Currency 5 2 6 5" xfId="2834" xr:uid="{37C638F6-41F4-4D21-9267-5AE4D68ECBAB}"/>
    <cellStyle name="Currency 5 2 6 5 2" xfId="5063" xr:uid="{EEC538D5-15F8-4BC9-A013-9D75BAC10C70}"/>
    <cellStyle name="Currency 5 2 6 5 2 2" xfId="9281" xr:uid="{727F797F-BE77-4519-96C4-9FEFF044ED36}"/>
    <cellStyle name="Currency 5 2 6 5 3" xfId="7136" xr:uid="{A6610B79-0E54-4B09-88D6-D8CBE1E9BEBD}"/>
    <cellStyle name="Currency 5 2 6 6" xfId="3269" xr:uid="{44E8AA9D-8595-451F-900D-FFD38D10A6B2}"/>
    <cellStyle name="Currency 5 2 6 6 2" xfId="7549" xr:uid="{A4A88849-5961-4CF6-98D2-87DD5F31127D}"/>
    <cellStyle name="Currency 5 2 6 7" xfId="3566" xr:uid="{1CA8FFF3-A612-4D7F-B8FA-010A09DC56BA}"/>
    <cellStyle name="Currency 5 2 6 8" xfId="3647" xr:uid="{C8F08C37-2618-4601-B6C8-6F54D9B32B32}"/>
    <cellStyle name="Currency 5 2 6 8 2" xfId="7866" xr:uid="{B40AD7F9-3433-486C-8E37-6952122F72EE}"/>
    <cellStyle name="Currency 5 2 6 9" xfId="5483" xr:uid="{DA244892-85CB-4491-8CA9-A89EE2886C98}"/>
    <cellStyle name="Currency 5 2 7" xfId="729" xr:uid="{00000000-0005-0000-0000-000075010000}"/>
    <cellStyle name="Currency 5 3" xfId="210" xr:uid="{00000000-0005-0000-0000-000076010000}"/>
    <cellStyle name="Currency 5 3 2" xfId="211" xr:uid="{00000000-0005-0000-0000-000077010000}"/>
    <cellStyle name="Currency 5 3 2 10" xfId="3648" xr:uid="{A0125878-874C-4EC0-B9AF-B20BEF8984D1}"/>
    <cellStyle name="Currency 5 3 2 10 2" xfId="7867" xr:uid="{072949C3-C813-4C79-BCE0-CA8226A54E5E}"/>
    <cellStyle name="Currency 5 3 2 11" xfId="5484" xr:uid="{F4A6460C-5950-4F40-8180-C74C95AF6661}"/>
    <cellStyle name="Currency 5 3 2 12" xfId="1180" xr:uid="{482BCA41-0B4E-47A3-98D2-4337DC0CE012}"/>
    <cellStyle name="Currency 5 3 2 2" xfId="212" xr:uid="{00000000-0005-0000-0000-000078010000}"/>
    <cellStyle name="Currency 5 3 2 2 10" xfId="5485" xr:uid="{37EF7A76-A524-4327-9C6C-B4D8275A8DDB}"/>
    <cellStyle name="Currency 5 3 2 2 11" xfId="1181" xr:uid="{92F485B3-2668-4667-A906-6721C9CDF4CE}"/>
    <cellStyle name="Currency 5 3 2 2 2" xfId="213" xr:uid="{00000000-0005-0000-0000-000079010000}"/>
    <cellStyle name="Currency 5 3 2 2 2 10" xfId="1182" xr:uid="{3060E41F-CE57-41F0-94D4-DEA7E6F78A01}"/>
    <cellStyle name="Currency 5 3 2 2 2 2" xfId="745" xr:uid="{00000000-0005-0000-0000-00007A010000}"/>
    <cellStyle name="Currency 5 3 2 2 2 2 2" xfId="3827" xr:uid="{554FBD53-7909-4D8D-A633-7274E7D14B89}"/>
    <cellStyle name="Currency 5 3 2 2 2 2 2 2" xfId="8045" xr:uid="{68448781-546E-4DED-B8BA-0B47DE4C85BE}"/>
    <cellStyle name="Currency 5 3 2 2 2 2 3" xfId="5900" xr:uid="{2591BC63-BFE0-43C9-AC97-AEBAB5474507}"/>
    <cellStyle name="Currency 5 3 2 2 2 2 4" xfId="1597" xr:uid="{027EEF5B-485D-45BF-A919-7B82C0C355D3}"/>
    <cellStyle name="Currency 5 3 2 2 2 3" xfId="2011" xr:uid="{5FEABA1A-8DF5-4340-B60D-71E430536EB6}"/>
    <cellStyle name="Currency 5 3 2 2 2 3 2" xfId="4240" xr:uid="{64867E49-B417-4C94-AA4C-8D62F7E2B1A6}"/>
    <cellStyle name="Currency 5 3 2 2 2 3 2 2" xfId="8458" xr:uid="{93F43976-0F75-45B8-B2C2-22EEFE375F72}"/>
    <cellStyle name="Currency 5 3 2 2 2 3 3" xfId="6313" xr:uid="{E54ED0FC-9D0E-4E3E-9A7D-F9A67F4F9C78}"/>
    <cellStyle name="Currency 5 3 2 2 2 4" xfId="2424" xr:uid="{8FED26C6-5F7B-425C-AFBB-98B4931772D1}"/>
    <cellStyle name="Currency 5 3 2 2 2 4 2" xfId="4653" xr:uid="{84EB2EDB-E3F0-47F7-B492-80F311E21BA1}"/>
    <cellStyle name="Currency 5 3 2 2 2 4 2 2" xfId="8871" xr:uid="{E52D1ADD-A702-4AFD-8A24-AD978CDA82C1}"/>
    <cellStyle name="Currency 5 3 2 2 2 4 3" xfId="6726" xr:uid="{5403758B-F4DC-4DE9-9C56-8DEAD36D5AF6}"/>
    <cellStyle name="Currency 5 3 2 2 2 5" xfId="2837" xr:uid="{2F32FF9F-4640-4605-8E45-CBEF567D6464}"/>
    <cellStyle name="Currency 5 3 2 2 2 5 2" xfId="5066" xr:uid="{BC51F5E7-DCDA-4CEA-BDD7-5362C5F01727}"/>
    <cellStyle name="Currency 5 3 2 2 2 5 2 2" xfId="9284" xr:uid="{C60BD0EC-058F-4F12-B5D2-3F7FBE0C46A8}"/>
    <cellStyle name="Currency 5 3 2 2 2 5 3" xfId="7139" xr:uid="{3BD0ACDF-A16B-4108-B5ED-A8B3749DA94B}"/>
    <cellStyle name="Currency 5 3 2 2 2 6" xfId="3272" xr:uid="{B4AD3DFA-7689-4ECA-B1FE-4DB0BD713CE5}"/>
    <cellStyle name="Currency 5 3 2 2 2 6 2" xfId="7552" xr:uid="{E1273B06-F653-45B8-AA99-DA349E2AC60B}"/>
    <cellStyle name="Currency 5 3 2 2 2 7" xfId="3569" xr:uid="{FE8C0869-6556-4DA5-B30A-621991FCBB6D}"/>
    <cellStyle name="Currency 5 3 2 2 2 8" xfId="3650" xr:uid="{0A656DB2-BE8E-4C7E-859B-58440C88EB6B}"/>
    <cellStyle name="Currency 5 3 2 2 2 8 2" xfId="7869" xr:uid="{B8D32F9C-650E-43E5-B0F8-9F306A86F4C8}"/>
    <cellStyle name="Currency 5 3 2 2 2 9" xfId="5486" xr:uid="{7F84FC86-AE18-49C0-8E66-FA81C584C157}"/>
    <cellStyle name="Currency 5 3 2 2 3" xfId="744" xr:uid="{00000000-0005-0000-0000-00007B010000}"/>
    <cellStyle name="Currency 5 3 2 2 3 2" xfId="3826" xr:uid="{1081E77A-F870-4ADC-B37E-72C617FF7E0C}"/>
    <cellStyle name="Currency 5 3 2 2 3 2 2" xfId="8044" xr:uid="{E7C93B06-33F8-432A-AF07-3D596D3B3A23}"/>
    <cellStyle name="Currency 5 3 2 2 3 3" xfId="5899" xr:uid="{2A06C948-69B3-4EFE-B51E-37F48A37F133}"/>
    <cellStyle name="Currency 5 3 2 2 3 4" xfId="1596" xr:uid="{B56CF395-8D2B-40C4-9781-56D33C22A741}"/>
    <cellStyle name="Currency 5 3 2 2 4" xfId="2010" xr:uid="{48B89307-4190-4613-8EB6-A17B7BA4D995}"/>
    <cellStyle name="Currency 5 3 2 2 4 2" xfId="4239" xr:uid="{398A5187-4283-4316-9022-B8AE5EE1BDFA}"/>
    <cellStyle name="Currency 5 3 2 2 4 2 2" xfId="8457" xr:uid="{43941B35-E823-4EC9-BD0F-ABE50E455BD8}"/>
    <cellStyle name="Currency 5 3 2 2 4 3" xfId="6312" xr:uid="{E867E106-1B47-4B0D-A633-8F5C0EB96F98}"/>
    <cellStyle name="Currency 5 3 2 2 5" xfId="2423" xr:uid="{0831C531-2F9F-4AFA-AEBB-F04D04A32793}"/>
    <cellStyle name="Currency 5 3 2 2 5 2" xfId="4652" xr:uid="{68920E81-BC23-414C-B95F-C86C6887997C}"/>
    <cellStyle name="Currency 5 3 2 2 5 2 2" xfId="8870" xr:uid="{58C67456-311F-4E87-9B53-0997C538CC19}"/>
    <cellStyle name="Currency 5 3 2 2 5 3" xfId="6725" xr:uid="{4924555D-360C-4B24-9A11-E00DCF89F483}"/>
    <cellStyle name="Currency 5 3 2 2 6" xfId="2836" xr:uid="{9DB624BA-2361-41C0-8BC1-39FAD3D095FD}"/>
    <cellStyle name="Currency 5 3 2 2 6 2" xfId="5065" xr:uid="{0954EA7D-E780-4AE7-82ED-4FDB44F0891A}"/>
    <cellStyle name="Currency 5 3 2 2 6 2 2" xfId="9283" xr:uid="{5C1C8882-C3A2-4C09-818D-A606B239AEC5}"/>
    <cellStyle name="Currency 5 3 2 2 6 3" xfId="7138" xr:uid="{0FE0AF3D-1E59-4BF5-A91B-3CFD41C3900F}"/>
    <cellStyle name="Currency 5 3 2 2 7" xfId="3271" xr:uid="{FB21083A-EF9F-445C-A98F-39ED80E38757}"/>
    <cellStyle name="Currency 5 3 2 2 7 2" xfId="7551" xr:uid="{B363C6AB-DCE5-4B80-BDC9-5DC4DD943160}"/>
    <cellStyle name="Currency 5 3 2 2 8" xfId="3568" xr:uid="{CD5E959E-5321-491D-B914-EA582A0F6994}"/>
    <cellStyle name="Currency 5 3 2 2 9" xfId="3649" xr:uid="{263E3018-1CCE-4517-BB52-908107A14258}"/>
    <cellStyle name="Currency 5 3 2 2 9 2" xfId="7868" xr:uid="{70BF7A01-B917-47B5-9438-E7D8107AA10F}"/>
    <cellStyle name="Currency 5 3 2 3" xfId="214" xr:uid="{00000000-0005-0000-0000-00007C010000}"/>
    <cellStyle name="Currency 5 3 2 3 10" xfId="1183" xr:uid="{84FBC8ED-ABE8-47E9-B3BC-AA02CC247A7D}"/>
    <cellStyle name="Currency 5 3 2 3 2" xfId="746" xr:uid="{00000000-0005-0000-0000-00007D010000}"/>
    <cellStyle name="Currency 5 3 2 3 2 2" xfId="3828" xr:uid="{9F274B4F-4F2E-40B2-A9EA-7437E4368E9F}"/>
    <cellStyle name="Currency 5 3 2 3 2 2 2" xfId="8046" xr:uid="{4E032B60-9AA2-4D7A-BB24-811A0E219750}"/>
    <cellStyle name="Currency 5 3 2 3 2 3" xfId="5901" xr:uid="{3B3F47B8-F678-4392-9F39-68F202FB1B9E}"/>
    <cellStyle name="Currency 5 3 2 3 2 4" xfId="1598" xr:uid="{E0E84F3F-42E8-4B00-965C-535E58AB325D}"/>
    <cellStyle name="Currency 5 3 2 3 3" xfId="2012" xr:uid="{FB4409F7-1B9C-484E-AA15-5782AEB8384E}"/>
    <cellStyle name="Currency 5 3 2 3 3 2" xfId="4241" xr:uid="{7C5D9882-674C-4B01-8FAC-89E79939868E}"/>
    <cellStyle name="Currency 5 3 2 3 3 2 2" xfId="8459" xr:uid="{3C2F82B4-7FFD-4A1C-9D2F-A156B46FE1C9}"/>
    <cellStyle name="Currency 5 3 2 3 3 3" xfId="6314" xr:uid="{89F9CF59-B94C-4F67-A828-60ED6CD972A2}"/>
    <cellStyle name="Currency 5 3 2 3 4" xfId="2425" xr:uid="{56572734-46AC-4C2A-B4CF-3A79DDAD87B1}"/>
    <cellStyle name="Currency 5 3 2 3 4 2" xfId="4654" xr:uid="{F613DAF5-147D-4BA3-8208-053B1CFB2CB1}"/>
    <cellStyle name="Currency 5 3 2 3 4 2 2" xfId="8872" xr:uid="{865A83D3-1D4B-443A-A7C8-33D1C85EC5AA}"/>
    <cellStyle name="Currency 5 3 2 3 4 3" xfId="6727" xr:uid="{1FFB6706-9F61-4331-86F7-B93A1FEA3D49}"/>
    <cellStyle name="Currency 5 3 2 3 5" xfId="2838" xr:uid="{22F51D96-E323-4686-9549-F7A14F26CD64}"/>
    <cellStyle name="Currency 5 3 2 3 5 2" xfId="5067" xr:uid="{FAECE11F-EA08-4934-8DFE-E48E6BEFF7A4}"/>
    <cellStyle name="Currency 5 3 2 3 5 2 2" xfId="9285" xr:uid="{BE573867-08D0-4CF5-BF79-DDF3917966C1}"/>
    <cellStyle name="Currency 5 3 2 3 5 3" xfId="7140" xr:uid="{71DFE261-6394-4D51-A0A5-2F16C542A676}"/>
    <cellStyle name="Currency 5 3 2 3 6" xfId="3273" xr:uid="{94ACA220-D3C9-4059-B311-A8854D3FF27D}"/>
    <cellStyle name="Currency 5 3 2 3 6 2" xfId="7553" xr:uid="{FF7EB295-6276-4B4E-B6F5-540C2B322066}"/>
    <cellStyle name="Currency 5 3 2 3 7" xfId="3570" xr:uid="{4B60541A-ED48-4D79-8855-E0136B0A6E51}"/>
    <cellStyle name="Currency 5 3 2 3 8" xfId="3651" xr:uid="{38F0C0EB-BE5C-4A27-ABEB-3A94305D72F3}"/>
    <cellStyle name="Currency 5 3 2 3 8 2" xfId="7870" xr:uid="{172B5459-0023-4AE2-BAFA-771FEEB29FCB}"/>
    <cellStyle name="Currency 5 3 2 3 9" xfId="5487" xr:uid="{8207184A-1192-4CD6-8EFF-AD8A3EFFF0DC}"/>
    <cellStyle name="Currency 5 3 2 4" xfId="743" xr:uid="{00000000-0005-0000-0000-00007E010000}"/>
    <cellStyle name="Currency 5 3 2 4 2" xfId="3825" xr:uid="{57640B48-97D9-4C06-BB30-3CD696898DA7}"/>
    <cellStyle name="Currency 5 3 2 4 2 2" xfId="8043" xr:uid="{8A3567BE-7B72-4159-A458-1EFD49E979B5}"/>
    <cellStyle name="Currency 5 3 2 4 3" xfId="5898" xr:uid="{9FBCE9BD-028A-4A99-9B59-9BB5BA526C18}"/>
    <cellStyle name="Currency 5 3 2 4 4" xfId="1595" xr:uid="{061DE109-C709-4702-8EE0-938BDC9D1D83}"/>
    <cellStyle name="Currency 5 3 2 5" xfId="2009" xr:uid="{748A56CC-5E0B-41E7-ACE7-168CA754B6A5}"/>
    <cellStyle name="Currency 5 3 2 5 2" xfId="4238" xr:uid="{A807D715-3524-4AEA-B93F-90B2F295BA2F}"/>
    <cellStyle name="Currency 5 3 2 5 2 2" xfId="8456" xr:uid="{A7C5753E-8709-4CC0-83B8-457EFDC63B19}"/>
    <cellStyle name="Currency 5 3 2 5 3" xfId="6311" xr:uid="{2D13C9C8-C625-4035-B2D4-ED6516BCCC38}"/>
    <cellStyle name="Currency 5 3 2 6" xfId="2422" xr:uid="{7ED80A43-280B-467D-8D5C-4A390E9BD221}"/>
    <cellStyle name="Currency 5 3 2 6 2" xfId="4651" xr:uid="{6ABEAA87-7400-467B-8910-B76E2D20DF5F}"/>
    <cellStyle name="Currency 5 3 2 6 2 2" xfId="8869" xr:uid="{5740DF3F-853A-4E2B-912C-D80F3CF3FF1E}"/>
    <cellStyle name="Currency 5 3 2 6 3" xfId="6724" xr:uid="{10DF4914-3F8A-4144-BE44-54E39E6DC8AF}"/>
    <cellStyle name="Currency 5 3 2 7" xfId="2835" xr:uid="{575FBF15-572B-4E9C-BF2B-6E8E7892CBFC}"/>
    <cellStyle name="Currency 5 3 2 7 2" xfId="5064" xr:uid="{D1E1BA43-F1E8-4278-A89C-D6AABCB6A90C}"/>
    <cellStyle name="Currency 5 3 2 7 2 2" xfId="9282" xr:uid="{3A8F413E-20FB-4976-8202-CE97CCCE7F0B}"/>
    <cellStyle name="Currency 5 3 2 7 3" xfId="7137" xr:uid="{C040C050-70BC-44C5-9798-2BFA6863FC7E}"/>
    <cellStyle name="Currency 5 3 2 8" xfId="3270" xr:uid="{9752F6D0-A393-4495-A5ED-A620D3495213}"/>
    <cellStyle name="Currency 5 3 2 8 2" xfId="7550" xr:uid="{B1D095BD-F2C2-46F0-9202-DE175A032D4F}"/>
    <cellStyle name="Currency 5 3 2 9" xfId="3567" xr:uid="{E72CEF8D-FA1A-495A-94D8-5237EFD87991}"/>
    <cellStyle name="Currency 5 3 3" xfId="215" xr:uid="{00000000-0005-0000-0000-00007F010000}"/>
    <cellStyle name="Currency 5 3 3 10" xfId="5488" xr:uid="{3D5B509D-A1F0-4903-B5FD-C6A6688075E4}"/>
    <cellStyle name="Currency 5 3 3 11" xfId="1184" xr:uid="{DF199293-625B-4F69-839C-31E35D342C85}"/>
    <cellStyle name="Currency 5 3 3 2" xfId="216" xr:uid="{00000000-0005-0000-0000-000080010000}"/>
    <cellStyle name="Currency 5 3 3 2 10" xfId="1185" xr:uid="{BF4CD7FF-F030-4626-AD9B-F3F24FC93DAB}"/>
    <cellStyle name="Currency 5 3 3 2 2" xfId="748" xr:uid="{00000000-0005-0000-0000-000081010000}"/>
    <cellStyle name="Currency 5 3 3 2 2 2" xfId="3830" xr:uid="{DC848382-3916-4C72-AC2D-8E9A72C1D6F9}"/>
    <cellStyle name="Currency 5 3 3 2 2 2 2" xfId="8048" xr:uid="{87E34E94-0827-4098-8939-049CA44F1C95}"/>
    <cellStyle name="Currency 5 3 3 2 2 3" xfId="5903" xr:uid="{DE4F4405-B14F-4A8A-A0DB-590679CA12C4}"/>
    <cellStyle name="Currency 5 3 3 2 2 4" xfId="1600" xr:uid="{98291976-4A69-402A-92ED-84057C8168BC}"/>
    <cellStyle name="Currency 5 3 3 2 3" xfId="2014" xr:uid="{0FD371F0-A95A-412A-965D-ECEF5304844F}"/>
    <cellStyle name="Currency 5 3 3 2 3 2" xfId="4243" xr:uid="{2AEA7915-7657-4B5D-A5E6-6EF13EF6278E}"/>
    <cellStyle name="Currency 5 3 3 2 3 2 2" xfId="8461" xr:uid="{0E23930F-6F8A-4655-BCB1-0FA50EE848DF}"/>
    <cellStyle name="Currency 5 3 3 2 3 3" xfId="6316" xr:uid="{B8C2524A-4DCA-490A-A67B-21A6D68156C0}"/>
    <cellStyle name="Currency 5 3 3 2 4" xfId="2427" xr:uid="{ABC79793-7554-4E87-9AB8-7A6DD7D55FFE}"/>
    <cellStyle name="Currency 5 3 3 2 4 2" xfId="4656" xr:uid="{E5915656-9995-4B6F-A402-583A79F927AF}"/>
    <cellStyle name="Currency 5 3 3 2 4 2 2" xfId="8874" xr:uid="{E0FD5033-574A-4A93-9B85-6A752608D704}"/>
    <cellStyle name="Currency 5 3 3 2 4 3" xfId="6729" xr:uid="{65B7ECA1-0236-43D2-BA43-80B321324E01}"/>
    <cellStyle name="Currency 5 3 3 2 5" xfId="2840" xr:uid="{7590BED9-1D89-4FA4-8A79-13E4BD040DAD}"/>
    <cellStyle name="Currency 5 3 3 2 5 2" xfId="5069" xr:uid="{CD40270F-43A7-4C4B-A04F-7AF232D5C6E6}"/>
    <cellStyle name="Currency 5 3 3 2 5 2 2" xfId="9287" xr:uid="{BDEF5845-4365-4905-B28A-201668992E3C}"/>
    <cellStyle name="Currency 5 3 3 2 5 3" xfId="7142" xr:uid="{208E765A-EA17-48A8-BF8B-2C2538098AA9}"/>
    <cellStyle name="Currency 5 3 3 2 6" xfId="3275" xr:uid="{3AC1695D-C359-458F-BF04-F1DFEC5FFC5F}"/>
    <cellStyle name="Currency 5 3 3 2 6 2" xfId="7555" xr:uid="{16504307-96B3-4606-846F-E98037F0A3AD}"/>
    <cellStyle name="Currency 5 3 3 2 7" xfId="3572" xr:uid="{42578BE0-1567-4E42-9CB8-D79F916D2865}"/>
    <cellStyle name="Currency 5 3 3 2 8" xfId="3653" xr:uid="{7B62EAD6-1034-46EB-8AA7-291B570B2A2A}"/>
    <cellStyle name="Currency 5 3 3 2 8 2" xfId="7872" xr:uid="{A0426CC4-FCCE-4C46-A87C-83CF9EBBE7F3}"/>
    <cellStyle name="Currency 5 3 3 2 9" xfId="5489" xr:uid="{B4F755BF-D7AF-4C79-8573-D48068CBA85F}"/>
    <cellStyle name="Currency 5 3 3 3" xfId="747" xr:uid="{00000000-0005-0000-0000-000082010000}"/>
    <cellStyle name="Currency 5 3 3 3 2" xfId="3829" xr:uid="{4ED4D1EB-38E2-4494-9EE8-256B58014028}"/>
    <cellStyle name="Currency 5 3 3 3 2 2" xfId="8047" xr:uid="{1AC58F70-E47C-4699-AD8B-DFF329466FDE}"/>
    <cellStyle name="Currency 5 3 3 3 3" xfId="5902" xr:uid="{F6FD645A-2630-46F4-BB44-B6A4BAAE87AD}"/>
    <cellStyle name="Currency 5 3 3 3 4" xfId="1599" xr:uid="{F7726201-B5D0-446B-8EF7-29429B520558}"/>
    <cellStyle name="Currency 5 3 3 4" xfId="2013" xr:uid="{412EE89C-E91A-4761-8F8D-92E383DBCF7F}"/>
    <cellStyle name="Currency 5 3 3 4 2" xfId="4242" xr:uid="{DB3E9D73-5559-4E21-9870-5CDD24E95B3A}"/>
    <cellStyle name="Currency 5 3 3 4 2 2" xfId="8460" xr:uid="{35688D06-AB00-4DED-BC43-E30DBA103C97}"/>
    <cellStyle name="Currency 5 3 3 4 3" xfId="6315" xr:uid="{E51FD5E5-1C11-4CCA-AC45-20792D8CAFE2}"/>
    <cellStyle name="Currency 5 3 3 5" xfId="2426" xr:uid="{98F151A3-8338-43C6-95ED-725413E7F1B7}"/>
    <cellStyle name="Currency 5 3 3 5 2" xfId="4655" xr:uid="{988E9222-D468-4D71-99A1-F52EBCEBA5C6}"/>
    <cellStyle name="Currency 5 3 3 5 2 2" xfId="8873" xr:uid="{1E2CB8FA-CB86-4387-9BAB-EFCE514013ED}"/>
    <cellStyle name="Currency 5 3 3 5 3" xfId="6728" xr:uid="{2FB01079-8D11-408B-B582-00CB2D6F1AA9}"/>
    <cellStyle name="Currency 5 3 3 6" xfId="2839" xr:uid="{5F5A07EA-A311-4C42-8499-852F9FF80D8F}"/>
    <cellStyle name="Currency 5 3 3 6 2" xfId="5068" xr:uid="{B7088024-8581-43D5-A6B7-CA22E5CAF635}"/>
    <cellStyle name="Currency 5 3 3 6 2 2" xfId="9286" xr:uid="{24F3A8B0-C26C-4B14-9707-DE07A478661B}"/>
    <cellStyle name="Currency 5 3 3 6 3" xfId="7141" xr:uid="{E60FE4F0-89EC-4251-AE96-4AB32A397C29}"/>
    <cellStyle name="Currency 5 3 3 7" xfId="3274" xr:uid="{6DECF26A-4BFF-449F-AC0B-64EA6799F451}"/>
    <cellStyle name="Currency 5 3 3 7 2" xfId="7554" xr:uid="{ACBE4091-267A-4E82-948F-4087E94C615C}"/>
    <cellStyle name="Currency 5 3 3 8" xfId="3571" xr:uid="{FE1BD651-058F-4B1B-AD42-96978EDBC143}"/>
    <cellStyle name="Currency 5 3 3 9" xfId="3652" xr:uid="{9B1FBD61-D087-4A36-AF5A-82E41DE1AA81}"/>
    <cellStyle name="Currency 5 3 3 9 2" xfId="7871" xr:uid="{6E6BFB94-EF2C-4B24-A7C3-BA7E71CD47B6}"/>
    <cellStyle name="Currency 5 3 4" xfId="217" xr:uid="{00000000-0005-0000-0000-000083010000}"/>
    <cellStyle name="Currency 5 3 4 10" xfId="1186" xr:uid="{F1EA5DE3-8405-4504-B4BC-DEA9D5434025}"/>
    <cellStyle name="Currency 5 3 4 2" xfId="749" xr:uid="{00000000-0005-0000-0000-000084010000}"/>
    <cellStyle name="Currency 5 3 4 2 2" xfId="3831" xr:uid="{341109CE-72BA-40B2-A208-C65F32D46571}"/>
    <cellStyle name="Currency 5 3 4 2 2 2" xfId="8049" xr:uid="{0B09477A-8D55-4F2A-AECD-9AAE7EFBE1B4}"/>
    <cellStyle name="Currency 5 3 4 2 3" xfId="5904" xr:uid="{61CAEFA5-47DA-4076-B209-E2E5AB3380BA}"/>
    <cellStyle name="Currency 5 3 4 2 4" xfId="1601" xr:uid="{41DF7DF1-02AD-4995-961B-20530451C011}"/>
    <cellStyle name="Currency 5 3 4 3" xfId="2015" xr:uid="{496FF7C8-2675-44F8-B648-6E1EFC940E23}"/>
    <cellStyle name="Currency 5 3 4 3 2" xfId="4244" xr:uid="{98933089-AF6B-4AFA-AD32-DDBF0B9CF9AA}"/>
    <cellStyle name="Currency 5 3 4 3 2 2" xfId="8462" xr:uid="{37FCF215-FF02-4773-AC8C-BDA813E6A9C8}"/>
    <cellStyle name="Currency 5 3 4 3 3" xfId="6317" xr:uid="{C3C6544E-B2A7-4A82-8811-4896FEEEFA36}"/>
    <cellStyle name="Currency 5 3 4 4" xfId="2428" xr:uid="{7DBA3FF2-DAAB-4CF4-BF38-6B4C6D5D916B}"/>
    <cellStyle name="Currency 5 3 4 4 2" xfId="4657" xr:uid="{B8B9A9F1-E360-4F11-B15D-275D40B4A59D}"/>
    <cellStyle name="Currency 5 3 4 4 2 2" xfId="8875" xr:uid="{A2B3B700-1A60-45B7-8FB4-B54DF48C4DCF}"/>
    <cellStyle name="Currency 5 3 4 4 3" xfId="6730" xr:uid="{85C3F760-0912-4952-A387-A50B3C5165CF}"/>
    <cellStyle name="Currency 5 3 4 5" xfId="2841" xr:uid="{02AA0A52-0D9E-465B-8F92-780CD10B51C0}"/>
    <cellStyle name="Currency 5 3 4 5 2" xfId="5070" xr:uid="{498A047B-0ED5-444B-B5D8-D615C612F183}"/>
    <cellStyle name="Currency 5 3 4 5 2 2" xfId="9288" xr:uid="{81FB0F5B-C857-4EE7-8D11-F197BB229EFF}"/>
    <cellStyle name="Currency 5 3 4 5 3" xfId="7143" xr:uid="{0B36CF33-ECFA-4306-9310-EE752C38A1ED}"/>
    <cellStyle name="Currency 5 3 4 6" xfId="3276" xr:uid="{FEB9B605-8BA1-4322-BD04-9F7E5106838B}"/>
    <cellStyle name="Currency 5 3 4 6 2" xfId="7556" xr:uid="{99F5E4F8-40E1-44DC-A90F-91DAF3452639}"/>
    <cellStyle name="Currency 5 3 4 7" xfId="3573" xr:uid="{11A8778D-F97C-4D74-8F56-5264889C9001}"/>
    <cellStyle name="Currency 5 3 4 8" xfId="3654" xr:uid="{78552558-B35A-460D-B35D-0EA4304E5A3B}"/>
    <cellStyle name="Currency 5 3 4 8 2" xfId="7873" xr:uid="{996F3CE2-1A63-448C-92E7-E805A521361F}"/>
    <cellStyle name="Currency 5 3 4 9" xfId="5490" xr:uid="{193F7235-FEAD-4A63-96F3-AA21CFBA9E75}"/>
    <cellStyle name="Currency 5 3 5" xfId="218" xr:uid="{00000000-0005-0000-0000-000085010000}"/>
    <cellStyle name="Currency 5 3 5 10" xfId="1187" xr:uid="{25762AA0-320C-4227-BB26-5113B664E33F}"/>
    <cellStyle name="Currency 5 3 5 2" xfId="750" xr:uid="{00000000-0005-0000-0000-000086010000}"/>
    <cellStyle name="Currency 5 3 5 2 2" xfId="3832" xr:uid="{66776AA8-F2DD-47B7-8037-F604B57E07F4}"/>
    <cellStyle name="Currency 5 3 5 2 2 2" xfId="8050" xr:uid="{6B4C6D14-39C4-4616-B67C-CD17BD64B5D3}"/>
    <cellStyle name="Currency 5 3 5 2 3" xfId="5905" xr:uid="{CC34D75E-F046-4377-B7D0-59DC1DB40C04}"/>
    <cellStyle name="Currency 5 3 5 2 4" xfId="1602" xr:uid="{40A3168C-B0AF-4DBF-AC89-1B5FB230E971}"/>
    <cellStyle name="Currency 5 3 5 3" xfId="2016" xr:uid="{9E5D0C32-119B-4B19-BF8B-CD5A4742F743}"/>
    <cellStyle name="Currency 5 3 5 3 2" xfId="4245" xr:uid="{8A25C087-9142-43C4-9F1F-5347EF0C4C1E}"/>
    <cellStyle name="Currency 5 3 5 3 2 2" xfId="8463" xr:uid="{C75EC503-D3F1-4DDB-8454-C456B5DF213C}"/>
    <cellStyle name="Currency 5 3 5 3 3" xfId="6318" xr:uid="{1B0FDE9A-673E-4A3F-A4E8-22D2D449369D}"/>
    <cellStyle name="Currency 5 3 5 4" xfId="2429" xr:uid="{B5605E6D-921E-430E-A7AF-4594D780B677}"/>
    <cellStyle name="Currency 5 3 5 4 2" xfId="4658" xr:uid="{D7D208A9-2E22-414D-B26F-B12E0ABE8030}"/>
    <cellStyle name="Currency 5 3 5 4 2 2" xfId="8876" xr:uid="{113C1E15-3CF2-46BD-BA5F-E9EC31FBF8DA}"/>
    <cellStyle name="Currency 5 3 5 4 3" xfId="6731" xr:uid="{0C1C4060-D68F-4A9E-961A-11E5B595EE8C}"/>
    <cellStyle name="Currency 5 3 5 5" xfId="2842" xr:uid="{910438DE-9354-48DE-9D60-CE64AA5348F5}"/>
    <cellStyle name="Currency 5 3 5 5 2" xfId="5071" xr:uid="{E02CE501-2568-465C-97EC-B90144513957}"/>
    <cellStyle name="Currency 5 3 5 5 2 2" xfId="9289" xr:uid="{7D8C714D-96E3-46EA-B74D-EB78D6F34961}"/>
    <cellStyle name="Currency 5 3 5 5 3" xfId="7144" xr:uid="{F4483883-C62B-4617-B772-96FBD25F0102}"/>
    <cellStyle name="Currency 5 3 5 6" xfId="3277" xr:uid="{AD8224C2-CAFD-432D-AB9F-F5CD1FC247E1}"/>
    <cellStyle name="Currency 5 3 5 6 2" xfId="7557" xr:uid="{789058C2-5011-40F9-A84F-4971D4B5475D}"/>
    <cellStyle name="Currency 5 3 5 7" xfId="3574" xr:uid="{0D486107-A373-421A-920F-2932A39DC3CE}"/>
    <cellStyle name="Currency 5 3 5 8" xfId="3655" xr:uid="{6F5DE920-3EEB-4668-87DA-A91551851AD9}"/>
    <cellStyle name="Currency 5 3 5 8 2" xfId="7874" xr:uid="{6CB42AA5-62F3-485C-8C62-06879A5309AC}"/>
    <cellStyle name="Currency 5 3 5 9" xfId="5491" xr:uid="{E265ADE1-29E9-48DE-AF7A-F50407D4EC3F}"/>
    <cellStyle name="Currency 5 4" xfId="219" xr:uid="{00000000-0005-0000-0000-000087010000}"/>
    <cellStyle name="Currency 5 4 2" xfId="751" xr:uid="{00000000-0005-0000-0000-000088010000}"/>
    <cellStyle name="Currency 5 5" xfId="220" xr:uid="{00000000-0005-0000-0000-000089010000}"/>
    <cellStyle name="Currency 5 5 10" xfId="5492" xr:uid="{6E2085DD-5ADF-457C-ADA4-06C632317DA9}"/>
    <cellStyle name="Currency 5 5 11" xfId="1188" xr:uid="{7AA564AB-8187-448E-860E-7FE106C8C869}"/>
    <cellStyle name="Currency 5 5 2" xfId="221" xr:uid="{00000000-0005-0000-0000-00008A010000}"/>
    <cellStyle name="Currency 5 5 2 10" xfId="1189" xr:uid="{FABE9A00-07FF-4E44-B17A-024DEE58A2A5}"/>
    <cellStyle name="Currency 5 5 2 2" xfId="753" xr:uid="{00000000-0005-0000-0000-00008B010000}"/>
    <cellStyle name="Currency 5 5 2 2 2" xfId="3834" xr:uid="{135E4FB7-7326-4D67-BA24-1643543485BE}"/>
    <cellStyle name="Currency 5 5 2 2 2 2" xfId="8052" xr:uid="{ECAFACF8-FBC8-4F56-A0CB-8FB0583084ED}"/>
    <cellStyle name="Currency 5 5 2 2 3" xfId="5907" xr:uid="{78A56FEA-00C8-4715-A860-CEF6E165E47F}"/>
    <cellStyle name="Currency 5 5 2 2 4" xfId="1604" xr:uid="{6353903A-AF90-47AD-8B9B-874B6077673B}"/>
    <cellStyle name="Currency 5 5 2 3" xfId="2018" xr:uid="{8383B3E3-668B-4188-A19C-8CD4C0B0A818}"/>
    <cellStyle name="Currency 5 5 2 3 2" xfId="4247" xr:uid="{C162DA68-424B-4F63-A7A5-1CD55677C282}"/>
    <cellStyle name="Currency 5 5 2 3 2 2" xfId="8465" xr:uid="{0F91EFAB-4144-4C26-B4BC-BDD72B1974AD}"/>
    <cellStyle name="Currency 5 5 2 3 3" xfId="6320" xr:uid="{AC29BA66-7F69-4699-815B-5AD572BE4212}"/>
    <cellStyle name="Currency 5 5 2 4" xfId="2431" xr:uid="{BAEBC200-9EE4-4BEC-A485-6E5FAC50AF56}"/>
    <cellStyle name="Currency 5 5 2 4 2" xfId="4660" xr:uid="{DB59F7AF-31A5-4ECD-A50B-3C2D86C50DFD}"/>
    <cellStyle name="Currency 5 5 2 4 2 2" xfId="8878" xr:uid="{18F64873-F49F-4D78-9A8D-94BD9D9991D7}"/>
    <cellStyle name="Currency 5 5 2 4 3" xfId="6733" xr:uid="{191BEBF9-8821-474F-8CA0-413FCF4FB7C9}"/>
    <cellStyle name="Currency 5 5 2 5" xfId="2844" xr:uid="{467314FA-580F-4CEA-B19D-0E6BFD1AB14F}"/>
    <cellStyle name="Currency 5 5 2 5 2" xfId="5073" xr:uid="{D815DED6-E12D-44D8-8A2F-B6D2839D51FA}"/>
    <cellStyle name="Currency 5 5 2 5 2 2" xfId="9291" xr:uid="{FF2ABA51-089B-499B-ABFB-0D8514D469BF}"/>
    <cellStyle name="Currency 5 5 2 5 3" xfId="7146" xr:uid="{74F2AB6D-07CD-46BC-89C1-56D68995C71E}"/>
    <cellStyle name="Currency 5 5 2 6" xfId="3279" xr:uid="{8919464F-3707-4E55-9F89-20150FB2429B}"/>
    <cellStyle name="Currency 5 5 2 6 2" xfId="7559" xr:uid="{9154F49F-E9D7-44BE-A2AE-C859543BC47B}"/>
    <cellStyle name="Currency 5 5 2 7" xfId="3576" xr:uid="{6E0B89DE-F9DF-4CBE-B927-F4A4530E8F3A}"/>
    <cellStyle name="Currency 5 5 2 8" xfId="3657" xr:uid="{B9A51053-93B9-4AF0-9DF6-2957BD3F94D2}"/>
    <cellStyle name="Currency 5 5 2 8 2" xfId="7876" xr:uid="{89A5F974-BDB0-45F6-BEC8-AA03D7A31783}"/>
    <cellStyle name="Currency 5 5 2 9" xfId="5493" xr:uid="{5F93DE52-9306-40F7-98C0-79604C7C9546}"/>
    <cellStyle name="Currency 5 5 3" xfId="752" xr:uid="{00000000-0005-0000-0000-00008C010000}"/>
    <cellStyle name="Currency 5 5 3 2" xfId="3833" xr:uid="{17E756A9-633B-4457-B36D-A24B095BB131}"/>
    <cellStyle name="Currency 5 5 3 2 2" xfId="8051" xr:uid="{6094A051-840C-49B3-9355-2331CDA2A865}"/>
    <cellStyle name="Currency 5 5 3 3" xfId="5906" xr:uid="{82B31FAE-6186-4A4D-93EF-317CFCF61464}"/>
    <cellStyle name="Currency 5 5 3 4" xfId="1603" xr:uid="{3B629255-1763-46AF-9653-6DB4D93D87DA}"/>
    <cellStyle name="Currency 5 5 4" xfId="2017" xr:uid="{96E2A622-BCDD-4F86-B416-BBFEA44FBF96}"/>
    <cellStyle name="Currency 5 5 4 2" xfId="4246" xr:uid="{130A722E-7E2C-458B-89E1-677F7DB46E8B}"/>
    <cellStyle name="Currency 5 5 4 2 2" xfId="8464" xr:uid="{F602930B-8B9F-47F4-B3B0-D215A0E10473}"/>
    <cellStyle name="Currency 5 5 4 3" xfId="6319" xr:uid="{60FF67E0-3FB2-4AE2-B6D9-78C7ECEA8AEA}"/>
    <cellStyle name="Currency 5 5 5" xfId="2430" xr:uid="{EB56132E-B1C4-4DAF-9789-8756071728AE}"/>
    <cellStyle name="Currency 5 5 5 2" xfId="4659" xr:uid="{8B182DDD-FECC-4454-9EFD-ABF56E44C2D9}"/>
    <cellStyle name="Currency 5 5 5 2 2" xfId="8877" xr:uid="{E14F2F1D-6712-4BC7-A742-71A64E677544}"/>
    <cellStyle name="Currency 5 5 5 3" xfId="6732" xr:uid="{849DF142-5494-4B46-9998-EFC52BAD02EC}"/>
    <cellStyle name="Currency 5 5 6" xfId="2843" xr:uid="{C0AD0F8F-054A-4D1F-8237-FBB934AECFB1}"/>
    <cellStyle name="Currency 5 5 6 2" xfId="5072" xr:uid="{9868E767-3935-492C-BA77-1907D6DC301F}"/>
    <cellStyle name="Currency 5 5 6 2 2" xfId="9290" xr:uid="{2F75A4C4-B15B-4FD7-B72E-79ACE0D7526C}"/>
    <cellStyle name="Currency 5 5 6 3" xfId="7145" xr:uid="{996C92F9-0D8B-4736-8E83-CE3A35AF0FAC}"/>
    <cellStyle name="Currency 5 5 7" xfId="3278" xr:uid="{28370D84-5511-445D-8109-630C89089EBA}"/>
    <cellStyle name="Currency 5 5 7 2" xfId="7558" xr:uid="{6548C6D9-08B9-45AE-BECD-7CFFC8D60E00}"/>
    <cellStyle name="Currency 5 5 8" xfId="3575" xr:uid="{16925FBD-169D-4F37-885A-6ADA1C453B7B}"/>
    <cellStyle name="Currency 5 5 9" xfId="3656" xr:uid="{6B11FA23-2269-4A1C-A38E-D7FD583D0779}"/>
    <cellStyle name="Currency 5 5 9 2" xfId="7875" xr:uid="{C42F6754-8525-466E-8407-416A2D19AA0B}"/>
    <cellStyle name="Currency 5 6" xfId="222" xr:uid="{00000000-0005-0000-0000-00008D010000}"/>
    <cellStyle name="Currency 5 6 10" xfId="1190" xr:uid="{4311E6F9-5FB8-4C02-AC7F-0A38844FA121}"/>
    <cellStyle name="Currency 5 6 2" xfId="754" xr:uid="{00000000-0005-0000-0000-00008E010000}"/>
    <cellStyle name="Currency 5 6 2 2" xfId="3835" xr:uid="{1499E6FD-9376-43DF-9002-4DE057982BF2}"/>
    <cellStyle name="Currency 5 6 2 2 2" xfId="8053" xr:uid="{4220C5B8-2C28-4FEB-925E-49C7E7BB6998}"/>
    <cellStyle name="Currency 5 6 2 3" xfId="5908" xr:uid="{9364716A-8E96-46C6-B687-2DA259018458}"/>
    <cellStyle name="Currency 5 6 2 4" xfId="1605" xr:uid="{4B31177D-7823-4F88-93C2-A3EC4A44C5BF}"/>
    <cellStyle name="Currency 5 6 3" xfId="2019" xr:uid="{D9109873-56B6-498C-B901-0CAA92ABECFB}"/>
    <cellStyle name="Currency 5 6 3 2" xfId="4248" xr:uid="{2F809DF0-2145-4739-A66D-D56F9B2A0725}"/>
    <cellStyle name="Currency 5 6 3 2 2" xfId="8466" xr:uid="{B3B30F73-BB13-4319-BA77-C87F85C5BD2E}"/>
    <cellStyle name="Currency 5 6 3 3" xfId="6321" xr:uid="{4159B492-86A8-43C4-9E2A-16CEBBD1D3D1}"/>
    <cellStyle name="Currency 5 6 4" xfId="2432" xr:uid="{FC807CAA-6830-41E8-A466-368666A00EAF}"/>
    <cellStyle name="Currency 5 6 4 2" xfId="4661" xr:uid="{260B1459-73F6-4BBB-91DE-7EE3455087EE}"/>
    <cellStyle name="Currency 5 6 4 2 2" xfId="8879" xr:uid="{DE6579B6-16D5-48A5-9A59-1C3C0F5A3D6E}"/>
    <cellStyle name="Currency 5 6 4 3" xfId="6734" xr:uid="{485E50F9-5F70-40CA-A3E4-908C7ADCA61D}"/>
    <cellStyle name="Currency 5 6 5" xfId="2845" xr:uid="{B0D6FC57-E9EB-4F59-9AED-55124EB9420B}"/>
    <cellStyle name="Currency 5 6 5 2" xfId="5074" xr:uid="{860EA933-83B7-47C6-BE38-2ACC359670D5}"/>
    <cellStyle name="Currency 5 6 5 2 2" xfId="9292" xr:uid="{29990117-545B-4983-A80C-3FB9368EA414}"/>
    <cellStyle name="Currency 5 6 5 3" xfId="7147" xr:uid="{70A8C1F0-959C-4D67-81ED-D298EC096C88}"/>
    <cellStyle name="Currency 5 6 6" xfId="3280" xr:uid="{EEF48F76-806B-4CEA-8326-FBD055D41A9F}"/>
    <cellStyle name="Currency 5 6 6 2" xfId="7560" xr:uid="{EFAD8EBC-93C5-4804-BE74-33979A322E49}"/>
    <cellStyle name="Currency 5 6 7" xfId="3577" xr:uid="{0A958D09-E4CC-4DED-B2B9-D84D1A91C835}"/>
    <cellStyle name="Currency 5 6 8" xfId="3658" xr:uid="{0F90F990-60A5-4DF0-9FEF-BE3B07215082}"/>
    <cellStyle name="Currency 5 6 8 2" xfId="7877" xr:uid="{8EC1367D-55C4-484F-9A76-B5939906FC69}"/>
    <cellStyle name="Currency 5 6 9" xfId="5494" xr:uid="{716E3A65-EF98-4321-B2F7-130F96C92807}"/>
    <cellStyle name="Currency 5 7" xfId="223" xr:uid="{00000000-0005-0000-0000-00008F010000}"/>
    <cellStyle name="Currency 5 7 10" xfId="1191" xr:uid="{20A11B98-3C30-4BF4-8F56-2106627C3511}"/>
    <cellStyle name="Currency 5 7 2" xfId="755" xr:uid="{00000000-0005-0000-0000-000090010000}"/>
    <cellStyle name="Currency 5 7 2 2" xfId="3836" xr:uid="{BE8062CB-D92D-438D-90EA-20DE2F1D815E}"/>
    <cellStyle name="Currency 5 7 2 2 2" xfId="8054" xr:uid="{AAA1BD73-AB1F-4FE7-B89F-2D2DF422110A}"/>
    <cellStyle name="Currency 5 7 2 3" xfId="5909" xr:uid="{3EFFD7E4-2F28-4DEA-A71A-80E4BE0B3FD2}"/>
    <cellStyle name="Currency 5 7 2 4" xfId="1606" xr:uid="{C3BA44AF-1534-457F-B872-82FFCAEB9457}"/>
    <cellStyle name="Currency 5 7 3" xfId="2020" xr:uid="{C0CB81FD-50B0-4F67-B7E2-0560731D5633}"/>
    <cellStyle name="Currency 5 7 3 2" xfId="4249" xr:uid="{6687442A-40A0-4F29-B124-C5938C3D2338}"/>
    <cellStyle name="Currency 5 7 3 2 2" xfId="8467" xr:uid="{954FAFAA-04A8-445A-A690-350FCD50BE71}"/>
    <cellStyle name="Currency 5 7 3 3" xfId="6322" xr:uid="{91EFD3F6-7FCC-43E3-B88F-9210C58AD5A3}"/>
    <cellStyle name="Currency 5 7 4" xfId="2433" xr:uid="{C53920D7-45AC-46FC-A8A9-C9425A49F7BC}"/>
    <cellStyle name="Currency 5 7 4 2" xfId="4662" xr:uid="{C386A686-3746-4D34-B48F-F1626924425A}"/>
    <cellStyle name="Currency 5 7 4 2 2" xfId="8880" xr:uid="{E75EF722-8E85-4D5E-BE66-D814FCF9DF21}"/>
    <cellStyle name="Currency 5 7 4 3" xfId="6735" xr:uid="{9B711507-74AD-4F12-AD8B-D5F73E4B5B6C}"/>
    <cellStyle name="Currency 5 7 5" xfId="2846" xr:uid="{38C27F72-69F7-4054-971F-5F1C25C3029F}"/>
    <cellStyle name="Currency 5 7 5 2" xfId="5075" xr:uid="{0330D8F7-0173-4B47-8C9C-5A29ACEB7109}"/>
    <cellStyle name="Currency 5 7 5 2 2" xfId="9293" xr:uid="{0ABB73AC-7C44-4567-9794-B7328F72F84F}"/>
    <cellStyle name="Currency 5 7 5 3" xfId="7148" xr:uid="{DC8B70D4-AE03-4353-8BBE-94C03165F781}"/>
    <cellStyle name="Currency 5 7 6" xfId="3281" xr:uid="{707FBC89-BE92-41BC-B6E2-112A3547F2DF}"/>
    <cellStyle name="Currency 5 7 6 2" xfId="7561" xr:uid="{8DC7341A-180E-4147-9B4A-9BB85F034555}"/>
    <cellStyle name="Currency 5 7 7" xfId="3578" xr:uid="{C978E9CF-092B-46C9-B3C2-FAE56FA1C17A}"/>
    <cellStyle name="Currency 5 7 8" xfId="3659" xr:uid="{00D8E44A-5B3D-42A8-B99C-1926DE818113}"/>
    <cellStyle name="Currency 5 7 8 2" xfId="7878" xr:uid="{FC809FEB-2D17-4551-B571-52FC12713848}"/>
    <cellStyle name="Currency 5 7 9" xfId="5495" xr:uid="{7FE29712-77EC-4E5C-8817-F6BECE1CD596}"/>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3283" xr:uid="{B94A8DD7-56B3-493A-A87C-8CBB23EB3BF4}"/>
    <cellStyle name="Normal 12 10 2" xfId="7562" xr:uid="{A3F04AFE-CA4D-4163-9779-4C03AE1B317D}"/>
    <cellStyle name="Normal 12 11" xfId="5496" xr:uid="{313BC5F4-AB95-4E7A-86BB-E42AF3A740C9}"/>
    <cellStyle name="Normal 12 12" xfId="1192" xr:uid="{907F9EBD-C674-4587-BCA3-9E14294BC055}"/>
    <cellStyle name="Normal 12 2" xfId="262" xr:uid="{00000000-0005-0000-0000-0000C5010000}"/>
    <cellStyle name="Normal 12 2 10" xfId="1193" xr:uid="{070EC2B5-67EE-4CDC-A6D8-2F8FD1063269}"/>
    <cellStyle name="Normal 12 2 2" xfId="263" xr:uid="{00000000-0005-0000-0000-0000C6010000}"/>
    <cellStyle name="Normal 12 2 2 2" xfId="264" xr:uid="{00000000-0005-0000-0000-0000C7010000}"/>
    <cellStyle name="Normal 12 2 2 2 2" xfId="771" xr:uid="{00000000-0005-0000-0000-0000C8010000}"/>
    <cellStyle name="Normal 12 2 2 2 2 2" xfId="3840" xr:uid="{6AB5D37F-7E54-4A0F-B84E-CF548544BACC}"/>
    <cellStyle name="Normal 12 2 2 2 2 2 2" xfId="8058" xr:uid="{3DBB1CE2-F3E0-47BD-84F4-C1CB9BCBF65D}"/>
    <cellStyle name="Normal 12 2 2 2 2 3" xfId="5913" xr:uid="{76740C81-C7A0-490B-AE85-10275073449D}"/>
    <cellStyle name="Normal 12 2 2 2 2 4" xfId="1610" xr:uid="{0EE261B5-C82E-462E-8A5D-34981659060C}"/>
    <cellStyle name="Normal 12 2 2 2 3" xfId="2024" xr:uid="{EB6BE7DE-B67C-4BEB-A6BF-0098782766EB}"/>
    <cellStyle name="Normal 12 2 2 2 3 2" xfId="4253" xr:uid="{5EB04D33-E5FE-4466-9907-A2E306CE259F}"/>
    <cellStyle name="Normal 12 2 2 2 3 2 2" xfId="8471" xr:uid="{827269B8-23F4-44F9-9711-4BC7F4146ED4}"/>
    <cellStyle name="Normal 12 2 2 2 3 3" xfId="6326" xr:uid="{7AE954CE-97F1-4D98-BB40-EB1D2C7357A2}"/>
    <cellStyle name="Normal 12 2 2 2 4" xfId="2437" xr:uid="{DA4EC518-CF90-4747-BF29-B01F931CA7CE}"/>
    <cellStyle name="Normal 12 2 2 2 4 2" xfId="4666" xr:uid="{21B22DDF-B08C-49C5-82BD-70FB529E96EE}"/>
    <cellStyle name="Normal 12 2 2 2 4 2 2" xfId="8884" xr:uid="{E7FD6C8B-5F58-449D-BBE9-F7F3AA2D63B7}"/>
    <cellStyle name="Normal 12 2 2 2 4 3" xfId="6739" xr:uid="{FBD9B109-88D5-48F6-9442-F73145BBB255}"/>
    <cellStyle name="Normal 12 2 2 2 5" xfId="2850" xr:uid="{19758A71-459C-45B8-82F5-2435135CD486}"/>
    <cellStyle name="Normal 12 2 2 2 5 2" xfId="5079" xr:uid="{C1AB39FC-D363-47A3-9C97-5B1FBB276492}"/>
    <cellStyle name="Normal 12 2 2 2 5 2 2" xfId="9297" xr:uid="{5CD82786-E0BA-407E-8553-4F64058EC974}"/>
    <cellStyle name="Normal 12 2 2 2 5 3" xfId="7152" xr:uid="{37AAB2BF-39EC-4356-8778-7B1BCE4FA515}"/>
    <cellStyle name="Normal 12 2 2 2 6" xfId="3286" xr:uid="{8FDA3360-12F1-4DF7-88B6-7C0C43D8E002}"/>
    <cellStyle name="Normal 12 2 2 2 6 2" xfId="7565" xr:uid="{1880E083-87FC-4A50-A7D3-E1F7B098DAD5}"/>
    <cellStyle name="Normal 12 2 2 2 7" xfId="5499" xr:uid="{F45EFCF1-19B6-4934-AA07-CE279B224D66}"/>
    <cellStyle name="Normal 12 2 2 2 8" xfId="1195" xr:uid="{682599EB-804B-4886-9FF6-95EBEDB44EFE}"/>
    <cellStyle name="Normal 12 2 2 3" xfId="770" xr:uid="{00000000-0005-0000-0000-0000C9010000}"/>
    <cellStyle name="Normal 12 2 2 3 2" xfId="3839" xr:uid="{3FE60ED9-67DB-4CFE-BDC6-019CDBEC9F7A}"/>
    <cellStyle name="Normal 12 2 2 3 2 2" xfId="8057" xr:uid="{DE7C8B1D-3B20-4478-A245-043B7AEAC48A}"/>
    <cellStyle name="Normal 12 2 2 3 3" xfId="5912" xr:uid="{7ADF6BA2-BF06-464E-9A81-920792E231CC}"/>
    <cellStyle name="Normal 12 2 2 3 4" xfId="1609" xr:uid="{8E6F21AF-62BF-4408-AAB4-E3CA45F9AFF1}"/>
    <cellStyle name="Normal 12 2 2 4" xfId="2023" xr:uid="{3B724217-05FE-437A-8A04-14A631820B99}"/>
    <cellStyle name="Normal 12 2 2 4 2" xfId="4252" xr:uid="{E996ED21-EA0C-4543-A8CA-7FA2C80221B5}"/>
    <cellStyle name="Normal 12 2 2 4 2 2" xfId="8470" xr:uid="{29CFAECC-29A5-414B-A2A6-C1ACE8C6FD79}"/>
    <cellStyle name="Normal 12 2 2 4 3" xfId="6325" xr:uid="{B6CE9B84-A1AD-4C56-A9D5-4D4112C0D4D9}"/>
    <cellStyle name="Normal 12 2 2 5" xfId="2436" xr:uid="{A7D493CB-8CDF-4AA9-85F1-F01CEC8A9786}"/>
    <cellStyle name="Normal 12 2 2 5 2" xfId="4665" xr:uid="{00DCBE54-604F-4C05-8E30-DD52E08701C9}"/>
    <cellStyle name="Normal 12 2 2 5 2 2" xfId="8883" xr:uid="{805146CF-5729-47F5-977A-14F83074DB10}"/>
    <cellStyle name="Normal 12 2 2 5 3" xfId="6738" xr:uid="{F97BE43A-A402-43F4-BC9F-DBD86FC6708C}"/>
    <cellStyle name="Normal 12 2 2 6" xfId="2849" xr:uid="{1BBA3C49-1C5A-41D5-B653-0FF607AAC9F7}"/>
    <cellStyle name="Normal 12 2 2 6 2" xfId="5078" xr:uid="{B118A18C-F81B-433E-914B-B9D36645D27F}"/>
    <cellStyle name="Normal 12 2 2 6 2 2" xfId="9296" xr:uid="{9A07A928-28F4-449F-8B74-E46B9BDAC9DD}"/>
    <cellStyle name="Normal 12 2 2 6 3" xfId="7151" xr:uid="{0B898B6C-FE01-46D7-A705-56135BAE3181}"/>
    <cellStyle name="Normal 12 2 2 7" xfId="3285" xr:uid="{5AE71936-782C-4938-87AF-9D905DE90245}"/>
    <cellStyle name="Normal 12 2 2 7 2" xfId="7564" xr:uid="{C17217A6-B7C0-4110-8083-E46A0AE565DE}"/>
    <cellStyle name="Normal 12 2 2 8" xfId="5498" xr:uid="{2DFB3A7D-229D-470A-B9A4-90D1F4A7D2E4}"/>
    <cellStyle name="Normal 12 2 2 9" xfId="1194" xr:uid="{0A87AAA3-DF83-4B58-9EAE-94660FC85B84}"/>
    <cellStyle name="Normal 12 2 3" xfId="265" xr:uid="{00000000-0005-0000-0000-0000CA010000}"/>
    <cellStyle name="Normal 12 2 3 2" xfId="772" xr:uid="{00000000-0005-0000-0000-0000CB010000}"/>
    <cellStyle name="Normal 12 2 3 2 2" xfId="3841" xr:uid="{B4BE506E-1789-4520-BEEC-B30425B2B22E}"/>
    <cellStyle name="Normal 12 2 3 2 2 2" xfId="8059" xr:uid="{DA12706E-7C83-4E18-B61C-6EFD7A4DCAC9}"/>
    <cellStyle name="Normal 12 2 3 2 3" xfId="5914" xr:uid="{39D61D65-8127-4113-A6A7-581AE1A79198}"/>
    <cellStyle name="Normal 12 2 3 2 4" xfId="1611" xr:uid="{CA893549-FBF6-4879-ABB8-E9DEEDC63F8C}"/>
    <cellStyle name="Normal 12 2 3 3" xfId="2025" xr:uid="{80EC03AA-4EEF-4E1F-9375-EBFA0D6CE5DD}"/>
    <cellStyle name="Normal 12 2 3 3 2" xfId="4254" xr:uid="{C8E6647D-78AE-4D74-922E-FF292D3FB6E7}"/>
    <cellStyle name="Normal 12 2 3 3 2 2" xfId="8472" xr:uid="{75417285-F8C9-4339-A3C8-42822C54735A}"/>
    <cellStyle name="Normal 12 2 3 3 3" xfId="6327" xr:uid="{1480CEBB-9FC0-430F-A59A-CE88D48EE27C}"/>
    <cellStyle name="Normal 12 2 3 4" xfId="2438" xr:uid="{1E3DEE27-745B-4015-B61C-025BDFBA743E}"/>
    <cellStyle name="Normal 12 2 3 4 2" xfId="4667" xr:uid="{296349A1-6664-4E55-9A47-9EE4D9F0B2E3}"/>
    <cellStyle name="Normal 12 2 3 4 2 2" xfId="8885" xr:uid="{5BC23EC5-D6F1-43DB-B1E0-CD9F7546DFB6}"/>
    <cellStyle name="Normal 12 2 3 4 3" xfId="6740" xr:uid="{BAB79B3B-8957-4678-A205-33C59BCAC221}"/>
    <cellStyle name="Normal 12 2 3 5" xfId="2851" xr:uid="{5CF5296E-5FC8-4C55-A099-DD620F9EDD47}"/>
    <cellStyle name="Normal 12 2 3 5 2" xfId="5080" xr:uid="{9CEA08D9-40DB-45B1-A587-EF17A07FB36C}"/>
    <cellStyle name="Normal 12 2 3 5 2 2" xfId="9298" xr:uid="{42DA5B92-1A66-4BD5-9AAD-77198C98F0D9}"/>
    <cellStyle name="Normal 12 2 3 5 3" xfId="7153" xr:uid="{5731038A-9F90-4C8E-AE5F-BF08F94CF349}"/>
    <cellStyle name="Normal 12 2 3 6" xfId="3287" xr:uid="{4FEEF4F2-23AC-4A36-88BE-447C31D4AB5F}"/>
    <cellStyle name="Normal 12 2 3 6 2" xfId="7566" xr:uid="{B7342396-3AC4-4C06-A4F3-21E20F651B19}"/>
    <cellStyle name="Normal 12 2 3 7" xfId="5500" xr:uid="{096C9552-CFDB-4369-B985-D678E90F9123}"/>
    <cellStyle name="Normal 12 2 3 8" xfId="1196" xr:uid="{F38559F4-C697-4E27-A96C-A668E90C8D13}"/>
    <cellStyle name="Normal 12 2 4" xfId="769" xr:uid="{00000000-0005-0000-0000-0000CC010000}"/>
    <cellStyle name="Normal 12 2 4 2" xfId="3838" xr:uid="{36A43BDB-95DD-4F12-B82B-9EC4885AC2C1}"/>
    <cellStyle name="Normal 12 2 4 2 2" xfId="8056" xr:uid="{67E6706F-2A04-4DEE-B9C2-8611BFF22759}"/>
    <cellStyle name="Normal 12 2 4 3" xfId="5911" xr:uid="{EA353A74-4FE3-4221-965A-2BCC63302D84}"/>
    <cellStyle name="Normal 12 2 4 4" xfId="1608" xr:uid="{CF732C09-19FF-49AE-ADE5-8C9C7688CD69}"/>
    <cellStyle name="Normal 12 2 5" xfId="2022" xr:uid="{0D98BB3E-7595-4547-B92A-40DFDF5D3CAC}"/>
    <cellStyle name="Normal 12 2 5 2" xfId="4251" xr:uid="{65DD8A2F-3FA6-46FC-BE35-A484AFEB795F}"/>
    <cellStyle name="Normal 12 2 5 2 2" xfId="8469" xr:uid="{2F19FD4F-51D4-4694-A787-0FE0D9756B4C}"/>
    <cellStyle name="Normal 12 2 5 3" xfId="6324" xr:uid="{2E9F2CC8-D173-44B9-BDF1-8E4069213AD7}"/>
    <cellStyle name="Normal 12 2 6" xfId="2435" xr:uid="{A6119F33-5F8F-4ADC-AEF9-81F437FCDCEC}"/>
    <cellStyle name="Normal 12 2 6 2" xfId="4664" xr:uid="{8C331C4F-1EF7-4347-A2BF-E14C7D8509B6}"/>
    <cellStyle name="Normal 12 2 6 2 2" xfId="8882" xr:uid="{12415502-8143-44FC-B35E-D0CB76C6C34B}"/>
    <cellStyle name="Normal 12 2 6 3" xfId="6737" xr:uid="{52AD3ADE-D56D-493A-946C-4E94E541ADD3}"/>
    <cellStyle name="Normal 12 2 7" xfId="2848" xr:uid="{41B01FCF-AFF4-4BD5-BD04-E4201D487A89}"/>
    <cellStyle name="Normal 12 2 7 2" xfId="5077" xr:uid="{ED3FC699-1CE8-431E-A9EB-E4C208BDB5C8}"/>
    <cellStyle name="Normal 12 2 7 2 2" xfId="9295" xr:uid="{F4F43EDD-F2D1-4114-A2C3-2C03F058007F}"/>
    <cellStyle name="Normal 12 2 7 3" xfId="7150" xr:uid="{36E58636-D270-4399-A3A4-3C4CE1EDCF85}"/>
    <cellStyle name="Normal 12 2 8" xfId="3284" xr:uid="{CFC1A4B6-C658-4B07-B0F0-E2B464F0288A}"/>
    <cellStyle name="Normal 12 2 8 2" xfId="7563" xr:uid="{C545CEF3-D1A2-489E-BA9A-27DA64DB5CD6}"/>
    <cellStyle name="Normal 12 2 9" xfId="5497" xr:uid="{903082A3-0EA8-4388-83B2-80BCF15B49E5}"/>
    <cellStyle name="Normal 12 3" xfId="266" xr:uid="{00000000-0005-0000-0000-0000CD010000}"/>
    <cellStyle name="Normal 12 3 2" xfId="267" xr:uid="{00000000-0005-0000-0000-0000CE010000}"/>
    <cellStyle name="Normal 12 3 2 2" xfId="774" xr:uid="{00000000-0005-0000-0000-0000CF010000}"/>
    <cellStyle name="Normal 12 3 2 2 2" xfId="3843" xr:uid="{B34F2766-592C-4F94-AA29-CF5FC8BBAADC}"/>
    <cellStyle name="Normal 12 3 2 2 2 2" xfId="8061" xr:uid="{81DA9127-E816-4EDC-88DD-8BB6BBA6F8B3}"/>
    <cellStyle name="Normal 12 3 2 2 3" xfId="5916" xr:uid="{20B1F1CF-94C4-41DD-8426-CCD574BE9FEE}"/>
    <cellStyle name="Normal 12 3 2 2 4" xfId="1613" xr:uid="{224B98A4-9456-4D5A-946E-38E34F8C4AED}"/>
    <cellStyle name="Normal 12 3 2 3" xfId="2027" xr:uid="{BFE8A5E6-049A-4A8C-B516-F79483AA57E1}"/>
    <cellStyle name="Normal 12 3 2 3 2" xfId="4256" xr:uid="{BC7930E7-36D7-4837-92B9-965C35DC3AC9}"/>
    <cellStyle name="Normal 12 3 2 3 2 2" xfId="8474" xr:uid="{C9EDCF0F-C69D-4AD7-8BED-8EA41D8FD15D}"/>
    <cellStyle name="Normal 12 3 2 3 3" xfId="6329" xr:uid="{48AAE39F-9527-4828-801A-15C08D6B2079}"/>
    <cellStyle name="Normal 12 3 2 4" xfId="2440" xr:uid="{B19A7600-ED1B-4546-B220-4370B5C9DC67}"/>
    <cellStyle name="Normal 12 3 2 4 2" xfId="4669" xr:uid="{AED061E2-8F71-4A30-BA9C-A05AECA78A41}"/>
    <cellStyle name="Normal 12 3 2 4 2 2" xfId="8887" xr:uid="{AD339087-4DE2-47CD-A7A6-BB26729BC392}"/>
    <cellStyle name="Normal 12 3 2 4 3" xfId="6742" xr:uid="{2934381B-70EA-4443-A1D0-E5014D426A93}"/>
    <cellStyle name="Normal 12 3 2 5" xfId="2853" xr:uid="{85517316-D983-4D87-9062-1EF4BFA14391}"/>
    <cellStyle name="Normal 12 3 2 5 2" xfId="5082" xr:uid="{DEAA6EE0-72C9-4F18-9C45-B5EEBAD5089C}"/>
    <cellStyle name="Normal 12 3 2 5 2 2" xfId="9300" xr:uid="{2C654170-4DAF-46B1-B43B-29C1EFF586BC}"/>
    <cellStyle name="Normal 12 3 2 5 3" xfId="7155" xr:uid="{488BEC28-BE69-4E51-B572-1FCDAABDD2FA}"/>
    <cellStyle name="Normal 12 3 2 6" xfId="3289" xr:uid="{E5FD3D50-97B7-4A5A-8490-FBD2768457CF}"/>
    <cellStyle name="Normal 12 3 2 6 2" xfId="7568" xr:uid="{8AFC5518-9CF3-4BF6-AD9A-89167E39BF2D}"/>
    <cellStyle name="Normal 12 3 2 7" xfId="5502" xr:uid="{90962278-5288-4242-8799-F5DC71035FED}"/>
    <cellStyle name="Normal 12 3 2 8" xfId="1198" xr:uid="{41C64490-6138-4467-BCF0-E45E9EEB139B}"/>
    <cellStyle name="Normal 12 3 3" xfId="773" xr:uid="{00000000-0005-0000-0000-0000D0010000}"/>
    <cellStyle name="Normal 12 3 3 2" xfId="3842" xr:uid="{8A5A68F3-0A48-441D-A55C-44EC0A8415E3}"/>
    <cellStyle name="Normal 12 3 3 2 2" xfId="8060" xr:uid="{6BBD7AA3-C71B-4E15-8234-8BFED1CAB6EF}"/>
    <cellStyle name="Normal 12 3 3 3" xfId="5915" xr:uid="{78136B57-B2DD-4D6C-8C6C-AF9BD2715547}"/>
    <cellStyle name="Normal 12 3 3 4" xfId="1612" xr:uid="{F8D9FDA0-B583-415D-8E83-B5BDB1F554FD}"/>
    <cellStyle name="Normal 12 3 4" xfId="2026" xr:uid="{4388C7D1-AD17-4F20-93F1-DC998324945B}"/>
    <cellStyle name="Normal 12 3 4 2" xfId="4255" xr:uid="{79EFC0F4-8A52-4AD6-8AED-78C56DFF33D5}"/>
    <cellStyle name="Normal 12 3 4 2 2" xfId="8473" xr:uid="{72100FB0-261B-449D-A04D-AA50C2F284FB}"/>
    <cellStyle name="Normal 12 3 4 3" xfId="6328" xr:uid="{203FC391-3C58-416D-AA38-AC15F03C3C0F}"/>
    <cellStyle name="Normal 12 3 5" xfId="2439" xr:uid="{5CEAE7BA-FC91-4055-A1B8-E8FD707F20B7}"/>
    <cellStyle name="Normal 12 3 5 2" xfId="4668" xr:uid="{50614066-6ECE-491D-9D3B-24DA70728818}"/>
    <cellStyle name="Normal 12 3 5 2 2" xfId="8886" xr:uid="{40D908FE-7F14-4CBE-A56E-660019982A5B}"/>
    <cellStyle name="Normal 12 3 5 3" xfId="6741" xr:uid="{E0BDF00F-0E4F-48F1-92F3-C99E486A12D6}"/>
    <cellStyle name="Normal 12 3 6" xfId="2852" xr:uid="{F2B3E0A9-47DD-4E13-BE26-9F6566AC17F2}"/>
    <cellStyle name="Normal 12 3 6 2" xfId="5081" xr:uid="{B5702339-3400-4862-B4CD-D4B3181C841C}"/>
    <cellStyle name="Normal 12 3 6 2 2" xfId="9299" xr:uid="{91048679-9B3D-41C6-A5E8-A2B019DF837F}"/>
    <cellStyle name="Normal 12 3 6 3" xfId="7154" xr:uid="{2A2AB15D-41D8-46DF-ABA7-68CBDCB00B75}"/>
    <cellStyle name="Normal 12 3 7" xfId="3288" xr:uid="{329312F4-5262-4118-9D27-1E90C1E38707}"/>
    <cellStyle name="Normal 12 3 7 2" xfId="7567" xr:uid="{80E06C28-5C0F-4154-BB38-5241CC36048E}"/>
    <cellStyle name="Normal 12 3 8" xfId="5501" xr:uid="{4351FBAE-C9C3-4DB8-9207-5253ADC71195}"/>
    <cellStyle name="Normal 12 3 9" xfId="1197" xr:uid="{0FF8EF2E-808A-4FF8-850F-4C2974577EBF}"/>
    <cellStyle name="Normal 12 4" xfId="268" xr:uid="{00000000-0005-0000-0000-0000D1010000}"/>
    <cellStyle name="Normal 12 4 2" xfId="775" xr:uid="{00000000-0005-0000-0000-0000D2010000}"/>
    <cellStyle name="Normal 12 4 2 2" xfId="3844" xr:uid="{0DEF8617-0100-4F0C-B1FA-340D26BA99E6}"/>
    <cellStyle name="Normal 12 4 2 2 2" xfId="8062" xr:uid="{95092DAB-EC07-40F8-A9F5-D06F73410C10}"/>
    <cellStyle name="Normal 12 4 2 3" xfId="5917" xr:uid="{92E57581-3871-4714-85DE-844B3E41A8C7}"/>
    <cellStyle name="Normal 12 4 2 4" xfId="1614" xr:uid="{4C2B54B5-23E5-4839-9DDA-D127CF7EF8F7}"/>
    <cellStyle name="Normal 12 4 3" xfId="2028" xr:uid="{BC891361-E035-4DC7-80CF-83A15ED65FC5}"/>
    <cellStyle name="Normal 12 4 3 2" xfId="4257" xr:uid="{AA73BE93-6F25-4161-936B-4F42F74FF064}"/>
    <cellStyle name="Normal 12 4 3 2 2" xfId="8475" xr:uid="{193D0B02-89C5-4358-B9B9-AA8FF6AC5822}"/>
    <cellStyle name="Normal 12 4 3 3" xfId="6330" xr:uid="{10C12F8D-60DC-4D6A-A087-81DF10A62335}"/>
    <cellStyle name="Normal 12 4 4" xfId="2441" xr:uid="{37EC4A23-BC8B-43F7-8091-2F7E8E26F89F}"/>
    <cellStyle name="Normal 12 4 4 2" xfId="4670" xr:uid="{F3922923-D8E2-4CA4-8D24-CB52EB31D6CF}"/>
    <cellStyle name="Normal 12 4 4 2 2" xfId="8888" xr:uid="{7275A451-E9B0-4BCD-A741-0394D7D68E03}"/>
    <cellStyle name="Normal 12 4 4 3" xfId="6743" xr:uid="{52299C40-AC7C-4365-8894-D600E0256BF0}"/>
    <cellStyle name="Normal 12 4 5" xfId="2854" xr:uid="{4B97CD88-224F-4C2D-ADC6-412DEA300EAE}"/>
    <cellStyle name="Normal 12 4 5 2" xfId="5083" xr:uid="{4187D90F-C2B7-4AEC-9C65-62CE15073DA0}"/>
    <cellStyle name="Normal 12 4 5 2 2" xfId="9301" xr:uid="{45BFB1C6-9779-4E97-8145-13AE768C9931}"/>
    <cellStyle name="Normal 12 4 5 3" xfId="7156" xr:uid="{13E4EA3C-F043-4606-A083-37EDF67CA8A6}"/>
    <cellStyle name="Normal 12 4 6" xfId="3290" xr:uid="{E6E6ABA3-FB64-48DF-8171-F7A435C84208}"/>
    <cellStyle name="Normal 12 4 6 2" xfId="7569" xr:uid="{9E5D7CC2-9C5D-4FCD-9CCF-504C696BFF27}"/>
    <cellStyle name="Normal 12 4 7" xfId="5503" xr:uid="{A80DDEF1-B725-40D9-B0E7-789857E0FC4D}"/>
    <cellStyle name="Normal 12 4 8" xfId="1199" xr:uid="{985BE4DD-5B46-49E9-94E7-435D74F91D89}"/>
    <cellStyle name="Normal 12 5" xfId="269" xr:uid="{00000000-0005-0000-0000-0000D3010000}"/>
    <cellStyle name="Normal 12 6" xfId="768" xr:uid="{00000000-0005-0000-0000-0000D4010000}"/>
    <cellStyle name="Normal 12 6 2" xfId="3837" xr:uid="{9D15808C-991E-4531-B1DC-7A3948522FB2}"/>
    <cellStyle name="Normal 12 6 2 2" xfId="8055" xr:uid="{89BCFA73-E0F3-44C5-A035-9178E9D4845E}"/>
    <cellStyle name="Normal 12 6 3" xfId="5910" xr:uid="{00B9A9CD-9F78-4265-A431-EE39F54058D5}"/>
    <cellStyle name="Normal 12 6 4" xfId="1607" xr:uid="{41F69DEA-61D4-4855-8436-EDDE23D67FE8}"/>
    <cellStyle name="Normal 12 7" xfId="2021" xr:uid="{3644936F-63B2-4A24-A9CC-2B2F9D1499C7}"/>
    <cellStyle name="Normal 12 7 2" xfId="4250" xr:uid="{E1C94586-8432-4E42-B5E4-725E498B5FC4}"/>
    <cellStyle name="Normal 12 7 2 2" xfId="8468" xr:uid="{D591605B-CBB1-4CDC-9511-BEEFA349160B}"/>
    <cellStyle name="Normal 12 7 3" xfId="6323" xr:uid="{1F6B4931-8B4D-441C-91B3-BA083BAB11C0}"/>
    <cellStyle name="Normal 12 8" xfId="2434" xr:uid="{EA8A8A0C-4E98-458B-A371-3BA0F0670B21}"/>
    <cellStyle name="Normal 12 8 2" xfId="4663" xr:uid="{04EA5DF7-8A37-4E3F-ACA4-2C7B3B238C3F}"/>
    <cellStyle name="Normal 12 8 2 2" xfId="8881" xr:uid="{73C10093-11AB-43CA-9920-063AAFF1F2B2}"/>
    <cellStyle name="Normal 12 8 3" xfId="6736" xr:uid="{FE1AD8FD-5C00-4A03-8CC2-331DE8E01352}"/>
    <cellStyle name="Normal 12 9" xfId="2847" xr:uid="{0E90EC32-811F-4B91-B1DB-49D476FB5BA8}"/>
    <cellStyle name="Normal 12 9 2" xfId="5076" xr:uid="{D53A53A3-E628-4C3E-9053-13BC7AC6CFAF}"/>
    <cellStyle name="Normal 12 9 2 2" xfId="9294" xr:uid="{EAB989D3-4971-4E3D-B9FB-E1C205583424}"/>
    <cellStyle name="Normal 12 9 3" xfId="7149" xr:uid="{5FC66DD3-7BA1-4E5B-8C1E-8CB08AA1A10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3845" xr:uid="{FDE13ED9-8D24-4074-A5D9-B237D00D8F3D}"/>
    <cellStyle name="Normal 14 2 2 2" xfId="8063" xr:uid="{B8772341-31EF-40CE-80EC-EEF34CE3223E}"/>
    <cellStyle name="Normal 14 2 3" xfId="5918" xr:uid="{927CB077-CBD6-4A19-839F-BBA257BF0EE0}"/>
    <cellStyle name="Normal 14 2 4" xfId="1615" xr:uid="{27CE453D-86F0-4E0A-A76D-94974F8E6262}"/>
    <cellStyle name="Normal 14 3" xfId="2029" xr:uid="{BA22F969-43DB-44E6-B794-181288B7CEA0}"/>
    <cellStyle name="Normal 14 3 2" xfId="4258" xr:uid="{F50A2705-4FCF-45AF-B90D-8A3AFBD9774F}"/>
    <cellStyle name="Normal 14 3 2 2" xfId="8476" xr:uid="{CBD87A02-641C-4C69-B5BB-1E366680CEC0}"/>
    <cellStyle name="Normal 14 3 3" xfId="6331" xr:uid="{08FFFB62-2344-4FBA-93A4-AF48C74EF3AE}"/>
    <cellStyle name="Normal 14 4" xfId="2442" xr:uid="{C493A28A-809B-40B0-8651-D8CDD35251DA}"/>
    <cellStyle name="Normal 14 4 2" xfId="4671" xr:uid="{1AA8AE3C-7E39-4691-8505-E1FF687A8391}"/>
    <cellStyle name="Normal 14 4 2 2" xfId="8889" xr:uid="{4B21CAD6-7E83-4782-BDB0-F6DCC537BE5C}"/>
    <cellStyle name="Normal 14 4 3" xfId="6744" xr:uid="{C8B3866B-B30F-45F2-B9ED-0F0CADD4DFAF}"/>
    <cellStyle name="Normal 14 5" xfId="2855" xr:uid="{9A13249C-525A-4FA7-BC50-2B66AFDD7E5A}"/>
    <cellStyle name="Normal 14 5 2" xfId="5084" xr:uid="{FEBD1513-1A71-4387-8EDD-C5007C569074}"/>
    <cellStyle name="Normal 14 5 2 2" xfId="9302" xr:uid="{4ACFF811-E94B-4D5E-AFF0-E70A2AF470F0}"/>
    <cellStyle name="Normal 14 5 3" xfId="7157" xr:uid="{97476658-0C01-4941-8B1B-2D6BDF9F7ABD}"/>
    <cellStyle name="Normal 14 6" xfId="3291" xr:uid="{37E4CF42-012E-4F97-AC6C-79001874398E}"/>
    <cellStyle name="Normal 14 6 2" xfId="7570" xr:uid="{E6314E27-470F-404F-A02C-BDADFD7D451B}"/>
    <cellStyle name="Normal 14 7" xfId="5504" xr:uid="{E3A86F7A-623C-492D-9218-4B7B12973109}"/>
    <cellStyle name="Normal 14 8" xfId="1200" xr:uid="{7D5978DE-F733-4D30-9D2D-6013BBE17F76}"/>
    <cellStyle name="Normal 15" xfId="575" xr:uid="{00000000-0005-0000-0000-0000D9010000}"/>
    <cellStyle name="Normal 15 2" xfId="5330" xr:uid="{891212D2-55C3-4AA2-A16E-BFA31B2A0798}"/>
    <cellStyle name="Normal 16" xfId="1031" xr:uid="{71555299-3AAE-4757-82DA-EA32672CBCC0}"/>
    <cellStyle name="Normal 16 2" xfId="9547" xr:uid="{DC0235A1-165B-42C1-A7DF-498D65DB1C01}"/>
    <cellStyle name="Normal 16 3" xfId="9550" xr:uid="{293D1BD8-613C-464A-9260-11528FD66CD1}"/>
    <cellStyle name="Normal 16 3 2" xfId="9553" xr:uid="{6C6E73D2-F679-4773-8149-C07523A19498}"/>
    <cellStyle name="Normal 16 3 2 2" xfId="9556" xr:uid="{622098D7-FE68-4A59-95E8-814E245E0A13}"/>
    <cellStyle name="Normal 16 3 2 2 2" xfId="9560" xr:uid="{CA4606AF-5FF3-403A-AAAA-6635EF703C90}"/>
    <cellStyle name="Normal 16 3 2 2 2 2" xfId="9563" xr:uid="{2B930449-E7C0-40BB-84BF-5786D53221A6}"/>
    <cellStyle name="Normal 16 4" xfId="5333" xr:uid="{D1F55BD4-BCBD-422F-A5BC-E60A8D114E20}"/>
    <cellStyle name="Normal 17" xfId="9559" xr:uid="{246526B4-AD66-4542-91A1-9DB42DE22C82}"/>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2856" xr:uid="{B915D60B-5B1D-4B7B-9F8D-A38CCA558719}"/>
    <cellStyle name="Normal 2 4 2 10 2" xfId="5085" xr:uid="{5ECBD27E-CBE5-4678-8AB3-99CBBC4285D7}"/>
    <cellStyle name="Normal 2 4 2 10 2 2" xfId="9303" xr:uid="{E3D8B21A-A26C-4E86-B4C1-8F0235A37053}"/>
    <cellStyle name="Normal 2 4 2 10 3" xfId="7158" xr:uid="{E6B9C195-BB3D-495B-A4E7-1E66586E6BFA}"/>
    <cellStyle name="Normal 2 4 2 11" xfId="3292" xr:uid="{A2EA61F3-EA5C-49CA-93C6-30D66AEE2B06}"/>
    <cellStyle name="Normal 2 4 2 11 2" xfId="7571" xr:uid="{180ABE1E-B198-41E1-9ACE-82A2453D8D1E}"/>
    <cellStyle name="Normal 2 4 2 12" xfId="5505" xr:uid="{1710C41F-4301-484B-A696-96BF60A8977F}"/>
    <cellStyle name="Normal 2 4 2 13" xfId="1201" xr:uid="{91B0925C-1373-4C35-BD35-794378142A67}"/>
    <cellStyle name="Normal 2 4 2 2" xfId="283" xr:uid="{00000000-0005-0000-0000-0000E6010000}"/>
    <cellStyle name="Normal 2 4 2 3" xfId="284" xr:uid="{00000000-0005-0000-0000-0000E7010000}"/>
    <cellStyle name="Normal 2 4 2 3 10" xfId="5506" xr:uid="{15C1DBBF-05AD-4DAF-93F0-13A18238D65C}"/>
    <cellStyle name="Normal 2 4 2 3 11" xfId="1202" xr:uid="{2A3901C5-99D7-4482-A84A-E22317C688DC}"/>
    <cellStyle name="Normal 2 4 2 3 2" xfId="285" xr:uid="{00000000-0005-0000-0000-0000E8010000}"/>
    <cellStyle name="Normal 2 4 2 3 2 10" xfId="1203" xr:uid="{D585D391-EDC3-4713-A048-614AB7AB2C3C}"/>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3850" xr:uid="{C20EADA8-A855-4169-8FBF-CCC9A8EEF22B}"/>
    <cellStyle name="Normal 2 4 2 3 2 2 2 2 2 2" xfId="8068" xr:uid="{50008AA0-F276-4CCD-B12C-DE5EDF3885FA}"/>
    <cellStyle name="Normal 2 4 2 3 2 2 2 2 3" xfId="5923" xr:uid="{D756B5C3-91BB-4D4F-A4A4-1DCA16F5E0B3}"/>
    <cellStyle name="Normal 2 4 2 3 2 2 2 2 4" xfId="1621" xr:uid="{A29C85FC-B04A-4B11-928C-D1F67B8499F6}"/>
    <cellStyle name="Normal 2 4 2 3 2 2 2 3" xfId="2034" xr:uid="{A676A1D5-F279-4388-B542-C5AAD349B647}"/>
    <cellStyle name="Normal 2 4 2 3 2 2 2 3 2" xfId="4263" xr:uid="{4C411F9D-2292-4D15-B452-4B52E5469754}"/>
    <cellStyle name="Normal 2 4 2 3 2 2 2 3 2 2" xfId="8481" xr:uid="{4E1762E0-C2AB-41ED-BF9C-C264B366F236}"/>
    <cellStyle name="Normal 2 4 2 3 2 2 2 3 3" xfId="6336" xr:uid="{541149E4-C51E-466D-AA4C-A77E547F626A}"/>
    <cellStyle name="Normal 2 4 2 3 2 2 2 4" xfId="2447" xr:uid="{D83D8883-F4DC-4629-A265-AF8270395838}"/>
    <cellStyle name="Normal 2 4 2 3 2 2 2 4 2" xfId="4676" xr:uid="{E1E7F800-14F5-4866-9DC0-C6826B5E9398}"/>
    <cellStyle name="Normal 2 4 2 3 2 2 2 4 2 2" xfId="8894" xr:uid="{B31A91CA-1374-4B08-8916-2C0BB4A90E34}"/>
    <cellStyle name="Normal 2 4 2 3 2 2 2 4 3" xfId="6749" xr:uid="{A6B1517E-3649-4472-9887-955329FEA4CF}"/>
    <cellStyle name="Normal 2 4 2 3 2 2 2 5" xfId="2860" xr:uid="{450B2556-0CB7-4C7C-9DC1-3AB180E5ECA5}"/>
    <cellStyle name="Normal 2 4 2 3 2 2 2 5 2" xfId="5089" xr:uid="{CC9F4192-64C1-4558-860F-37FC4EF61C7A}"/>
    <cellStyle name="Normal 2 4 2 3 2 2 2 5 2 2" xfId="9307" xr:uid="{92FD3EA8-092F-4377-A121-18656A68865C}"/>
    <cellStyle name="Normal 2 4 2 3 2 2 2 5 3" xfId="7162" xr:uid="{16CA0ABD-A890-449E-88F6-7DF6102FF318}"/>
    <cellStyle name="Normal 2 4 2 3 2 2 2 6" xfId="3296" xr:uid="{B5E17260-B1A7-4165-B7FC-E76D1B92A229}"/>
    <cellStyle name="Normal 2 4 2 3 2 2 2 6 2" xfId="7575" xr:uid="{E7092D7F-5D2F-4F0D-B222-10935DACAA4D}"/>
    <cellStyle name="Normal 2 4 2 3 2 2 2 7" xfId="5509" xr:uid="{5D25CA2D-7DD3-4B84-BE58-13D15548EEB0}"/>
    <cellStyle name="Normal 2 4 2 3 2 2 2 8" xfId="1205" xr:uid="{7EE90E59-B936-45B9-B5B3-B3AC48C4E09E}"/>
    <cellStyle name="Normal 2 4 2 3 2 2 3" xfId="782" xr:uid="{00000000-0005-0000-0000-0000EC010000}"/>
    <cellStyle name="Normal 2 4 2 3 2 2 3 2" xfId="3849" xr:uid="{C7F0FEE9-A72A-40E9-A20E-27E6E5312713}"/>
    <cellStyle name="Normal 2 4 2 3 2 2 3 2 2" xfId="8067" xr:uid="{EAE5DB85-6BF8-4AEE-B062-E3A099469B97}"/>
    <cellStyle name="Normal 2 4 2 3 2 2 3 3" xfId="5922" xr:uid="{CDEE33FE-45B4-4EC9-A5E4-B8884C0E4891}"/>
    <cellStyle name="Normal 2 4 2 3 2 2 3 4" xfId="1620" xr:uid="{B8856C2D-7A0B-44C9-81DC-322F11473034}"/>
    <cellStyle name="Normal 2 4 2 3 2 2 4" xfId="2033" xr:uid="{2A860219-1C95-4A8D-AEBF-01C21BAA9022}"/>
    <cellStyle name="Normal 2 4 2 3 2 2 4 2" xfId="4262" xr:uid="{D471CEDA-09A3-4897-AF9F-5E37452A6D04}"/>
    <cellStyle name="Normal 2 4 2 3 2 2 4 2 2" xfId="8480" xr:uid="{351D39A2-BA43-4C6F-A8A2-CC86F94006FE}"/>
    <cellStyle name="Normal 2 4 2 3 2 2 4 3" xfId="6335" xr:uid="{46EE770C-1C0B-4C18-82AF-5E778442AF93}"/>
    <cellStyle name="Normal 2 4 2 3 2 2 5" xfId="2446" xr:uid="{C200043D-73FF-4C09-8659-D7F00498E1E6}"/>
    <cellStyle name="Normal 2 4 2 3 2 2 5 2" xfId="4675" xr:uid="{DF7A7599-BA16-4A7E-9325-AF1ECD2029AE}"/>
    <cellStyle name="Normal 2 4 2 3 2 2 5 2 2" xfId="8893" xr:uid="{197B850C-9F10-41F3-8390-0B559625CF24}"/>
    <cellStyle name="Normal 2 4 2 3 2 2 5 3" xfId="6748" xr:uid="{139A2992-D1FE-4742-BEB3-2C8608959D49}"/>
    <cellStyle name="Normal 2 4 2 3 2 2 6" xfId="2859" xr:uid="{1377E0BB-A771-4AB5-90EC-707FBF9441C1}"/>
    <cellStyle name="Normal 2 4 2 3 2 2 6 2" xfId="5088" xr:uid="{35B8DDE8-925F-4302-9371-163C2E7F0055}"/>
    <cellStyle name="Normal 2 4 2 3 2 2 6 2 2" xfId="9306" xr:uid="{FE42A3B8-4F02-4098-92CC-D38B71873B68}"/>
    <cellStyle name="Normal 2 4 2 3 2 2 6 3" xfId="7161" xr:uid="{084926F5-1903-4597-A9A8-E879F158A8CA}"/>
    <cellStyle name="Normal 2 4 2 3 2 2 7" xfId="3295" xr:uid="{7DAEB2B2-C4C5-4652-A37C-8C69912187A6}"/>
    <cellStyle name="Normal 2 4 2 3 2 2 7 2" xfId="7574" xr:uid="{0DF2FD69-28C9-47AC-A7F8-82E1AD8FEEC3}"/>
    <cellStyle name="Normal 2 4 2 3 2 2 8" xfId="5508" xr:uid="{55FB0AA0-07B6-47C7-A18C-890279C02127}"/>
    <cellStyle name="Normal 2 4 2 3 2 2 9" xfId="1204" xr:uid="{F3FCE02B-B61A-47F5-94CD-E6D0C93F0019}"/>
    <cellStyle name="Normal 2 4 2 3 2 3" xfId="288" xr:uid="{00000000-0005-0000-0000-0000ED010000}"/>
    <cellStyle name="Normal 2 4 2 3 2 3 2" xfId="784" xr:uid="{00000000-0005-0000-0000-0000EE010000}"/>
    <cellStyle name="Normal 2 4 2 3 2 3 2 2" xfId="3851" xr:uid="{996A2906-B21F-4AED-B197-DA75CD6F0F19}"/>
    <cellStyle name="Normal 2 4 2 3 2 3 2 2 2" xfId="8069" xr:uid="{F2776DA0-4AC8-4FC8-A533-62C35630E25E}"/>
    <cellStyle name="Normal 2 4 2 3 2 3 2 3" xfId="5924" xr:uid="{A78D6FFC-D35E-4754-A540-AEEA2E8335C5}"/>
    <cellStyle name="Normal 2 4 2 3 2 3 2 4" xfId="1622" xr:uid="{A4E9FC33-AF3D-4CB2-94DE-0FC312F4F567}"/>
    <cellStyle name="Normal 2 4 2 3 2 3 3" xfId="2035" xr:uid="{E88E2203-B85C-4482-80DD-78B8F476314C}"/>
    <cellStyle name="Normal 2 4 2 3 2 3 3 2" xfId="4264" xr:uid="{016A9D45-B831-47E8-BD56-AF4638CAAD62}"/>
    <cellStyle name="Normal 2 4 2 3 2 3 3 2 2" xfId="8482" xr:uid="{43C5854E-5F75-4286-BAF5-53D25BD4EADF}"/>
    <cellStyle name="Normal 2 4 2 3 2 3 3 3" xfId="6337" xr:uid="{6ED60053-D888-441E-A085-7607ED0FF5B7}"/>
    <cellStyle name="Normal 2 4 2 3 2 3 4" xfId="2448" xr:uid="{6E72CC66-0645-4FA2-89B6-F906D0113D84}"/>
    <cellStyle name="Normal 2 4 2 3 2 3 4 2" xfId="4677" xr:uid="{36C9DC70-60A0-49CA-88B3-E80DF6CC034B}"/>
    <cellStyle name="Normal 2 4 2 3 2 3 4 2 2" xfId="8895" xr:uid="{7598CADA-5E1D-4EAA-BE85-BD295B63F16C}"/>
    <cellStyle name="Normal 2 4 2 3 2 3 4 3" xfId="6750" xr:uid="{E7E04B14-2552-4827-8FCD-EA156F2308E0}"/>
    <cellStyle name="Normal 2 4 2 3 2 3 5" xfId="2861" xr:uid="{F7C90C31-9C86-423D-BDD7-A8BD92BF464A}"/>
    <cellStyle name="Normal 2 4 2 3 2 3 5 2" xfId="5090" xr:uid="{9A4E11C3-F8F5-48C9-99CA-57617350C3D9}"/>
    <cellStyle name="Normal 2 4 2 3 2 3 5 2 2" xfId="9308" xr:uid="{5027AC00-2F73-4689-B693-A5AAE7FB1439}"/>
    <cellStyle name="Normal 2 4 2 3 2 3 5 3" xfId="7163" xr:uid="{A42600B1-4646-40DC-83E6-6F83E1908847}"/>
    <cellStyle name="Normal 2 4 2 3 2 3 6" xfId="3297" xr:uid="{2E8F9315-C9F2-4344-B70E-A1F1B08A0487}"/>
    <cellStyle name="Normal 2 4 2 3 2 3 6 2" xfId="7576" xr:uid="{1B6E3CF8-7C44-4588-A2B2-9BB54E4F03C1}"/>
    <cellStyle name="Normal 2 4 2 3 2 3 7" xfId="5510" xr:uid="{259DF65B-6A8E-4699-8F7D-DA9CA3189355}"/>
    <cellStyle name="Normal 2 4 2 3 2 3 8" xfId="1206" xr:uid="{9970D14A-4067-48E0-B2A3-8C60AB351461}"/>
    <cellStyle name="Normal 2 4 2 3 2 4" xfId="781" xr:uid="{00000000-0005-0000-0000-0000EF010000}"/>
    <cellStyle name="Normal 2 4 2 3 2 4 2" xfId="3848" xr:uid="{E716D0F3-1ADB-481C-ABB6-FCB8E6887B36}"/>
    <cellStyle name="Normal 2 4 2 3 2 4 2 2" xfId="8066" xr:uid="{CB8557D9-F9C9-4215-9E3D-E3D23C960BF7}"/>
    <cellStyle name="Normal 2 4 2 3 2 4 3" xfId="5921" xr:uid="{412E7104-595C-4754-8F38-D64A8BBF52D0}"/>
    <cellStyle name="Normal 2 4 2 3 2 4 4" xfId="1619" xr:uid="{024402D1-04F5-4B2C-8E7C-E8FB4155221C}"/>
    <cellStyle name="Normal 2 4 2 3 2 5" xfId="2032" xr:uid="{DB6991F3-E605-42BB-AB86-BB497A99A8E5}"/>
    <cellStyle name="Normal 2 4 2 3 2 5 2" xfId="4261" xr:uid="{658F6AEE-5C06-4976-928E-8666F14117FA}"/>
    <cellStyle name="Normal 2 4 2 3 2 5 2 2" xfId="8479" xr:uid="{AE4C6ACE-0E9C-45B5-9EF4-77D0BFD7A2A1}"/>
    <cellStyle name="Normal 2 4 2 3 2 5 3" xfId="6334" xr:uid="{5494B523-E68E-4ACF-ACF6-8F85BFD53874}"/>
    <cellStyle name="Normal 2 4 2 3 2 6" xfId="2445" xr:uid="{A94DF50A-1AE9-4125-B4DF-76279BF57FAF}"/>
    <cellStyle name="Normal 2 4 2 3 2 6 2" xfId="4674" xr:uid="{CB255A4E-F9F2-47A2-84B1-34440663A449}"/>
    <cellStyle name="Normal 2 4 2 3 2 6 2 2" xfId="8892" xr:uid="{079967EB-6096-4BCC-B657-3CD0E1507B51}"/>
    <cellStyle name="Normal 2 4 2 3 2 6 3" xfId="6747" xr:uid="{8EF3C132-1B4D-44F3-A488-2E7398806F67}"/>
    <cellStyle name="Normal 2 4 2 3 2 7" xfId="2858" xr:uid="{CD086172-C6B2-4DFA-BB11-DE02B24EAAA0}"/>
    <cellStyle name="Normal 2 4 2 3 2 7 2" xfId="5087" xr:uid="{1DB3F289-51E4-406F-9F5B-4D1B036A9EB2}"/>
    <cellStyle name="Normal 2 4 2 3 2 7 2 2" xfId="9305" xr:uid="{421CDD70-8287-47EB-9236-B07CA5F44542}"/>
    <cellStyle name="Normal 2 4 2 3 2 7 3" xfId="7160" xr:uid="{E1969721-E724-4248-9121-CE03B96724E7}"/>
    <cellStyle name="Normal 2 4 2 3 2 8" xfId="3294" xr:uid="{33F639FB-4DC2-4C35-B3D9-88E9B0FF8918}"/>
    <cellStyle name="Normal 2 4 2 3 2 8 2" xfId="7573" xr:uid="{881E345A-D81F-4FF0-B246-3FBD29481741}"/>
    <cellStyle name="Normal 2 4 2 3 2 9" xfId="5507" xr:uid="{F62D36B1-4FCA-40EE-BD00-5A5CC5AAA231}"/>
    <cellStyle name="Normal 2 4 2 3 3" xfId="289" xr:uid="{00000000-0005-0000-0000-0000F0010000}"/>
    <cellStyle name="Normal 2 4 2 3 3 2" xfId="290" xr:uid="{00000000-0005-0000-0000-0000F1010000}"/>
    <cellStyle name="Normal 2 4 2 3 3 2 2" xfId="786" xr:uid="{00000000-0005-0000-0000-0000F2010000}"/>
    <cellStyle name="Normal 2 4 2 3 3 2 2 2" xfId="3853" xr:uid="{B978E958-BF0B-4D3F-AAA5-2F38CC7233AC}"/>
    <cellStyle name="Normal 2 4 2 3 3 2 2 2 2" xfId="8071" xr:uid="{E647670E-A074-4F46-908E-F8E47333D332}"/>
    <cellStyle name="Normal 2 4 2 3 3 2 2 3" xfId="5926" xr:uid="{BCF034BE-3B14-4EDC-9064-3161EC414E3B}"/>
    <cellStyle name="Normal 2 4 2 3 3 2 2 4" xfId="1624" xr:uid="{0CE38561-1399-4363-93F3-19BCA80EF2A9}"/>
    <cellStyle name="Normal 2 4 2 3 3 2 3" xfId="2037" xr:uid="{930B14F7-D767-4A35-89E0-3D9F61FE8B35}"/>
    <cellStyle name="Normal 2 4 2 3 3 2 3 2" xfId="4266" xr:uid="{F89D1E55-A764-45CE-BFC7-4EFCFCA8A8AC}"/>
    <cellStyle name="Normal 2 4 2 3 3 2 3 2 2" xfId="8484" xr:uid="{4CB39CAA-9E39-438F-8ECD-72EE98A4A8F8}"/>
    <cellStyle name="Normal 2 4 2 3 3 2 3 3" xfId="6339" xr:uid="{B3CEA3CD-9BF7-498D-B725-6AA286258F1C}"/>
    <cellStyle name="Normal 2 4 2 3 3 2 4" xfId="2450" xr:uid="{A200FE2C-66E7-4A10-BCCC-42D8E6E56367}"/>
    <cellStyle name="Normal 2 4 2 3 3 2 4 2" xfId="4679" xr:uid="{ACDFEF9F-648B-4099-8F79-E5D83B1A7EF7}"/>
    <cellStyle name="Normal 2 4 2 3 3 2 4 2 2" xfId="8897" xr:uid="{130323EA-F1E8-4C7F-87A6-D7F5B51D2D21}"/>
    <cellStyle name="Normal 2 4 2 3 3 2 4 3" xfId="6752" xr:uid="{FE900A78-6FE1-4B7F-8EDA-CEC0A837AA44}"/>
    <cellStyle name="Normal 2 4 2 3 3 2 5" xfId="2863" xr:uid="{D09A95E1-C6DD-4CC3-B1E3-A043BF6DDE1F}"/>
    <cellStyle name="Normal 2 4 2 3 3 2 5 2" xfId="5092" xr:uid="{0DC80EB9-F394-4417-8CDF-86A5714B58D1}"/>
    <cellStyle name="Normal 2 4 2 3 3 2 5 2 2" xfId="9310" xr:uid="{B692EDA6-1BDC-4CAD-9CCD-2F24212B71DA}"/>
    <cellStyle name="Normal 2 4 2 3 3 2 5 3" xfId="7165" xr:uid="{B9FED141-88B8-4D1A-8147-76529688887C}"/>
    <cellStyle name="Normal 2 4 2 3 3 2 6" xfId="3299" xr:uid="{4A867573-F406-40BF-AA44-6A221C511C8C}"/>
    <cellStyle name="Normal 2 4 2 3 3 2 6 2" xfId="7578" xr:uid="{F7E226E1-F3AC-4E5E-96F5-BFE34911B786}"/>
    <cellStyle name="Normal 2 4 2 3 3 2 7" xfId="5512" xr:uid="{D9248B41-2A09-4ECE-99F1-06ACF001A1C4}"/>
    <cellStyle name="Normal 2 4 2 3 3 2 8" xfId="1208" xr:uid="{597A3231-892A-42F6-BF64-BD559C190A26}"/>
    <cellStyle name="Normal 2 4 2 3 3 3" xfId="785" xr:uid="{00000000-0005-0000-0000-0000F3010000}"/>
    <cellStyle name="Normal 2 4 2 3 3 3 2" xfId="3852" xr:uid="{E4B97330-3466-4FDF-9D7B-C74B7A8B692B}"/>
    <cellStyle name="Normal 2 4 2 3 3 3 2 2" xfId="8070" xr:uid="{F1FA3F78-F5B8-460D-B7A9-92C5E37CC93E}"/>
    <cellStyle name="Normal 2 4 2 3 3 3 3" xfId="5925" xr:uid="{92A81277-6200-4253-A575-6CDCD8F4DE3E}"/>
    <cellStyle name="Normal 2 4 2 3 3 3 4" xfId="1623" xr:uid="{6113CA39-24CA-4B6A-BAC0-8A65E45A4B73}"/>
    <cellStyle name="Normal 2 4 2 3 3 4" xfId="2036" xr:uid="{E52264C4-921C-4BC4-80C4-1A50C6C14CEF}"/>
    <cellStyle name="Normal 2 4 2 3 3 4 2" xfId="4265" xr:uid="{D647F9D2-F405-4D34-AC76-B94514D98BE3}"/>
    <cellStyle name="Normal 2 4 2 3 3 4 2 2" xfId="8483" xr:uid="{2BFA8B0D-61CC-4E30-87AF-9565F6AADD77}"/>
    <cellStyle name="Normal 2 4 2 3 3 4 3" xfId="6338" xr:uid="{2B629813-E58E-4F50-91F3-929AAA0A9318}"/>
    <cellStyle name="Normal 2 4 2 3 3 5" xfId="2449" xr:uid="{B6F45504-B681-4B23-9137-E67101D87D48}"/>
    <cellStyle name="Normal 2 4 2 3 3 5 2" xfId="4678" xr:uid="{489AF5E2-14F3-4A1C-8B35-51FDFCA2497C}"/>
    <cellStyle name="Normal 2 4 2 3 3 5 2 2" xfId="8896" xr:uid="{8615334E-ABA2-44D1-8693-930BF5F81B7B}"/>
    <cellStyle name="Normal 2 4 2 3 3 5 3" xfId="6751" xr:uid="{82AC0041-1D6C-43F3-8D5A-F87DA8E12232}"/>
    <cellStyle name="Normal 2 4 2 3 3 6" xfId="2862" xr:uid="{8CC854CA-F19F-4631-80E0-236B9D154EE1}"/>
    <cellStyle name="Normal 2 4 2 3 3 6 2" xfId="5091" xr:uid="{33E503A9-2EC8-420B-8A66-F89BA4C5F57E}"/>
    <cellStyle name="Normal 2 4 2 3 3 6 2 2" xfId="9309" xr:uid="{93DA1EC1-3760-43EE-8A94-3A9D23355379}"/>
    <cellStyle name="Normal 2 4 2 3 3 6 3" xfId="7164" xr:uid="{D04E1C1C-320A-4C9D-B66A-49F150AC73E9}"/>
    <cellStyle name="Normal 2 4 2 3 3 7" xfId="3298" xr:uid="{32204DE2-9B93-430F-8EDB-C1507068CF3B}"/>
    <cellStyle name="Normal 2 4 2 3 3 7 2" xfId="7577" xr:uid="{5782DB83-5D66-421C-8184-F341C5BB3240}"/>
    <cellStyle name="Normal 2 4 2 3 3 8" xfId="5511" xr:uid="{1C630E8C-C5DE-42C8-BB8B-972BE39F26DC}"/>
    <cellStyle name="Normal 2 4 2 3 3 9" xfId="1207" xr:uid="{DEACCAFD-9052-429A-A216-716DCE19F584}"/>
    <cellStyle name="Normal 2 4 2 3 4" xfId="291" xr:uid="{00000000-0005-0000-0000-0000F4010000}"/>
    <cellStyle name="Normal 2 4 2 3 4 2" xfId="787" xr:uid="{00000000-0005-0000-0000-0000F5010000}"/>
    <cellStyle name="Normal 2 4 2 3 4 2 2" xfId="3854" xr:uid="{3156E833-620F-48C9-AEEF-C827BE47966A}"/>
    <cellStyle name="Normal 2 4 2 3 4 2 2 2" xfId="8072" xr:uid="{0E22D09A-5AE4-479B-9DEB-84A61D656CC0}"/>
    <cellStyle name="Normal 2 4 2 3 4 2 3" xfId="5927" xr:uid="{AC1DF671-9A4D-4065-BA9E-553057DEC03A}"/>
    <cellStyle name="Normal 2 4 2 3 4 2 4" xfId="1625" xr:uid="{7FF66FC3-79A6-4D61-BA6A-0CB048EF2314}"/>
    <cellStyle name="Normal 2 4 2 3 4 3" xfId="2038" xr:uid="{27B0E63F-8FF8-477F-98E2-FBED979F7094}"/>
    <cellStyle name="Normal 2 4 2 3 4 3 2" xfId="4267" xr:uid="{8EB37B5F-0291-4CDA-B9F1-A8E004307277}"/>
    <cellStyle name="Normal 2 4 2 3 4 3 2 2" xfId="8485" xr:uid="{DCE78149-A80E-4787-A9C9-BB998E38AE9A}"/>
    <cellStyle name="Normal 2 4 2 3 4 3 3" xfId="6340" xr:uid="{0940A371-C5D9-4327-988E-7BCC82B91315}"/>
    <cellStyle name="Normal 2 4 2 3 4 4" xfId="2451" xr:uid="{DCF158C0-7545-4D0B-A307-BB2896BBE8C6}"/>
    <cellStyle name="Normal 2 4 2 3 4 4 2" xfId="4680" xr:uid="{F59BD465-6500-4610-A959-EF11F18B3087}"/>
    <cellStyle name="Normal 2 4 2 3 4 4 2 2" xfId="8898" xr:uid="{5E6F5C7D-D856-4C5B-80FB-761F031FBB94}"/>
    <cellStyle name="Normal 2 4 2 3 4 4 3" xfId="6753" xr:uid="{9AC2A071-0647-4516-98D2-F2D3F8FC92DD}"/>
    <cellStyle name="Normal 2 4 2 3 4 5" xfId="2864" xr:uid="{082A5447-36D1-427A-8E6E-F85023DE624D}"/>
    <cellStyle name="Normal 2 4 2 3 4 5 2" xfId="5093" xr:uid="{E1DCC01D-E4D9-407F-BE46-ECC6540D56B8}"/>
    <cellStyle name="Normal 2 4 2 3 4 5 2 2" xfId="9311" xr:uid="{DFC49E45-57E5-4DD9-A313-6202CA9085A4}"/>
    <cellStyle name="Normal 2 4 2 3 4 5 3" xfId="7166" xr:uid="{204571A9-84A6-48F8-A288-E4A8FEE9E7ED}"/>
    <cellStyle name="Normal 2 4 2 3 4 6" xfId="3300" xr:uid="{13A4A00D-49DF-4793-878D-B86E64A50239}"/>
    <cellStyle name="Normal 2 4 2 3 4 6 2" xfId="7579" xr:uid="{90E65853-9A4D-47F4-971A-857BFE5DE012}"/>
    <cellStyle name="Normal 2 4 2 3 4 7" xfId="5513" xr:uid="{01E047DA-6995-42FF-8E9F-3090DF94D8D0}"/>
    <cellStyle name="Normal 2 4 2 3 4 8" xfId="1209" xr:uid="{7A0C51A6-12AE-4870-98A8-8D035951983E}"/>
    <cellStyle name="Normal 2 4 2 3 5" xfId="780" xr:uid="{00000000-0005-0000-0000-0000F6010000}"/>
    <cellStyle name="Normal 2 4 2 3 5 2" xfId="3847" xr:uid="{80D36267-8FF2-492D-8580-A3A7691B7BE5}"/>
    <cellStyle name="Normal 2 4 2 3 5 2 2" xfId="8065" xr:uid="{4C437CDF-11CA-47B0-AFF8-9038041CE5D4}"/>
    <cellStyle name="Normal 2 4 2 3 5 3" xfId="5920" xr:uid="{A52B2CBA-26BD-47DD-80DE-5F512D9D75DA}"/>
    <cellStyle name="Normal 2 4 2 3 5 4" xfId="1618" xr:uid="{45A11527-8B9C-4CD3-9561-864B6EAFA974}"/>
    <cellStyle name="Normal 2 4 2 3 6" xfId="2031" xr:uid="{9D8324F2-73BC-4866-BC49-7C4076A35A2B}"/>
    <cellStyle name="Normal 2 4 2 3 6 2" xfId="4260" xr:uid="{50EC42FE-4BD0-4F4D-9653-87DE886085F0}"/>
    <cellStyle name="Normal 2 4 2 3 6 2 2" xfId="8478" xr:uid="{BE157AEC-B466-4667-9842-15706429CA91}"/>
    <cellStyle name="Normal 2 4 2 3 6 3" xfId="6333" xr:uid="{0A62B397-9693-408C-A096-96F37D6E060F}"/>
    <cellStyle name="Normal 2 4 2 3 7" xfId="2444" xr:uid="{92B3E1CC-2653-4015-B2B1-4CB47BEC2A52}"/>
    <cellStyle name="Normal 2 4 2 3 7 2" xfId="4673" xr:uid="{F2C9E4A0-A09F-43C2-9A50-DA10F63401A6}"/>
    <cellStyle name="Normal 2 4 2 3 7 2 2" xfId="8891" xr:uid="{F9225C5E-C078-4C15-B890-AC2D350F7BE7}"/>
    <cellStyle name="Normal 2 4 2 3 7 3" xfId="6746" xr:uid="{176D8324-BA92-4B11-9271-DBDB00C744A6}"/>
    <cellStyle name="Normal 2 4 2 3 8" xfId="2857" xr:uid="{2C96AFE0-B8B2-4DC4-9868-E6FA57678141}"/>
    <cellStyle name="Normal 2 4 2 3 8 2" xfId="5086" xr:uid="{53C1BDF7-9A78-4F0C-8D7A-8B2F0315F8EC}"/>
    <cellStyle name="Normal 2 4 2 3 8 2 2" xfId="9304" xr:uid="{2DF7F716-D4F6-4995-B292-C9196708AC18}"/>
    <cellStyle name="Normal 2 4 2 3 8 3" xfId="7159" xr:uid="{77D2A632-68E4-45F7-B5C9-6406593241CD}"/>
    <cellStyle name="Normal 2 4 2 3 9" xfId="3293" xr:uid="{A1253540-DFCD-48D8-AE79-E18143B6DEE9}"/>
    <cellStyle name="Normal 2 4 2 3 9 2" xfId="7572" xr:uid="{3712694A-206E-4876-9A78-8A62127ADA8C}"/>
    <cellStyle name="Normal 2 4 2 4" xfId="292" xr:uid="{00000000-0005-0000-0000-0000F7010000}"/>
    <cellStyle name="Normal 2 4 2 4 10" xfId="1210" xr:uid="{C44BE4EA-2A01-4EAA-8292-3111CC92FCC9}"/>
    <cellStyle name="Normal 2 4 2 4 2" xfId="293" xr:uid="{00000000-0005-0000-0000-0000F8010000}"/>
    <cellStyle name="Normal 2 4 2 4 2 2" xfId="294" xr:uid="{00000000-0005-0000-0000-0000F9010000}"/>
    <cellStyle name="Normal 2 4 2 4 2 2 2" xfId="790" xr:uid="{00000000-0005-0000-0000-0000FA010000}"/>
    <cellStyle name="Normal 2 4 2 4 2 2 2 2" xfId="3857" xr:uid="{7582D384-E845-4EEE-A1FD-1835D2925AD0}"/>
    <cellStyle name="Normal 2 4 2 4 2 2 2 2 2" xfId="8075" xr:uid="{51AC2EFE-77F4-4315-91B1-D754FDCEDFBE}"/>
    <cellStyle name="Normal 2 4 2 4 2 2 2 3" xfId="5930" xr:uid="{C1D4A517-C961-4AB1-8046-D7D7DB42306D}"/>
    <cellStyle name="Normal 2 4 2 4 2 2 2 4" xfId="1628" xr:uid="{A3B2DFF6-4F09-43DE-B135-F0A1F49D98F5}"/>
    <cellStyle name="Normal 2 4 2 4 2 2 3" xfId="2041" xr:uid="{74311756-7F32-479E-838B-A1709A7F8CD1}"/>
    <cellStyle name="Normal 2 4 2 4 2 2 3 2" xfId="4270" xr:uid="{76EE80AE-C14E-4FAC-AC35-2A697A9CF97D}"/>
    <cellStyle name="Normal 2 4 2 4 2 2 3 2 2" xfId="8488" xr:uid="{6086913A-83B4-40C0-B724-441996C6BB40}"/>
    <cellStyle name="Normal 2 4 2 4 2 2 3 3" xfId="6343" xr:uid="{500C3501-7EBD-431A-A8CF-F061464D159E}"/>
    <cellStyle name="Normal 2 4 2 4 2 2 4" xfId="2454" xr:uid="{5000547D-6B9E-4598-9D79-E4063946A63A}"/>
    <cellStyle name="Normal 2 4 2 4 2 2 4 2" xfId="4683" xr:uid="{4EB98B5E-8737-4993-8B9F-B5E60A30C646}"/>
    <cellStyle name="Normal 2 4 2 4 2 2 4 2 2" xfId="8901" xr:uid="{864DF243-7BCA-48E5-B2A1-094FD4132A89}"/>
    <cellStyle name="Normal 2 4 2 4 2 2 4 3" xfId="6756" xr:uid="{00C854BD-1A07-45A2-BA4C-3DC79A0C4FD2}"/>
    <cellStyle name="Normal 2 4 2 4 2 2 5" xfId="2867" xr:uid="{8A19F914-8F46-4305-AB96-B5C661FE518C}"/>
    <cellStyle name="Normal 2 4 2 4 2 2 5 2" xfId="5096" xr:uid="{911B6BFA-E4CB-49F4-93C2-B2E01C71F982}"/>
    <cellStyle name="Normal 2 4 2 4 2 2 5 2 2" xfId="9314" xr:uid="{D9D00AA4-4B90-4610-A6FB-4C753847E198}"/>
    <cellStyle name="Normal 2 4 2 4 2 2 5 3" xfId="7169" xr:uid="{5B1CAF84-972D-4350-A598-B5A91F32CB8D}"/>
    <cellStyle name="Normal 2 4 2 4 2 2 6" xfId="3303" xr:uid="{17D17E66-A34B-4D91-8502-49B483D181F0}"/>
    <cellStyle name="Normal 2 4 2 4 2 2 6 2" xfId="7582" xr:uid="{2BEB2298-D6E4-4C2F-A030-E73841DF8FD4}"/>
    <cellStyle name="Normal 2 4 2 4 2 2 7" xfId="5516" xr:uid="{528FAC00-3B18-46E5-9200-6E242831366D}"/>
    <cellStyle name="Normal 2 4 2 4 2 2 8" xfId="1212" xr:uid="{CA304F51-DFD6-4B66-8107-FAFE13DBC45B}"/>
    <cellStyle name="Normal 2 4 2 4 2 3" xfId="789" xr:uid="{00000000-0005-0000-0000-0000FB010000}"/>
    <cellStyle name="Normal 2 4 2 4 2 3 2" xfId="3856" xr:uid="{0E31D420-A963-4E6A-9619-6656DFD6E71C}"/>
    <cellStyle name="Normal 2 4 2 4 2 3 2 2" xfId="8074" xr:uid="{D7751EF8-27E0-4D32-B779-47DFCAA59A3A}"/>
    <cellStyle name="Normal 2 4 2 4 2 3 3" xfId="5929" xr:uid="{1FAAE0A3-BC07-4B71-A45E-708CDE2E67A7}"/>
    <cellStyle name="Normal 2 4 2 4 2 3 4" xfId="1627" xr:uid="{67D49F98-5C29-42F0-A78C-9B1585C90A4D}"/>
    <cellStyle name="Normal 2 4 2 4 2 4" xfId="2040" xr:uid="{1224907E-7FAD-4B2C-AAFC-DED239ABC904}"/>
    <cellStyle name="Normal 2 4 2 4 2 4 2" xfId="4269" xr:uid="{E464FBCB-74E4-429C-B465-189850B13E12}"/>
    <cellStyle name="Normal 2 4 2 4 2 4 2 2" xfId="8487" xr:uid="{CA5810EA-0CF0-47EF-BC25-AD046A30DAE6}"/>
    <cellStyle name="Normal 2 4 2 4 2 4 3" xfId="6342" xr:uid="{07F7BCAC-5075-4E19-A697-0AA125F6556F}"/>
    <cellStyle name="Normal 2 4 2 4 2 5" xfId="2453" xr:uid="{2050B0F2-E65D-45E6-AC5E-6CA84117967D}"/>
    <cellStyle name="Normal 2 4 2 4 2 5 2" xfId="4682" xr:uid="{02577B2C-CC5F-429B-BEDF-ABF3EFE8B4C1}"/>
    <cellStyle name="Normal 2 4 2 4 2 5 2 2" xfId="8900" xr:uid="{9991A864-7E2C-4E66-84DE-9C769F20B259}"/>
    <cellStyle name="Normal 2 4 2 4 2 5 3" xfId="6755" xr:uid="{BB7D2800-10A6-4DCF-9DA8-7E207617BDE1}"/>
    <cellStyle name="Normal 2 4 2 4 2 6" xfId="2866" xr:uid="{BB38ACDF-1624-4B42-97E3-A9B0FE88E14C}"/>
    <cellStyle name="Normal 2 4 2 4 2 6 2" xfId="5095" xr:uid="{A5EBBC75-54A6-4AFD-B729-54F2B559E01D}"/>
    <cellStyle name="Normal 2 4 2 4 2 6 2 2" xfId="9313" xr:uid="{DFE02D4D-949B-44E9-A20A-91AE174FE554}"/>
    <cellStyle name="Normal 2 4 2 4 2 6 3" xfId="7168" xr:uid="{DDF3B51F-DD1F-466A-AF47-867FFDB94104}"/>
    <cellStyle name="Normal 2 4 2 4 2 7" xfId="3302" xr:uid="{DE62F509-BD4E-42DE-85C3-E861EE1D923D}"/>
    <cellStyle name="Normal 2 4 2 4 2 7 2" xfId="7581" xr:uid="{E7896BC3-E341-45E4-A691-AC324E9BA644}"/>
    <cellStyle name="Normal 2 4 2 4 2 8" xfId="5515" xr:uid="{419AECE2-DBD6-4213-893D-AEC84C1A3C76}"/>
    <cellStyle name="Normal 2 4 2 4 2 9" xfId="1211" xr:uid="{8D08A1E5-75DF-4C72-A43B-04DDBE3BAA4E}"/>
    <cellStyle name="Normal 2 4 2 4 3" xfId="295" xr:uid="{00000000-0005-0000-0000-0000FC010000}"/>
    <cellStyle name="Normal 2 4 2 4 3 2" xfId="791" xr:uid="{00000000-0005-0000-0000-0000FD010000}"/>
    <cellStyle name="Normal 2 4 2 4 3 2 2" xfId="3858" xr:uid="{FCE59D41-AC8F-4C50-9EF4-F18C5B56F4C4}"/>
    <cellStyle name="Normal 2 4 2 4 3 2 2 2" xfId="8076" xr:uid="{BBD9BB10-6D9A-41EE-B053-1EE653E78640}"/>
    <cellStyle name="Normal 2 4 2 4 3 2 3" xfId="5931" xr:uid="{C91687AE-9CFB-4FDD-9C17-D44688C73050}"/>
    <cellStyle name="Normal 2 4 2 4 3 2 4" xfId="1629" xr:uid="{A99F15F1-8330-4CA2-8363-8E46EC226C2D}"/>
    <cellStyle name="Normal 2 4 2 4 3 3" xfId="2042" xr:uid="{6A3F7096-33A0-4803-B596-90ECEA4A3184}"/>
    <cellStyle name="Normal 2 4 2 4 3 3 2" xfId="4271" xr:uid="{F6524A8C-ED41-4747-BEA0-E9228DAED057}"/>
    <cellStyle name="Normal 2 4 2 4 3 3 2 2" xfId="8489" xr:uid="{28AA27C9-3CA7-4CE7-95FE-2F96967E2DA4}"/>
    <cellStyle name="Normal 2 4 2 4 3 3 3" xfId="6344" xr:uid="{040E8472-F312-4882-970A-FA241825D5D0}"/>
    <cellStyle name="Normal 2 4 2 4 3 4" xfId="2455" xr:uid="{D470810C-518D-41B0-87F0-D1B5C61B3F86}"/>
    <cellStyle name="Normal 2 4 2 4 3 4 2" xfId="4684" xr:uid="{D48568E3-9AC2-437B-8E3E-22EAB823696F}"/>
    <cellStyle name="Normal 2 4 2 4 3 4 2 2" xfId="8902" xr:uid="{4FCE64EC-CAA3-4EA4-AF43-A3D0350E40B9}"/>
    <cellStyle name="Normal 2 4 2 4 3 4 3" xfId="6757" xr:uid="{0F747CAB-60DB-435D-B18A-6A1EAEF81F4E}"/>
    <cellStyle name="Normal 2 4 2 4 3 5" xfId="2868" xr:uid="{E185F8E0-DDC0-4FF8-B920-66FFB7460C43}"/>
    <cellStyle name="Normal 2 4 2 4 3 5 2" xfId="5097" xr:uid="{6B956CA2-444D-4935-9111-587A32B29EFB}"/>
    <cellStyle name="Normal 2 4 2 4 3 5 2 2" xfId="9315" xr:uid="{28953375-BE5C-44B0-828D-25FBA0F94E0F}"/>
    <cellStyle name="Normal 2 4 2 4 3 5 3" xfId="7170" xr:uid="{97428929-ECD2-4D5F-A460-88B946096014}"/>
    <cellStyle name="Normal 2 4 2 4 3 6" xfId="3304" xr:uid="{ADFF8A43-DF36-4B41-A464-2B973F763E4F}"/>
    <cellStyle name="Normal 2 4 2 4 3 6 2" xfId="7583" xr:uid="{ADA7C87D-0BA8-40B0-9EE1-8134ABD49388}"/>
    <cellStyle name="Normal 2 4 2 4 3 7" xfId="5517" xr:uid="{9780C83A-66B9-457C-9FC2-99290FC27744}"/>
    <cellStyle name="Normal 2 4 2 4 3 8" xfId="1213" xr:uid="{ED00F2E5-4FAF-479F-9550-1C912EFDD942}"/>
    <cellStyle name="Normal 2 4 2 4 4" xfId="788" xr:uid="{00000000-0005-0000-0000-0000FE010000}"/>
    <cellStyle name="Normal 2 4 2 4 4 2" xfId="3855" xr:uid="{72E86041-06A8-48FD-AF88-BB4E5147D33B}"/>
    <cellStyle name="Normal 2 4 2 4 4 2 2" xfId="8073" xr:uid="{3C076C66-3751-4766-AFC7-E5418493692B}"/>
    <cellStyle name="Normal 2 4 2 4 4 3" xfId="5928" xr:uid="{F282D67E-5FE1-44BB-A2C6-202525B2682A}"/>
    <cellStyle name="Normal 2 4 2 4 4 4" xfId="1626" xr:uid="{B3E14E8C-5D29-40F0-BAFB-63AEA1109812}"/>
    <cellStyle name="Normal 2 4 2 4 5" xfId="2039" xr:uid="{65038B50-1328-4567-91A6-CDA3B1C1AB74}"/>
    <cellStyle name="Normal 2 4 2 4 5 2" xfId="4268" xr:uid="{D8AA1CCF-5E3A-4201-9CAF-5403694A0141}"/>
    <cellStyle name="Normal 2 4 2 4 5 2 2" xfId="8486" xr:uid="{469F1FE1-6171-4CF7-B916-AB307577C5AC}"/>
    <cellStyle name="Normal 2 4 2 4 5 3" xfId="6341" xr:uid="{67E2C444-FC1A-48FE-BDA4-6CACF3AA6E4C}"/>
    <cellStyle name="Normal 2 4 2 4 6" xfId="2452" xr:uid="{284E7F09-D621-4D14-A1F2-DA212E53C6A3}"/>
    <cellStyle name="Normal 2 4 2 4 6 2" xfId="4681" xr:uid="{6021021F-3389-4660-9FB2-3A72B29DAC9C}"/>
    <cellStyle name="Normal 2 4 2 4 6 2 2" xfId="8899" xr:uid="{25BE2F82-1A29-4A5F-985A-CEC4108F0C57}"/>
    <cellStyle name="Normal 2 4 2 4 6 3" xfId="6754" xr:uid="{A26387E3-766C-4E48-89BD-12268C9FF26B}"/>
    <cellStyle name="Normal 2 4 2 4 7" xfId="2865" xr:uid="{E136FE07-5861-47B1-8E52-6BC3A2CA30E2}"/>
    <cellStyle name="Normal 2 4 2 4 7 2" xfId="5094" xr:uid="{5A262598-0D77-4F44-BC9C-0ADF10A457D0}"/>
    <cellStyle name="Normal 2 4 2 4 7 2 2" xfId="9312" xr:uid="{26FC5B99-ACDB-4608-A885-CAA43B5459C9}"/>
    <cellStyle name="Normal 2 4 2 4 7 3" xfId="7167" xr:uid="{977D3AD9-72FC-49C8-BDA4-8CA17F11951A}"/>
    <cellStyle name="Normal 2 4 2 4 8" xfId="3301" xr:uid="{636EDCB4-1D83-4DD0-B2E7-0727D9101FFC}"/>
    <cellStyle name="Normal 2 4 2 4 8 2" xfId="7580" xr:uid="{389A4669-ED4C-461D-9D5A-5728825D463E}"/>
    <cellStyle name="Normal 2 4 2 4 9" xfId="5514" xr:uid="{1323DFDF-1C59-4FA4-B820-84ECDFF35B45}"/>
    <cellStyle name="Normal 2 4 2 5" xfId="296" xr:uid="{00000000-0005-0000-0000-0000FF010000}"/>
    <cellStyle name="Normal 2 4 2 5 2" xfId="297" xr:uid="{00000000-0005-0000-0000-000000020000}"/>
    <cellStyle name="Normal 2 4 2 5 2 2" xfId="793" xr:uid="{00000000-0005-0000-0000-000001020000}"/>
    <cellStyle name="Normal 2 4 2 5 2 2 2" xfId="3860" xr:uid="{B817ECBA-CDDC-4DAB-842A-7BE29407EF4B}"/>
    <cellStyle name="Normal 2 4 2 5 2 2 2 2" xfId="8078" xr:uid="{9944BC08-165B-4C51-A7E4-EF340BB9DD50}"/>
    <cellStyle name="Normal 2 4 2 5 2 2 3" xfId="5933" xr:uid="{6E9D3467-8F69-4004-8F83-BB91093B42E0}"/>
    <cellStyle name="Normal 2 4 2 5 2 2 4" xfId="1631" xr:uid="{9869FBA9-95B1-4AF2-9F56-A12EA3A78C92}"/>
    <cellStyle name="Normal 2 4 2 5 2 3" xfId="2044" xr:uid="{E4E5CBF7-17A2-4454-8528-067BFD0238DA}"/>
    <cellStyle name="Normal 2 4 2 5 2 3 2" xfId="4273" xr:uid="{8E9BA162-17D7-478C-97E7-98BBC9294DA3}"/>
    <cellStyle name="Normal 2 4 2 5 2 3 2 2" xfId="8491" xr:uid="{1C69D75F-A698-4848-B3B5-96E1802981E1}"/>
    <cellStyle name="Normal 2 4 2 5 2 3 3" xfId="6346" xr:uid="{50487704-D7F4-40CD-A245-C346CDA52629}"/>
    <cellStyle name="Normal 2 4 2 5 2 4" xfId="2457" xr:uid="{ED1306E6-A2DA-404A-8A5C-54E1CB127BF1}"/>
    <cellStyle name="Normal 2 4 2 5 2 4 2" xfId="4686" xr:uid="{F137F857-EE8A-4ECB-A089-887BCACA1996}"/>
    <cellStyle name="Normal 2 4 2 5 2 4 2 2" xfId="8904" xr:uid="{8CD044E2-3C0B-4A89-B7E6-B24C79E8899D}"/>
    <cellStyle name="Normal 2 4 2 5 2 4 3" xfId="6759" xr:uid="{DD7A8473-A269-49BC-9462-1CCA574E4496}"/>
    <cellStyle name="Normal 2 4 2 5 2 5" xfId="2870" xr:uid="{EA48400E-B6F4-44AC-9D0A-40CB5ECD42FC}"/>
    <cellStyle name="Normal 2 4 2 5 2 5 2" xfId="5099" xr:uid="{0637C91E-3AC9-4C0B-85CC-2AC7370BF5A5}"/>
    <cellStyle name="Normal 2 4 2 5 2 5 2 2" xfId="9317" xr:uid="{1724A1C0-522F-45FB-9A3E-5936C34FB6DB}"/>
    <cellStyle name="Normal 2 4 2 5 2 5 3" xfId="7172" xr:uid="{EB99F8A4-7DBC-4976-BB42-639DBC448BA6}"/>
    <cellStyle name="Normal 2 4 2 5 2 6" xfId="3306" xr:uid="{539EAA37-D04F-479B-BBFF-29DA5E456CC1}"/>
    <cellStyle name="Normal 2 4 2 5 2 6 2" xfId="7585" xr:uid="{2664CE6A-CF7E-483F-BB50-B6E976F5AFE6}"/>
    <cellStyle name="Normal 2 4 2 5 2 7" xfId="5519" xr:uid="{ECDAD469-B1B9-4AA4-8A81-33BC1CC0FAF7}"/>
    <cellStyle name="Normal 2 4 2 5 2 8" xfId="1215" xr:uid="{28C08A21-A520-4E2D-B0E2-053B66A50402}"/>
    <cellStyle name="Normal 2 4 2 5 3" xfId="792" xr:uid="{00000000-0005-0000-0000-000002020000}"/>
    <cellStyle name="Normal 2 4 2 5 3 2" xfId="3859" xr:uid="{16B0E44E-3DA5-49D3-8D1A-818E7F18E002}"/>
    <cellStyle name="Normal 2 4 2 5 3 2 2" xfId="8077" xr:uid="{4F762378-835B-4864-9414-3F0303D6F3DC}"/>
    <cellStyle name="Normal 2 4 2 5 3 3" xfId="5932" xr:uid="{B5E0EB85-B4C7-461A-9B9C-0535EAF73C7D}"/>
    <cellStyle name="Normal 2 4 2 5 3 4" xfId="1630" xr:uid="{A2C3F935-8014-4222-A70B-F5D32F75AD97}"/>
    <cellStyle name="Normal 2 4 2 5 4" xfId="2043" xr:uid="{7DF32A99-57C5-4AB7-B614-B19DCE6F3A9C}"/>
    <cellStyle name="Normal 2 4 2 5 4 2" xfId="4272" xr:uid="{95507557-E493-4C55-BBEA-6BA4EFE747AD}"/>
    <cellStyle name="Normal 2 4 2 5 4 2 2" xfId="8490" xr:uid="{F3BC5719-45D7-4EE3-B068-9B6B822E8B0F}"/>
    <cellStyle name="Normal 2 4 2 5 4 3" xfId="6345" xr:uid="{40B80B41-6C87-4609-B7F5-EBA0CFF30DC2}"/>
    <cellStyle name="Normal 2 4 2 5 5" xfId="2456" xr:uid="{FD69CB78-CE03-4931-BE31-425BA723F950}"/>
    <cellStyle name="Normal 2 4 2 5 5 2" xfId="4685" xr:uid="{28C8AC7B-30F9-40DC-87DD-7336313F200E}"/>
    <cellStyle name="Normal 2 4 2 5 5 2 2" xfId="8903" xr:uid="{924F2139-B32C-4C09-9B58-0E47C54CB027}"/>
    <cellStyle name="Normal 2 4 2 5 5 3" xfId="6758" xr:uid="{8FC7BCE1-26E3-49FA-8232-377460BF5293}"/>
    <cellStyle name="Normal 2 4 2 5 6" xfId="2869" xr:uid="{B0F1ADDC-3C74-438A-8703-D0059AB30AA9}"/>
    <cellStyle name="Normal 2 4 2 5 6 2" xfId="5098" xr:uid="{AF10F5FD-25A6-4F7E-91B9-3B968666FEDC}"/>
    <cellStyle name="Normal 2 4 2 5 6 2 2" xfId="9316" xr:uid="{8CC9B491-4327-43CF-8734-871DE60445B6}"/>
    <cellStyle name="Normal 2 4 2 5 6 3" xfId="7171" xr:uid="{BA834096-0696-424D-AFCE-20E5E8E2C2A4}"/>
    <cellStyle name="Normal 2 4 2 5 7" xfId="3305" xr:uid="{E015418E-BD4B-43E9-9381-8047F83CB315}"/>
    <cellStyle name="Normal 2 4 2 5 7 2" xfId="7584" xr:uid="{DCC331B7-38D0-4EBD-8329-39651B4195E1}"/>
    <cellStyle name="Normal 2 4 2 5 8" xfId="5518" xr:uid="{DC5811F0-4CE1-4782-B24A-0E8002BEF85F}"/>
    <cellStyle name="Normal 2 4 2 5 9" xfId="1214" xr:uid="{768F9A65-E58D-4F22-8CC2-CEA0C6A58352}"/>
    <cellStyle name="Normal 2 4 2 6" xfId="298" xr:uid="{00000000-0005-0000-0000-000003020000}"/>
    <cellStyle name="Normal 2 4 2 6 2" xfId="794" xr:uid="{00000000-0005-0000-0000-000004020000}"/>
    <cellStyle name="Normal 2 4 2 6 2 2" xfId="3861" xr:uid="{619C6987-038B-4F1D-B1E8-8A805ECF3448}"/>
    <cellStyle name="Normal 2 4 2 6 2 2 2" xfId="8079" xr:uid="{2007D367-4721-4696-84A1-B39D1CEE8B87}"/>
    <cellStyle name="Normal 2 4 2 6 2 3" xfId="5934" xr:uid="{DF50E7F0-120B-4EBB-9EAE-C4AF0A681582}"/>
    <cellStyle name="Normal 2 4 2 6 2 4" xfId="1632" xr:uid="{8BE7B931-C173-4584-9C1D-C0D433F69B9B}"/>
    <cellStyle name="Normal 2 4 2 6 3" xfId="2045" xr:uid="{7F366617-1F12-43EE-A2D5-4737E06EE4C9}"/>
    <cellStyle name="Normal 2 4 2 6 3 2" xfId="4274" xr:uid="{F9C29738-0889-4D60-BA0B-7994E748400C}"/>
    <cellStyle name="Normal 2 4 2 6 3 2 2" xfId="8492" xr:uid="{ED4B646E-C51D-4909-88D7-A64C36C2BB5E}"/>
    <cellStyle name="Normal 2 4 2 6 3 3" xfId="6347" xr:uid="{9C0E3D70-F639-4360-B12B-1C7569A72E1B}"/>
    <cellStyle name="Normal 2 4 2 6 4" xfId="2458" xr:uid="{0B84EEB6-ECB9-47BB-A8CB-A67D1FD09EF6}"/>
    <cellStyle name="Normal 2 4 2 6 4 2" xfId="4687" xr:uid="{4EFCE81A-9DCA-43FC-96BF-412D83C2726A}"/>
    <cellStyle name="Normal 2 4 2 6 4 2 2" xfId="8905" xr:uid="{7D04B9C1-8031-4906-82F1-A379E920906E}"/>
    <cellStyle name="Normal 2 4 2 6 4 3" xfId="6760" xr:uid="{FC9FE597-7008-42B2-9BA3-177B918034A0}"/>
    <cellStyle name="Normal 2 4 2 6 5" xfId="2871" xr:uid="{1E378DFE-7260-49F5-B25D-246E9AB4F5E3}"/>
    <cellStyle name="Normal 2 4 2 6 5 2" xfId="5100" xr:uid="{143824D1-C335-4161-9E14-60C580DD074D}"/>
    <cellStyle name="Normal 2 4 2 6 5 2 2" xfId="9318" xr:uid="{B6746550-B98E-433E-9AA9-4091A74E0ACC}"/>
    <cellStyle name="Normal 2 4 2 6 5 3" xfId="7173" xr:uid="{F8B7E010-CA17-463B-9D68-F515897B3CF8}"/>
    <cellStyle name="Normal 2 4 2 6 6" xfId="3307" xr:uid="{42EE6E7F-F35E-4CCB-930B-94A830FF0A43}"/>
    <cellStyle name="Normal 2 4 2 6 6 2" xfId="7586" xr:uid="{57A10E49-8A2B-469C-BDB0-42352580EA40}"/>
    <cellStyle name="Normal 2 4 2 6 7" xfId="5520" xr:uid="{9F25F060-4247-4C23-9C43-04889C3E87FD}"/>
    <cellStyle name="Normal 2 4 2 6 8" xfId="1216" xr:uid="{62C0ACE3-9D7A-493E-99D3-076F1795A88C}"/>
    <cellStyle name="Normal 2 4 2 7" xfId="779" xr:uid="{00000000-0005-0000-0000-000005020000}"/>
    <cellStyle name="Normal 2 4 2 7 2" xfId="3846" xr:uid="{9E559972-D30D-4C9F-8C9D-E1F10C9974A9}"/>
    <cellStyle name="Normal 2 4 2 7 2 2" xfId="8064" xr:uid="{49683508-9EC5-4213-93F7-BF4367AA6D03}"/>
    <cellStyle name="Normal 2 4 2 7 3" xfId="5919" xr:uid="{C584BD1E-49A8-40A7-A569-654F85FFFE32}"/>
    <cellStyle name="Normal 2 4 2 7 4" xfId="1617" xr:uid="{594F4C91-B627-44DA-8968-12E604EA622C}"/>
    <cellStyle name="Normal 2 4 2 8" xfId="2030" xr:uid="{95E04CAC-1955-48B7-8EC5-828BC104D67F}"/>
    <cellStyle name="Normal 2 4 2 8 2" xfId="4259" xr:uid="{3A1D2353-EA07-4B7C-BC5C-F830390209F5}"/>
    <cellStyle name="Normal 2 4 2 8 2 2" xfId="8477" xr:uid="{6166F0FF-D565-4797-BE9C-7B341628FDB0}"/>
    <cellStyle name="Normal 2 4 2 8 3" xfId="6332" xr:uid="{132A8E4B-69C4-4249-9E56-CFFA8E8B9F50}"/>
    <cellStyle name="Normal 2 4 2 9" xfId="2443" xr:uid="{4135A554-8177-4AB5-8D1B-F27463966433}"/>
    <cellStyle name="Normal 2 4 2 9 2" xfId="4672" xr:uid="{E3E14104-EC3B-41CE-B67D-B1784BA6F912}"/>
    <cellStyle name="Normal 2 4 2 9 2 2" xfId="8890" xr:uid="{A5773FC6-EBC5-4004-B785-C9659A802893}"/>
    <cellStyle name="Normal 2 4 2 9 3" xfId="6745" xr:uid="{B4211EFA-9F4F-4102-8FD5-80D9FD28AE3E}"/>
    <cellStyle name="Normal 2 4 3" xfId="299" xr:uid="{00000000-0005-0000-0000-000006020000}"/>
    <cellStyle name="Normal 2 4 3 10" xfId="1217" xr:uid="{65F4FC26-8E73-4C80-A507-CF3D76F62201}"/>
    <cellStyle name="Normal 2 4 3 2" xfId="300" xr:uid="{00000000-0005-0000-0000-000007020000}"/>
    <cellStyle name="Normal 2 4 3 3" xfId="301" xr:uid="{00000000-0005-0000-0000-000008020000}"/>
    <cellStyle name="Normal 2 4 3 3 10" xfId="1218" xr:uid="{67D1ECF2-8DFC-4CB4-8C6B-D628C1516154}"/>
    <cellStyle name="Normal 2 4 3 3 2" xfId="302" xr:uid="{00000000-0005-0000-0000-000009020000}"/>
    <cellStyle name="Normal 2 4 3 3 2 2" xfId="303" xr:uid="{00000000-0005-0000-0000-00000A020000}"/>
    <cellStyle name="Normal 2 4 3 3 2 2 2" xfId="798" xr:uid="{00000000-0005-0000-0000-00000B020000}"/>
    <cellStyle name="Normal 2 4 3 3 2 2 2 2" xfId="3865" xr:uid="{421AA0A1-7E31-4175-B03D-EAA9ABC0E7E2}"/>
    <cellStyle name="Normal 2 4 3 3 2 2 2 2 2" xfId="8083" xr:uid="{490DB426-68FE-4340-B8E1-097DAB6355D9}"/>
    <cellStyle name="Normal 2 4 3 3 2 2 2 3" xfId="5938" xr:uid="{3F0A573C-D820-4750-860E-3AC168020FB3}"/>
    <cellStyle name="Normal 2 4 3 3 2 2 2 4" xfId="1636" xr:uid="{1CE121F2-AD0E-48B9-853B-D70FCA01310B}"/>
    <cellStyle name="Normal 2 4 3 3 2 2 3" xfId="2049" xr:uid="{1A6199EF-B227-45C3-BD09-2993A96DDDD6}"/>
    <cellStyle name="Normal 2 4 3 3 2 2 3 2" xfId="4278" xr:uid="{E8E44F16-B02E-4573-A35B-766215D76B84}"/>
    <cellStyle name="Normal 2 4 3 3 2 2 3 2 2" xfId="8496" xr:uid="{C6ABA8B3-E311-41B1-B72C-A69297C21065}"/>
    <cellStyle name="Normal 2 4 3 3 2 2 3 3" xfId="6351" xr:uid="{7676F896-35C2-4F1D-BDAE-1B9AD7A55213}"/>
    <cellStyle name="Normal 2 4 3 3 2 2 4" xfId="2462" xr:uid="{B30BB16A-F7A1-4E2E-9E6E-69237C9D2A23}"/>
    <cellStyle name="Normal 2 4 3 3 2 2 4 2" xfId="4691" xr:uid="{14808820-C948-4BAB-B1B7-D279FF6FFF5B}"/>
    <cellStyle name="Normal 2 4 3 3 2 2 4 2 2" xfId="8909" xr:uid="{455E92A3-BA9B-4A73-97A8-5D54A77E5A28}"/>
    <cellStyle name="Normal 2 4 3 3 2 2 4 3" xfId="6764" xr:uid="{FAFB1914-68BF-4E2D-B1C9-0583A2AF580C}"/>
    <cellStyle name="Normal 2 4 3 3 2 2 5" xfId="2875" xr:uid="{A7F71F47-5639-4D8F-A07F-A4351C139A95}"/>
    <cellStyle name="Normal 2 4 3 3 2 2 5 2" xfId="5104" xr:uid="{AF4E60CA-45DD-4C71-B164-C2861C65DBFD}"/>
    <cellStyle name="Normal 2 4 3 3 2 2 5 2 2" xfId="9322" xr:uid="{E25F5B87-8493-4B90-A159-92216D4E68E9}"/>
    <cellStyle name="Normal 2 4 3 3 2 2 5 3" xfId="7177" xr:uid="{F13E5016-AD16-44B2-A4A3-D1CAA5A9146C}"/>
    <cellStyle name="Normal 2 4 3 3 2 2 6" xfId="3311" xr:uid="{3453CE7F-4796-45E9-8D72-A3032F30D549}"/>
    <cellStyle name="Normal 2 4 3 3 2 2 6 2" xfId="7590" xr:uid="{7A6C5CE4-D132-4772-85F0-B348CD49600F}"/>
    <cellStyle name="Normal 2 4 3 3 2 2 7" xfId="5524" xr:uid="{192AF9E8-50B9-44AF-83A9-3901B23D703C}"/>
    <cellStyle name="Normal 2 4 3 3 2 2 8" xfId="1220" xr:uid="{BE66A3B8-244F-46E7-94BD-85F0C850BC0A}"/>
    <cellStyle name="Normal 2 4 3 3 2 3" xfId="797" xr:uid="{00000000-0005-0000-0000-00000C020000}"/>
    <cellStyle name="Normal 2 4 3 3 2 3 2" xfId="3864" xr:uid="{5B6B29D5-3943-4D77-883A-01F7BE7C31CE}"/>
    <cellStyle name="Normal 2 4 3 3 2 3 2 2" xfId="8082" xr:uid="{50025010-F4C5-4FDE-BE70-7694B604463A}"/>
    <cellStyle name="Normal 2 4 3 3 2 3 3" xfId="5937" xr:uid="{C70E9FC7-2DC6-4BED-8A77-52E3B3E325DE}"/>
    <cellStyle name="Normal 2 4 3 3 2 3 4" xfId="1635" xr:uid="{BB51D2B7-C2BF-4066-9BA6-9F8EE17348C9}"/>
    <cellStyle name="Normal 2 4 3 3 2 4" xfId="2048" xr:uid="{E9D5F849-2E1C-4505-9C68-D0643B071214}"/>
    <cellStyle name="Normal 2 4 3 3 2 4 2" xfId="4277" xr:uid="{0D8A4760-6D30-4BC0-B272-E357403E9B50}"/>
    <cellStyle name="Normal 2 4 3 3 2 4 2 2" xfId="8495" xr:uid="{BDEFF5CA-8078-4EA2-9B3F-C0F1991BC91C}"/>
    <cellStyle name="Normal 2 4 3 3 2 4 3" xfId="6350" xr:uid="{2958793E-1230-4B4A-8239-C11D8C258ABA}"/>
    <cellStyle name="Normal 2 4 3 3 2 5" xfId="2461" xr:uid="{0EBF90DA-32D6-443E-A762-355D72EAA9FA}"/>
    <cellStyle name="Normal 2 4 3 3 2 5 2" xfId="4690" xr:uid="{F87954F5-4FE1-479D-8B20-21AC05E4B96C}"/>
    <cellStyle name="Normal 2 4 3 3 2 5 2 2" xfId="8908" xr:uid="{39AB0F57-B1CC-4125-9411-DA585CA3F544}"/>
    <cellStyle name="Normal 2 4 3 3 2 5 3" xfId="6763" xr:uid="{25808322-9E51-4932-B4A2-42E18422A8AF}"/>
    <cellStyle name="Normal 2 4 3 3 2 6" xfId="2874" xr:uid="{0188210D-ED16-4C0E-8021-BD62F0B23D5D}"/>
    <cellStyle name="Normal 2 4 3 3 2 6 2" xfId="5103" xr:uid="{AD9F48AD-25D1-44AA-806E-1EE6A8AAE857}"/>
    <cellStyle name="Normal 2 4 3 3 2 6 2 2" xfId="9321" xr:uid="{D7EA5027-9762-43F2-9CA0-4C693762385B}"/>
    <cellStyle name="Normal 2 4 3 3 2 6 3" xfId="7176" xr:uid="{F2C22BFC-36FE-4EAC-A6FC-3D97A114EA30}"/>
    <cellStyle name="Normal 2 4 3 3 2 7" xfId="3310" xr:uid="{653BE54F-E1BD-4641-86FE-AC50A2B86C8B}"/>
    <cellStyle name="Normal 2 4 3 3 2 7 2" xfId="7589" xr:uid="{B68F1B80-9A67-4953-A9B1-2D91F5564494}"/>
    <cellStyle name="Normal 2 4 3 3 2 8" xfId="5523" xr:uid="{F1E72CA7-B6A9-4E54-95C9-E53E5A6BFD74}"/>
    <cellStyle name="Normal 2 4 3 3 2 9" xfId="1219" xr:uid="{2FBEFEF1-BF6B-4552-BEB6-348AF4E1F3CC}"/>
    <cellStyle name="Normal 2 4 3 3 3" xfId="304" xr:uid="{00000000-0005-0000-0000-00000D020000}"/>
    <cellStyle name="Normal 2 4 3 3 3 2" xfId="799" xr:uid="{00000000-0005-0000-0000-00000E020000}"/>
    <cellStyle name="Normal 2 4 3 3 3 2 2" xfId="3866" xr:uid="{D261C479-D322-42F5-8B61-DFBF48A33662}"/>
    <cellStyle name="Normal 2 4 3 3 3 2 2 2" xfId="8084" xr:uid="{B3CBBDA3-8C88-4922-9856-C5252CC3605C}"/>
    <cellStyle name="Normal 2 4 3 3 3 2 3" xfId="5939" xr:uid="{94000F17-5842-4660-93DB-2EF368DA31D7}"/>
    <cellStyle name="Normal 2 4 3 3 3 2 4" xfId="1637" xr:uid="{2EE16E9D-527B-4DAC-A13A-88184607718C}"/>
    <cellStyle name="Normal 2 4 3 3 3 3" xfId="2050" xr:uid="{5D299E96-1A4C-4D03-8740-409FC8082AF1}"/>
    <cellStyle name="Normal 2 4 3 3 3 3 2" xfId="4279" xr:uid="{09C10CB6-AEF4-4817-A409-848D21335927}"/>
    <cellStyle name="Normal 2 4 3 3 3 3 2 2" xfId="8497" xr:uid="{D8BBAFA0-AA45-4B81-9923-78CCB3E204BF}"/>
    <cellStyle name="Normal 2 4 3 3 3 3 3" xfId="6352" xr:uid="{25CC0513-EFD4-4F1A-866C-D7F7BAFB5975}"/>
    <cellStyle name="Normal 2 4 3 3 3 4" xfId="2463" xr:uid="{E443C8CB-D584-4B5F-B6FD-5704533144D8}"/>
    <cellStyle name="Normal 2 4 3 3 3 4 2" xfId="4692" xr:uid="{E4BC3F78-BBB0-4D2C-8561-D49A780AA464}"/>
    <cellStyle name="Normal 2 4 3 3 3 4 2 2" xfId="8910" xr:uid="{33359035-E630-4056-86C2-A05C7D0BE3BF}"/>
    <cellStyle name="Normal 2 4 3 3 3 4 3" xfId="6765" xr:uid="{5D6A914B-2730-45A6-9B01-1C4EEE33F0F9}"/>
    <cellStyle name="Normal 2 4 3 3 3 5" xfId="2876" xr:uid="{42A7028F-A6D2-4F2A-A939-52AD6DBB6A2A}"/>
    <cellStyle name="Normal 2 4 3 3 3 5 2" xfId="5105" xr:uid="{820D27BA-403D-42DB-BAFD-8F4232C268DB}"/>
    <cellStyle name="Normal 2 4 3 3 3 5 2 2" xfId="9323" xr:uid="{4C0E9129-48C7-4FBE-8FE3-D677C66E2289}"/>
    <cellStyle name="Normal 2 4 3 3 3 5 3" xfId="7178" xr:uid="{DEC8FFF8-50DD-414D-BB9A-542AA0EE8A5D}"/>
    <cellStyle name="Normal 2 4 3 3 3 6" xfId="3312" xr:uid="{8AC9D7E6-7047-4EED-B927-A56C4422D210}"/>
    <cellStyle name="Normal 2 4 3 3 3 6 2" xfId="7591" xr:uid="{4F15FF26-24A3-4EFA-BE82-68226571526B}"/>
    <cellStyle name="Normal 2 4 3 3 3 7" xfId="5525" xr:uid="{8EA96004-6D6B-4143-A70D-164E41351528}"/>
    <cellStyle name="Normal 2 4 3 3 3 8" xfId="1221" xr:uid="{91E3F1BF-F916-4A1F-B6F0-45FBFC4DFA98}"/>
    <cellStyle name="Normal 2 4 3 3 4" xfId="796" xr:uid="{00000000-0005-0000-0000-00000F020000}"/>
    <cellStyle name="Normal 2 4 3 3 4 2" xfId="3863" xr:uid="{84A74347-5F8C-4DA4-96FE-408512296557}"/>
    <cellStyle name="Normal 2 4 3 3 4 2 2" xfId="8081" xr:uid="{CC8E272B-6C5B-4391-ABF7-272BED3F495E}"/>
    <cellStyle name="Normal 2 4 3 3 4 3" xfId="5936" xr:uid="{6AE056E3-589F-4A8F-A469-C83D3E3B088A}"/>
    <cellStyle name="Normal 2 4 3 3 4 4" xfId="1634" xr:uid="{2E362633-953B-4D36-BCBD-647DACD7E57D}"/>
    <cellStyle name="Normal 2 4 3 3 5" xfId="2047" xr:uid="{3EECB20F-E02F-4157-8947-3FD0658FBDD9}"/>
    <cellStyle name="Normal 2 4 3 3 5 2" xfId="4276" xr:uid="{C036BBE8-2B4F-4EAF-97F8-E90B8EF4DEAB}"/>
    <cellStyle name="Normal 2 4 3 3 5 2 2" xfId="8494" xr:uid="{E8C69F39-C503-4ADD-A2E0-900D7DF4D84D}"/>
    <cellStyle name="Normal 2 4 3 3 5 3" xfId="6349" xr:uid="{F229D0A5-1AF8-4F7F-9376-D3C18AAB19C7}"/>
    <cellStyle name="Normal 2 4 3 3 6" xfId="2460" xr:uid="{48844863-71FD-4EC3-B76D-9480325F99F8}"/>
    <cellStyle name="Normal 2 4 3 3 6 2" xfId="4689" xr:uid="{10390FCD-940B-4989-BCC8-F581D37F6584}"/>
    <cellStyle name="Normal 2 4 3 3 6 2 2" xfId="8907" xr:uid="{4FA9F7A8-4D17-4FBB-B2BA-A302DBD66DFF}"/>
    <cellStyle name="Normal 2 4 3 3 6 3" xfId="6762" xr:uid="{54E9C8D0-655C-4CB3-84E3-61F4C324BACD}"/>
    <cellStyle name="Normal 2 4 3 3 7" xfId="2873" xr:uid="{1DB54C34-504B-4B53-ACCE-133AA4C195EA}"/>
    <cellStyle name="Normal 2 4 3 3 7 2" xfId="5102" xr:uid="{5D239AB7-2F3C-467F-8039-78DFCAA5043A}"/>
    <cellStyle name="Normal 2 4 3 3 7 2 2" xfId="9320" xr:uid="{F740C3FA-8980-4E28-9AFD-1786043EA0E5}"/>
    <cellStyle name="Normal 2 4 3 3 7 3" xfId="7175" xr:uid="{6C6D08AC-826F-4F51-8F9A-283F84ECFD67}"/>
    <cellStyle name="Normal 2 4 3 3 8" xfId="3309" xr:uid="{E45F060C-D063-4A66-ADD8-7FD4167748BA}"/>
    <cellStyle name="Normal 2 4 3 3 8 2" xfId="7588" xr:uid="{69240D56-E4B7-4346-9B9A-005BC65259CA}"/>
    <cellStyle name="Normal 2 4 3 3 9" xfId="5522" xr:uid="{3BDA7470-2EAE-45FC-80E9-13ED0EBA85E3}"/>
    <cellStyle name="Normal 2 4 3 4" xfId="795" xr:uid="{00000000-0005-0000-0000-000010020000}"/>
    <cellStyle name="Normal 2 4 3 4 2" xfId="3862" xr:uid="{C16E6368-A226-4877-ADD2-E175AB4ABDAF}"/>
    <cellStyle name="Normal 2 4 3 4 2 2" xfId="8080" xr:uid="{06336EC9-C0C2-401E-B520-B5C937467733}"/>
    <cellStyle name="Normal 2 4 3 4 3" xfId="5935" xr:uid="{9791BCC7-A938-460C-9AAB-B06A46B9D764}"/>
    <cellStyle name="Normal 2 4 3 4 4" xfId="1633" xr:uid="{D0EB6E3C-5CA3-4562-A852-D6294C117FF4}"/>
    <cellStyle name="Normal 2 4 3 5" xfId="2046" xr:uid="{63B7AE4B-A749-496D-8EEF-ED65DE53DE24}"/>
    <cellStyle name="Normal 2 4 3 5 2" xfId="4275" xr:uid="{BED68511-521A-4A83-85B0-6A5CD530CC20}"/>
    <cellStyle name="Normal 2 4 3 5 2 2" xfId="8493" xr:uid="{1A074323-2791-43EE-A677-06420338361C}"/>
    <cellStyle name="Normal 2 4 3 5 3" xfId="6348" xr:uid="{3E1BDC53-89E9-4B5B-93C1-A7BC2E177608}"/>
    <cellStyle name="Normal 2 4 3 6" xfId="2459" xr:uid="{A387AF4C-C00D-466E-A96D-B73EBBCF0715}"/>
    <cellStyle name="Normal 2 4 3 6 2" xfId="4688" xr:uid="{F4C69BDE-2A45-4324-8C4D-7AB70109937B}"/>
    <cellStyle name="Normal 2 4 3 6 2 2" xfId="8906" xr:uid="{8F149468-9464-42F8-8579-F35E026DA5AB}"/>
    <cellStyle name="Normal 2 4 3 6 3" xfId="6761" xr:uid="{AC222A1C-7C5D-40DA-AD21-84CD2B1009F0}"/>
    <cellStyle name="Normal 2 4 3 7" xfId="2872" xr:uid="{67C9C38B-6966-401F-8377-789D11976BA9}"/>
    <cellStyle name="Normal 2 4 3 7 2" xfId="5101" xr:uid="{D758C671-EDDA-4740-BBD0-F2B57C9A2F69}"/>
    <cellStyle name="Normal 2 4 3 7 2 2" xfId="9319" xr:uid="{39F063FD-79B6-43D4-B367-8815257B7714}"/>
    <cellStyle name="Normal 2 4 3 7 3" xfId="7174" xr:uid="{5780E986-CFDD-457D-B811-1BD13CAEBEE8}"/>
    <cellStyle name="Normal 2 4 3 8" xfId="3308" xr:uid="{4E443A28-DE7D-408A-BBBF-64D490A02BD8}"/>
    <cellStyle name="Normal 2 4 3 8 2" xfId="7587" xr:uid="{BE6B5AEE-4BE7-4E04-8825-67F8883B7867}"/>
    <cellStyle name="Normal 2 4 3 9" xfId="5521" xr:uid="{C4AB7A54-EC1E-414E-AC54-CB63D6B37FB7}"/>
    <cellStyle name="Normal 2 4 4" xfId="305" xr:uid="{00000000-0005-0000-0000-000011020000}"/>
    <cellStyle name="Normal 2 4 5" xfId="306" xr:uid="{00000000-0005-0000-0000-000012020000}"/>
    <cellStyle name="Normal 2 4 5 10" xfId="5526" xr:uid="{5DA1D1C9-F465-432C-B574-4871AA0DB6D3}"/>
    <cellStyle name="Normal 2 4 5 11" xfId="1222" xr:uid="{465CA5BE-CF3A-42F0-BB31-53B9B96D1945}"/>
    <cellStyle name="Normal 2 4 5 2" xfId="307" xr:uid="{00000000-0005-0000-0000-000013020000}"/>
    <cellStyle name="Normal 2 4 5 2 10" xfId="1223" xr:uid="{3C6D8B37-6743-4582-99FC-08D93F4CABD8}"/>
    <cellStyle name="Normal 2 4 5 2 2" xfId="308" xr:uid="{00000000-0005-0000-0000-000014020000}"/>
    <cellStyle name="Normal 2 4 5 2 2 2" xfId="309" xr:uid="{00000000-0005-0000-0000-000015020000}"/>
    <cellStyle name="Normal 2 4 5 2 2 2 2" xfId="803" xr:uid="{00000000-0005-0000-0000-000016020000}"/>
    <cellStyle name="Normal 2 4 5 2 2 2 2 2" xfId="3870" xr:uid="{DA4568BC-CBEB-4FB0-B2C8-563272765E45}"/>
    <cellStyle name="Normal 2 4 5 2 2 2 2 2 2" xfId="8088" xr:uid="{868D5DA6-C2B2-433E-AFC0-51EF8BC1D872}"/>
    <cellStyle name="Normal 2 4 5 2 2 2 2 3" xfId="5943" xr:uid="{1349CB3C-11DD-4F7B-862B-B95985289C72}"/>
    <cellStyle name="Normal 2 4 5 2 2 2 2 4" xfId="1641" xr:uid="{D8F0803D-1CE5-4D0D-A864-D00AFF498F63}"/>
    <cellStyle name="Normal 2 4 5 2 2 2 3" xfId="2054" xr:uid="{3CF11882-B698-440F-98DE-E2A981FEDACB}"/>
    <cellStyle name="Normal 2 4 5 2 2 2 3 2" xfId="4283" xr:uid="{5796E511-7BD6-444E-9ABC-D522B8A9C4A3}"/>
    <cellStyle name="Normal 2 4 5 2 2 2 3 2 2" xfId="8501" xr:uid="{5AB63CBC-1CCF-4B9C-8C68-2C5CA2304F29}"/>
    <cellStyle name="Normal 2 4 5 2 2 2 3 3" xfId="6356" xr:uid="{9B325651-3EB4-45E4-820A-69539BB4C8D3}"/>
    <cellStyle name="Normal 2 4 5 2 2 2 4" xfId="2467" xr:uid="{15A2AD13-E40A-4BB8-A497-CBF01ADB9420}"/>
    <cellStyle name="Normal 2 4 5 2 2 2 4 2" xfId="4696" xr:uid="{E9A02DC3-784A-4DA8-A03C-21B279A8930F}"/>
    <cellStyle name="Normal 2 4 5 2 2 2 4 2 2" xfId="8914" xr:uid="{E7ADC692-21E2-4E2F-A80A-63117877DC0E}"/>
    <cellStyle name="Normal 2 4 5 2 2 2 4 3" xfId="6769" xr:uid="{9490C5D6-28B6-43E4-8376-4DA628FFD755}"/>
    <cellStyle name="Normal 2 4 5 2 2 2 5" xfId="2880" xr:uid="{382E7B54-1161-4277-AEF6-0F8D7DEE6A00}"/>
    <cellStyle name="Normal 2 4 5 2 2 2 5 2" xfId="5109" xr:uid="{AE64B2F2-A3A7-4A8E-93B5-ADD541DF25F2}"/>
    <cellStyle name="Normal 2 4 5 2 2 2 5 2 2" xfId="9327" xr:uid="{E01D091D-E9D9-4F78-A7B9-8838AA256E7B}"/>
    <cellStyle name="Normal 2 4 5 2 2 2 5 3" xfId="7182" xr:uid="{8009528F-4B79-4DFE-AA88-1ABB976470F5}"/>
    <cellStyle name="Normal 2 4 5 2 2 2 6" xfId="3316" xr:uid="{F8454C2E-1D66-4CB9-A831-E77749BE7ECF}"/>
    <cellStyle name="Normal 2 4 5 2 2 2 6 2" xfId="7595" xr:uid="{3B48F133-AFAB-480F-9B45-545A3825247F}"/>
    <cellStyle name="Normal 2 4 5 2 2 2 7" xfId="5529" xr:uid="{F998B61E-CC02-4A53-A327-7B599A6C6E5D}"/>
    <cellStyle name="Normal 2 4 5 2 2 2 8" xfId="1225" xr:uid="{D7654BDC-FF0F-4C17-AF9A-62014D8889D5}"/>
    <cellStyle name="Normal 2 4 5 2 2 3" xfId="802" xr:uid="{00000000-0005-0000-0000-000017020000}"/>
    <cellStyle name="Normal 2 4 5 2 2 3 2" xfId="3869" xr:uid="{B7B76344-72D6-4B22-B5DD-E53CC7684566}"/>
    <cellStyle name="Normal 2 4 5 2 2 3 2 2" xfId="8087" xr:uid="{D8326894-AD44-46B5-B9DC-0E010FF71AB1}"/>
    <cellStyle name="Normal 2 4 5 2 2 3 3" xfId="5942" xr:uid="{922F2E4E-BDB8-444E-A2DB-821AA745863F}"/>
    <cellStyle name="Normal 2 4 5 2 2 3 4" xfId="1640" xr:uid="{9DFDE263-0A73-4C82-BF81-235A8AF8E7B5}"/>
    <cellStyle name="Normal 2 4 5 2 2 4" xfId="2053" xr:uid="{96F29E2A-2866-4426-AD3F-9A391275D9F0}"/>
    <cellStyle name="Normal 2 4 5 2 2 4 2" xfId="4282" xr:uid="{76A28B0F-EDA4-41BF-A2A1-40C22C5EEABD}"/>
    <cellStyle name="Normal 2 4 5 2 2 4 2 2" xfId="8500" xr:uid="{07393FEB-9A9F-4DB6-9234-E62BB2F6D39E}"/>
    <cellStyle name="Normal 2 4 5 2 2 4 3" xfId="6355" xr:uid="{CC59E470-0BF7-4908-B089-97C5021DE9A2}"/>
    <cellStyle name="Normal 2 4 5 2 2 5" xfId="2466" xr:uid="{F479F3D2-4E6E-4D97-8766-AF9CE9FE8C70}"/>
    <cellStyle name="Normal 2 4 5 2 2 5 2" xfId="4695" xr:uid="{77000229-51CF-409B-8DE5-8E9D367B5230}"/>
    <cellStyle name="Normal 2 4 5 2 2 5 2 2" xfId="8913" xr:uid="{34247E44-AFF7-4CCF-B328-84E532A91878}"/>
    <cellStyle name="Normal 2 4 5 2 2 5 3" xfId="6768" xr:uid="{3D986A5A-A27A-4FC7-8377-7FB58FDCAF4C}"/>
    <cellStyle name="Normal 2 4 5 2 2 6" xfId="2879" xr:uid="{96A9E8E6-8E21-45B1-83CB-877E75B1D62F}"/>
    <cellStyle name="Normal 2 4 5 2 2 6 2" xfId="5108" xr:uid="{0A2BC966-F966-432A-BC36-38023040DC86}"/>
    <cellStyle name="Normal 2 4 5 2 2 6 2 2" xfId="9326" xr:uid="{2D5AEE5B-6571-4A93-87DC-9513B9BF91C3}"/>
    <cellStyle name="Normal 2 4 5 2 2 6 3" xfId="7181" xr:uid="{C1147A0E-3BD4-47CD-958E-C673F141BF92}"/>
    <cellStyle name="Normal 2 4 5 2 2 7" xfId="3315" xr:uid="{555362A8-674C-486E-B76D-FBB5C66A9878}"/>
    <cellStyle name="Normal 2 4 5 2 2 7 2" xfId="7594" xr:uid="{461FFFC1-028D-4B4A-9B69-DE1A69984418}"/>
    <cellStyle name="Normal 2 4 5 2 2 8" xfId="5528" xr:uid="{368470E7-B2C2-475A-A0D0-72491B332C14}"/>
    <cellStyle name="Normal 2 4 5 2 2 9" xfId="1224" xr:uid="{68BC46AA-6AE6-4C8B-82C6-864B51ABDCE3}"/>
    <cellStyle name="Normal 2 4 5 2 3" xfId="310" xr:uid="{00000000-0005-0000-0000-000018020000}"/>
    <cellStyle name="Normal 2 4 5 2 3 2" xfId="804" xr:uid="{00000000-0005-0000-0000-000019020000}"/>
    <cellStyle name="Normal 2 4 5 2 3 2 2" xfId="3871" xr:uid="{65974393-98DE-42CC-8C14-10D89E2E5B7A}"/>
    <cellStyle name="Normal 2 4 5 2 3 2 2 2" xfId="8089" xr:uid="{5D4961CE-95DB-4D25-B57B-926626F66646}"/>
    <cellStyle name="Normal 2 4 5 2 3 2 3" xfId="5944" xr:uid="{2A303801-9FA2-4C42-A6C4-C3ADE928EC77}"/>
    <cellStyle name="Normal 2 4 5 2 3 2 4" xfId="1642" xr:uid="{4B60664D-54DE-4A5F-84A7-7A5E98251503}"/>
    <cellStyle name="Normal 2 4 5 2 3 3" xfId="2055" xr:uid="{2CCB8F5F-93FC-42F0-BBD8-F1845C8E0C0B}"/>
    <cellStyle name="Normal 2 4 5 2 3 3 2" xfId="4284" xr:uid="{0FE938A3-7800-4488-80C2-60834727DC26}"/>
    <cellStyle name="Normal 2 4 5 2 3 3 2 2" xfId="8502" xr:uid="{AC9D6487-FEC4-4717-B332-8B814C2E0AB4}"/>
    <cellStyle name="Normal 2 4 5 2 3 3 3" xfId="6357" xr:uid="{82F6AC3C-55E9-400B-8755-25C070D14EF9}"/>
    <cellStyle name="Normal 2 4 5 2 3 4" xfId="2468" xr:uid="{06139A7C-9204-4332-B168-1DE003F60C8C}"/>
    <cellStyle name="Normal 2 4 5 2 3 4 2" xfId="4697" xr:uid="{2C8208F0-6731-45F0-A009-5496D2831084}"/>
    <cellStyle name="Normal 2 4 5 2 3 4 2 2" xfId="8915" xr:uid="{A318A17F-E13C-4CBB-8D7C-C6D8D749FE16}"/>
    <cellStyle name="Normal 2 4 5 2 3 4 3" xfId="6770" xr:uid="{92A537C1-1B01-49C0-9D2A-B6F1604515FE}"/>
    <cellStyle name="Normal 2 4 5 2 3 5" xfId="2881" xr:uid="{1105F2CB-AA4C-45F0-8B6F-82B4628AE40F}"/>
    <cellStyle name="Normal 2 4 5 2 3 5 2" xfId="5110" xr:uid="{52BD8993-3CF9-48B1-A8A8-9303BAC19078}"/>
    <cellStyle name="Normal 2 4 5 2 3 5 2 2" xfId="9328" xr:uid="{8CCE1C38-DF7D-4D8F-BD8D-1566ED503000}"/>
    <cellStyle name="Normal 2 4 5 2 3 5 3" xfId="7183" xr:uid="{A268832E-5C27-48BD-9535-519E42EFDB96}"/>
    <cellStyle name="Normal 2 4 5 2 3 6" xfId="3317" xr:uid="{B781FFF4-206F-4335-8806-726E2F6A7280}"/>
    <cellStyle name="Normal 2 4 5 2 3 6 2" xfId="7596" xr:uid="{4CFC6AEE-EF74-46C6-9DED-7A6EBB95727B}"/>
    <cellStyle name="Normal 2 4 5 2 3 7" xfId="5530" xr:uid="{D4ABD942-98CD-40CF-8B84-E1204FBCC2AC}"/>
    <cellStyle name="Normal 2 4 5 2 3 8" xfId="1226" xr:uid="{59518A90-043D-4EA0-B558-4AA7A9507B8C}"/>
    <cellStyle name="Normal 2 4 5 2 4" xfId="801" xr:uid="{00000000-0005-0000-0000-00001A020000}"/>
    <cellStyle name="Normal 2 4 5 2 4 2" xfId="3868" xr:uid="{C8CE8917-37BD-4A5B-A254-C3600F1CD178}"/>
    <cellStyle name="Normal 2 4 5 2 4 2 2" xfId="8086" xr:uid="{369FB4AF-E96E-4B72-9083-C25117A4C848}"/>
    <cellStyle name="Normal 2 4 5 2 4 3" xfId="5941" xr:uid="{B0F699F1-7547-4E8C-9FC0-F76217887C79}"/>
    <cellStyle name="Normal 2 4 5 2 4 4" xfId="1639" xr:uid="{86EC419D-346C-4A55-A249-B8D642896C38}"/>
    <cellStyle name="Normal 2 4 5 2 5" xfId="2052" xr:uid="{70C90BCF-0B05-4403-BF19-277A4178DE04}"/>
    <cellStyle name="Normal 2 4 5 2 5 2" xfId="4281" xr:uid="{FE15A202-3E7A-4275-AD86-2012618961D2}"/>
    <cellStyle name="Normal 2 4 5 2 5 2 2" xfId="8499" xr:uid="{460EB5B8-EF68-4852-973A-8C190DCB2516}"/>
    <cellStyle name="Normal 2 4 5 2 5 3" xfId="6354" xr:uid="{AF500E7F-5D7F-4707-A9FD-B5521AAE4B57}"/>
    <cellStyle name="Normal 2 4 5 2 6" xfId="2465" xr:uid="{0E12730A-82EB-418C-B0EC-04C828FE2276}"/>
    <cellStyle name="Normal 2 4 5 2 6 2" xfId="4694" xr:uid="{B8C981B5-D45F-4CCF-8A0D-7A055CCDB1AB}"/>
    <cellStyle name="Normal 2 4 5 2 6 2 2" xfId="8912" xr:uid="{6C87A53D-9A82-4C9B-8A05-546BDBEEF9A1}"/>
    <cellStyle name="Normal 2 4 5 2 6 3" xfId="6767" xr:uid="{73BA46AD-E5A8-496B-BA50-E99138F77F18}"/>
    <cellStyle name="Normal 2 4 5 2 7" xfId="2878" xr:uid="{04847FAB-903F-4092-850B-CF06594C58F5}"/>
    <cellStyle name="Normal 2 4 5 2 7 2" xfId="5107" xr:uid="{B5041FCF-D9CF-4E93-902A-E5B8D7461A83}"/>
    <cellStyle name="Normal 2 4 5 2 7 2 2" xfId="9325" xr:uid="{D9084CB3-E7F4-4DE4-9549-32F7F69031A5}"/>
    <cellStyle name="Normal 2 4 5 2 7 3" xfId="7180" xr:uid="{2C30F679-B116-4AF8-8525-C12C2829F57B}"/>
    <cellStyle name="Normal 2 4 5 2 8" xfId="3314" xr:uid="{B1B6258F-B54C-4144-A8F1-F8A84E575506}"/>
    <cellStyle name="Normal 2 4 5 2 8 2" xfId="7593" xr:uid="{F8EBF575-8827-4A3C-BD73-C9041AB67330}"/>
    <cellStyle name="Normal 2 4 5 2 9" xfId="5527" xr:uid="{8AD6A61D-D581-4320-8CBA-60E959A1339B}"/>
    <cellStyle name="Normal 2 4 5 3" xfId="311" xr:uid="{00000000-0005-0000-0000-00001B020000}"/>
    <cellStyle name="Normal 2 4 5 3 2" xfId="312" xr:uid="{00000000-0005-0000-0000-00001C020000}"/>
    <cellStyle name="Normal 2 4 5 3 2 2" xfId="806" xr:uid="{00000000-0005-0000-0000-00001D020000}"/>
    <cellStyle name="Normal 2 4 5 3 2 2 2" xfId="3873" xr:uid="{A1BC800E-FBE8-4995-B075-9302A7AD107A}"/>
    <cellStyle name="Normal 2 4 5 3 2 2 2 2" xfId="8091" xr:uid="{385B880C-5875-414C-910B-48C879127D87}"/>
    <cellStyle name="Normal 2 4 5 3 2 2 3" xfId="5946" xr:uid="{5BAC2A6E-1BA7-47D0-90EB-5AF016EC9D10}"/>
    <cellStyle name="Normal 2 4 5 3 2 2 4" xfId="1644" xr:uid="{895C8D84-4571-4585-84C9-3A2CAB652797}"/>
    <cellStyle name="Normal 2 4 5 3 2 3" xfId="2057" xr:uid="{B94FA64B-F814-4B30-A098-A4B2A5EFA070}"/>
    <cellStyle name="Normal 2 4 5 3 2 3 2" xfId="4286" xr:uid="{7F899A2C-1B6E-40C8-A661-C8FA9085A340}"/>
    <cellStyle name="Normal 2 4 5 3 2 3 2 2" xfId="8504" xr:uid="{2C7CE644-B984-42FA-9CF1-43CFC9403409}"/>
    <cellStyle name="Normal 2 4 5 3 2 3 3" xfId="6359" xr:uid="{48F69285-693D-4EAC-89A5-41DB08FF24BD}"/>
    <cellStyle name="Normal 2 4 5 3 2 4" xfId="2470" xr:uid="{9EB1F31D-378A-4081-98E3-5093D88FCB90}"/>
    <cellStyle name="Normal 2 4 5 3 2 4 2" xfId="4699" xr:uid="{5402A332-D588-4DD2-8516-01C2087C0E65}"/>
    <cellStyle name="Normal 2 4 5 3 2 4 2 2" xfId="8917" xr:uid="{3ECD787F-CAB8-43C6-A0CC-9D7E0B3328DD}"/>
    <cellStyle name="Normal 2 4 5 3 2 4 3" xfId="6772" xr:uid="{7BB588CD-5163-4BA2-A8B4-1A873B3EE436}"/>
    <cellStyle name="Normal 2 4 5 3 2 5" xfId="2883" xr:uid="{DDA44CEE-F892-4A78-AB28-EECD8BEC87A5}"/>
    <cellStyle name="Normal 2 4 5 3 2 5 2" xfId="5112" xr:uid="{309D9180-9B2A-4349-AFFC-28495F8B803E}"/>
    <cellStyle name="Normal 2 4 5 3 2 5 2 2" xfId="9330" xr:uid="{3A7AD0D8-F752-4C3F-9292-5C29E21EB2D1}"/>
    <cellStyle name="Normal 2 4 5 3 2 5 3" xfId="7185" xr:uid="{E0146095-8BBA-4509-AD9E-05864ACEE9B6}"/>
    <cellStyle name="Normal 2 4 5 3 2 6" xfId="3319" xr:uid="{B8475D82-1137-4C6B-B955-4C1B1A1F8B98}"/>
    <cellStyle name="Normal 2 4 5 3 2 6 2" xfId="7598" xr:uid="{D50D507C-AC97-4225-B00A-D353821DE5C1}"/>
    <cellStyle name="Normal 2 4 5 3 2 7" xfId="5532" xr:uid="{BE66A548-4A92-4838-AB51-CAAE0E55E76D}"/>
    <cellStyle name="Normal 2 4 5 3 2 8" xfId="1228" xr:uid="{9FB08B60-EF95-489A-A791-9229BD23F0B2}"/>
    <cellStyle name="Normal 2 4 5 3 3" xfId="805" xr:uid="{00000000-0005-0000-0000-00001E020000}"/>
    <cellStyle name="Normal 2 4 5 3 3 2" xfId="3872" xr:uid="{6B206C98-0E23-42F3-9ACE-FAC2E2C73C9C}"/>
    <cellStyle name="Normal 2 4 5 3 3 2 2" xfId="8090" xr:uid="{FD3E0C9D-7BE1-4ABF-B623-626BA913BC91}"/>
    <cellStyle name="Normal 2 4 5 3 3 3" xfId="5945" xr:uid="{60D414F4-FF0B-4360-814A-C52F2981C710}"/>
    <cellStyle name="Normal 2 4 5 3 3 4" xfId="1643" xr:uid="{04E0C155-3050-441E-8B05-35A184D80840}"/>
    <cellStyle name="Normal 2 4 5 3 4" xfId="2056" xr:uid="{7D0CB6E2-D394-4322-8F35-79717A2F70F1}"/>
    <cellStyle name="Normal 2 4 5 3 4 2" xfId="4285" xr:uid="{BE97D68A-4C64-4D3E-B5E8-0C247B4D2F2E}"/>
    <cellStyle name="Normal 2 4 5 3 4 2 2" xfId="8503" xr:uid="{50F7E122-0C80-4489-9139-750E748D6680}"/>
    <cellStyle name="Normal 2 4 5 3 4 3" xfId="6358" xr:uid="{BC4979EB-3405-42EF-8780-7C5480531027}"/>
    <cellStyle name="Normal 2 4 5 3 5" xfId="2469" xr:uid="{7792E3A9-694A-4E16-AEC7-6A19D82F7726}"/>
    <cellStyle name="Normal 2 4 5 3 5 2" xfId="4698" xr:uid="{E19FA81D-CF21-4CCD-807C-3CED5C46C0C1}"/>
    <cellStyle name="Normal 2 4 5 3 5 2 2" xfId="8916" xr:uid="{F5BB6D57-2276-4C69-ACE2-78CE5FFF5D9C}"/>
    <cellStyle name="Normal 2 4 5 3 5 3" xfId="6771" xr:uid="{29B7C414-6A4E-46FA-BD99-1D1D108F003E}"/>
    <cellStyle name="Normal 2 4 5 3 6" xfId="2882" xr:uid="{517E3DE7-3623-4084-BB84-58D8F7F9091B}"/>
    <cellStyle name="Normal 2 4 5 3 6 2" xfId="5111" xr:uid="{651B59C1-59B6-4844-BA76-E618F6065B7A}"/>
    <cellStyle name="Normal 2 4 5 3 6 2 2" xfId="9329" xr:uid="{B3DA5666-7638-4A91-ABFD-B4B7D4395B56}"/>
    <cellStyle name="Normal 2 4 5 3 6 3" xfId="7184" xr:uid="{3AE2E8D2-9A05-42A0-B507-BFABB865BEBD}"/>
    <cellStyle name="Normal 2 4 5 3 7" xfId="3318" xr:uid="{748E314A-6240-4406-A323-E2CAE94A46F3}"/>
    <cellStyle name="Normal 2 4 5 3 7 2" xfId="7597" xr:uid="{62964CE2-E205-40B8-A3A7-FDA67CAF4A36}"/>
    <cellStyle name="Normal 2 4 5 3 8" xfId="5531" xr:uid="{E72416C4-FEF1-4729-AE13-E2D4355F6329}"/>
    <cellStyle name="Normal 2 4 5 3 9" xfId="1227" xr:uid="{CFB13282-FB06-42C2-8FEF-70B9BB3F6A77}"/>
    <cellStyle name="Normal 2 4 5 4" xfId="313" xr:uid="{00000000-0005-0000-0000-00001F020000}"/>
    <cellStyle name="Normal 2 4 5 4 2" xfId="807" xr:uid="{00000000-0005-0000-0000-000020020000}"/>
    <cellStyle name="Normal 2 4 5 4 2 2" xfId="3874" xr:uid="{6AC3E047-072A-46C2-9ECE-74FCD9E15309}"/>
    <cellStyle name="Normal 2 4 5 4 2 2 2" xfId="8092" xr:uid="{3FB92C72-0592-433C-AB91-1728CD5F6A79}"/>
    <cellStyle name="Normal 2 4 5 4 2 3" xfId="5947" xr:uid="{472EB5D3-D07D-4D39-B4BC-8E369D4CAC98}"/>
    <cellStyle name="Normal 2 4 5 4 2 4" xfId="1645" xr:uid="{9F8748F2-3671-4DA1-979B-5D6772BCC005}"/>
    <cellStyle name="Normal 2 4 5 4 3" xfId="2058" xr:uid="{A6914C19-EAFF-4AD6-882E-E0BAFBE05D14}"/>
    <cellStyle name="Normal 2 4 5 4 3 2" xfId="4287" xr:uid="{8AA45F5A-4D6B-4CC8-BFE1-0BF7F40CCF5A}"/>
    <cellStyle name="Normal 2 4 5 4 3 2 2" xfId="8505" xr:uid="{E0FE77AF-211D-4AF2-AB31-4C99D7D90AD8}"/>
    <cellStyle name="Normal 2 4 5 4 3 3" xfId="6360" xr:uid="{0E0232C0-B02E-4B5B-AE37-5E35263E5780}"/>
    <cellStyle name="Normal 2 4 5 4 4" xfId="2471" xr:uid="{1C904F5C-2396-44A3-872B-41D727CB9DAC}"/>
    <cellStyle name="Normal 2 4 5 4 4 2" xfId="4700" xr:uid="{85D6431D-C9BC-4555-846A-44883B2AF369}"/>
    <cellStyle name="Normal 2 4 5 4 4 2 2" xfId="8918" xr:uid="{3D680EB4-B2E6-4AB9-A206-EC55FB940D19}"/>
    <cellStyle name="Normal 2 4 5 4 4 3" xfId="6773" xr:uid="{474515F7-3AC2-4EB0-912D-8C40C6E52ED6}"/>
    <cellStyle name="Normal 2 4 5 4 5" xfId="2884" xr:uid="{90B4FBDE-9F71-4B09-B9C1-5ED68C69F57B}"/>
    <cellStyle name="Normal 2 4 5 4 5 2" xfId="5113" xr:uid="{7C86FE28-1487-4D7A-A33D-06EABACE2149}"/>
    <cellStyle name="Normal 2 4 5 4 5 2 2" xfId="9331" xr:uid="{F7DB5409-3D35-4C8C-AEE2-9995FF670EF7}"/>
    <cellStyle name="Normal 2 4 5 4 5 3" xfId="7186" xr:uid="{1D388553-8362-43D8-9645-9AF65797AC49}"/>
    <cellStyle name="Normal 2 4 5 4 6" xfId="3320" xr:uid="{03363EC0-AE2F-48FB-AFE7-22F8734D5B89}"/>
    <cellStyle name="Normal 2 4 5 4 6 2" xfId="7599" xr:uid="{9CE64916-13E5-4552-BCD5-BBB06884EF43}"/>
    <cellStyle name="Normal 2 4 5 4 7" xfId="5533" xr:uid="{1A601DB7-DD12-43FA-A005-10469E46599C}"/>
    <cellStyle name="Normal 2 4 5 4 8" xfId="1229" xr:uid="{D8DE1EE9-085B-4E3D-AFC1-366ECD5F667D}"/>
    <cellStyle name="Normal 2 4 5 5" xfId="800" xr:uid="{00000000-0005-0000-0000-000021020000}"/>
    <cellStyle name="Normal 2 4 5 5 2" xfId="3867" xr:uid="{B8A81187-E98D-43A7-8FD6-DE66AFF56B58}"/>
    <cellStyle name="Normal 2 4 5 5 2 2" xfId="8085" xr:uid="{B9AF00C8-8244-4E66-B55F-6CC263EA418C}"/>
    <cellStyle name="Normal 2 4 5 5 3" xfId="5940" xr:uid="{6ED29CAD-D71D-4383-8851-ECD319FF49E8}"/>
    <cellStyle name="Normal 2 4 5 5 4" xfId="1638" xr:uid="{C28A4CD0-9AFC-421E-A75E-E301F1800129}"/>
    <cellStyle name="Normal 2 4 5 6" xfId="2051" xr:uid="{12A74221-DC0D-4B8E-AD87-E7B3CA85446B}"/>
    <cellStyle name="Normal 2 4 5 6 2" xfId="4280" xr:uid="{89113BA1-4A6F-48F5-89C9-218A795B3A5F}"/>
    <cellStyle name="Normal 2 4 5 6 2 2" xfId="8498" xr:uid="{2F685653-2C95-4356-91A0-B36A1CF538FE}"/>
    <cellStyle name="Normal 2 4 5 6 3" xfId="6353" xr:uid="{BA0B642B-B534-4EEE-9CF4-E8A08B43A0CB}"/>
    <cellStyle name="Normal 2 4 5 7" xfId="2464" xr:uid="{CF72E7D4-E51A-46B8-8981-54D20756B4B8}"/>
    <cellStyle name="Normal 2 4 5 7 2" xfId="4693" xr:uid="{4E86AC23-005B-4A36-A81F-92AC9325F111}"/>
    <cellStyle name="Normal 2 4 5 7 2 2" xfId="8911" xr:uid="{C975100C-5FED-4137-8860-FC712E2A1054}"/>
    <cellStyle name="Normal 2 4 5 7 3" xfId="6766" xr:uid="{F9DFA36E-5B6D-4551-8A9F-2D6E7BBEE216}"/>
    <cellStyle name="Normal 2 4 5 8" xfId="2877" xr:uid="{D5F4A226-A31C-45BF-84A4-DED264045096}"/>
    <cellStyle name="Normal 2 4 5 8 2" xfId="5106" xr:uid="{8CB83D59-7D59-4682-956F-A11A8909B4E0}"/>
    <cellStyle name="Normal 2 4 5 8 2 2" xfId="9324" xr:uid="{AA467A63-655D-48C9-AC03-67525EB5255B}"/>
    <cellStyle name="Normal 2 4 5 8 3" xfId="7179" xr:uid="{0365A976-00D0-4F50-8367-9384FA9CBA04}"/>
    <cellStyle name="Normal 2 4 5 9" xfId="3313" xr:uid="{271A9F9B-5030-451F-AD84-9FE48A3D8C66}"/>
    <cellStyle name="Normal 2 4 5 9 2" xfId="7592" xr:uid="{087F7AE8-2582-42D7-8A4C-8A5845011893}"/>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3876" xr:uid="{88ECD78A-8714-4653-BA0B-1B45E17750B8}"/>
    <cellStyle name="Normal 2 4 7 2 2 2 2" xfId="8094" xr:uid="{8A620945-7FE4-4090-A382-2F336807CEB7}"/>
    <cellStyle name="Normal 2 4 7 2 2 3" xfId="5949" xr:uid="{0DD88682-7F41-4B67-8497-C022A4ED796F}"/>
    <cellStyle name="Normal 2 4 7 2 2 4" xfId="1647" xr:uid="{EF506C07-5E1E-4B1B-9ACE-FA24CAECF069}"/>
    <cellStyle name="Normal 2 4 7 2 3" xfId="2060" xr:uid="{62BFAFB5-D3E5-496B-8149-E82E1DD1010B}"/>
    <cellStyle name="Normal 2 4 7 2 3 2" xfId="4289" xr:uid="{968AD5D3-0144-4C96-B006-6F92BA1C87C1}"/>
    <cellStyle name="Normal 2 4 7 2 3 2 2" xfId="8507" xr:uid="{30659851-90AD-428E-99AC-484A3A3B36C2}"/>
    <cellStyle name="Normal 2 4 7 2 3 3" xfId="6362" xr:uid="{9938C503-70F8-49F8-8BF4-D6A7E80EEA51}"/>
    <cellStyle name="Normal 2 4 7 2 4" xfId="2473" xr:uid="{C583DCE1-0029-4B7E-B0A0-4AFE97ADFF80}"/>
    <cellStyle name="Normal 2 4 7 2 4 2" xfId="4702" xr:uid="{78899FB8-74C9-4116-A4C2-4DE2975581FC}"/>
    <cellStyle name="Normal 2 4 7 2 4 2 2" xfId="8920" xr:uid="{E752CAAE-EA92-47BB-A550-7FF0EFB43C70}"/>
    <cellStyle name="Normal 2 4 7 2 4 3" xfId="6775" xr:uid="{4FA42331-7CCE-4F65-A98D-E58322E44524}"/>
    <cellStyle name="Normal 2 4 7 2 5" xfId="2886" xr:uid="{CE9F4BE9-C630-4708-8AC7-7EFC55ABEC43}"/>
    <cellStyle name="Normal 2 4 7 2 5 2" xfId="5115" xr:uid="{F4605FF7-4ADD-4176-94D6-7772E17CCE50}"/>
    <cellStyle name="Normal 2 4 7 2 5 2 2" xfId="9333" xr:uid="{0BE6684A-2D9C-408B-A172-A867ED84D039}"/>
    <cellStyle name="Normal 2 4 7 2 5 3" xfId="7188" xr:uid="{387AB1BD-D7E5-4AC9-A67F-C886634C935A}"/>
    <cellStyle name="Normal 2 4 7 2 6" xfId="3322" xr:uid="{B453C166-1F22-4F55-B1A7-526C3E0FB5FC}"/>
    <cellStyle name="Normal 2 4 7 2 6 2" xfId="7601" xr:uid="{FAC91D0D-B609-440A-9EA3-99D00CA74E3D}"/>
    <cellStyle name="Normal 2 4 7 2 7" xfId="5535" xr:uid="{00E4CE26-6263-47D6-A7C9-68F488A1A0C6}"/>
    <cellStyle name="Normal 2 4 7 2 8" xfId="1231" xr:uid="{95FFD146-C666-4A63-8CF1-049C39257EF6}"/>
    <cellStyle name="Normal 2 4 7 3" xfId="808" xr:uid="{00000000-0005-0000-0000-000026020000}"/>
    <cellStyle name="Normal 2 4 7 3 2" xfId="3875" xr:uid="{62FCDC2D-E846-40CA-9A74-A879E5C7BF36}"/>
    <cellStyle name="Normal 2 4 7 3 2 2" xfId="8093" xr:uid="{A1C0961E-FC46-48E4-99E8-BEE3CCD563D3}"/>
    <cellStyle name="Normal 2 4 7 3 3" xfId="5948" xr:uid="{00E312DC-BEE6-426D-B305-368E0FEECE1B}"/>
    <cellStyle name="Normal 2 4 7 3 4" xfId="1646" xr:uid="{D2B6B48F-6393-4964-B54E-F5F1000383FD}"/>
    <cellStyle name="Normal 2 4 7 4" xfId="2059" xr:uid="{83E99D72-B38C-4CE3-A627-A537ACC80E97}"/>
    <cellStyle name="Normal 2 4 7 4 2" xfId="4288" xr:uid="{DC86EB5E-2DD0-4D68-9447-BE88C0CAE5C1}"/>
    <cellStyle name="Normal 2 4 7 4 2 2" xfId="8506" xr:uid="{1F17170D-4C57-48E1-B6D9-0804967F80E2}"/>
    <cellStyle name="Normal 2 4 7 4 3" xfId="6361" xr:uid="{149935AA-2FF0-421D-ACD6-0CFECEA88984}"/>
    <cellStyle name="Normal 2 4 7 5" xfId="2472" xr:uid="{BF4969FC-3547-49E8-81EC-0FAA7B5E5EEC}"/>
    <cellStyle name="Normal 2 4 7 5 2" xfId="4701" xr:uid="{7308AFD2-AEE7-4151-B202-143CBEEAB21C}"/>
    <cellStyle name="Normal 2 4 7 5 2 2" xfId="8919" xr:uid="{A24C6478-275D-46EF-8D08-437DAC99DBC3}"/>
    <cellStyle name="Normal 2 4 7 5 3" xfId="6774" xr:uid="{C227D97D-C9C7-4E7F-A55E-EB8CB898EADC}"/>
    <cellStyle name="Normal 2 4 7 6" xfId="2885" xr:uid="{26310462-9033-4D6A-8FD6-9669FE9A012F}"/>
    <cellStyle name="Normal 2 4 7 6 2" xfId="5114" xr:uid="{4BD58ABE-47F0-4C0A-B5CC-EAED2CE770E7}"/>
    <cellStyle name="Normal 2 4 7 6 2 2" xfId="9332" xr:uid="{828EBCCD-EE1C-41E9-AA00-15E10224C7EE}"/>
    <cellStyle name="Normal 2 4 7 6 3" xfId="7187" xr:uid="{15A8ACC5-8D90-4804-BED8-E3890D7EF253}"/>
    <cellStyle name="Normal 2 4 7 7" xfId="3321" xr:uid="{904EC787-E7C5-4DB7-B23A-B4C087777DF4}"/>
    <cellStyle name="Normal 2 4 7 7 2" xfId="7600" xr:uid="{61C83E79-E8C1-4E89-A27B-4F1116E6EC1C}"/>
    <cellStyle name="Normal 2 4 7 8" xfId="5534" xr:uid="{100172C9-9EB4-45E3-B405-5006F0E9D440}"/>
    <cellStyle name="Normal 2 4 7 9" xfId="1230" xr:uid="{56BE083A-4535-4681-90D0-8F3EC70AFB38}"/>
    <cellStyle name="Normal 2 4 8" xfId="317" xr:uid="{00000000-0005-0000-0000-000027020000}"/>
    <cellStyle name="Normal 2 4 8 2" xfId="810" xr:uid="{00000000-0005-0000-0000-000028020000}"/>
    <cellStyle name="Normal 2 4 8 2 2" xfId="3877" xr:uid="{77409C9B-444F-406E-BF54-4716F4B4BBB1}"/>
    <cellStyle name="Normal 2 4 8 2 2 2" xfId="8095" xr:uid="{6CC9D277-A2CE-4E4C-AE94-6AF018A171B3}"/>
    <cellStyle name="Normal 2 4 8 2 3" xfId="5950" xr:uid="{D07AE3BE-810B-4919-9A87-AE91EA2FDE9F}"/>
    <cellStyle name="Normal 2 4 8 2 4" xfId="1648" xr:uid="{511EFD07-D05D-4843-AA38-6123B0300671}"/>
    <cellStyle name="Normal 2 4 8 3" xfId="2061" xr:uid="{EB62F666-8B7C-4CAB-A392-03BD4CE91FC0}"/>
    <cellStyle name="Normal 2 4 8 3 2" xfId="4290" xr:uid="{9EBBBC6A-85E2-4019-9A40-EDBACD546048}"/>
    <cellStyle name="Normal 2 4 8 3 2 2" xfId="8508" xr:uid="{14471C90-C3D3-42E0-B315-5670FD594AC0}"/>
    <cellStyle name="Normal 2 4 8 3 3" xfId="6363" xr:uid="{E61CE404-688B-4A2B-9934-32ECF54C28C5}"/>
    <cellStyle name="Normal 2 4 8 4" xfId="2474" xr:uid="{9567A830-5D75-4ADF-85FF-8D758403516D}"/>
    <cellStyle name="Normal 2 4 8 4 2" xfId="4703" xr:uid="{20F35236-482F-4428-B21C-7270AF41571A}"/>
    <cellStyle name="Normal 2 4 8 4 2 2" xfId="8921" xr:uid="{C399B1CA-3331-415B-AD8B-AC84B4D8F885}"/>
    <cellStyle name="Normal 2 4 8 4 3" xfId="6776" xr:uid="{082AF7C2-7089-4A5B-8BF7-425037551F66}"/>
    <cellStyle name="Normal 2 4 8 5" xfId="2887" xr:uid="{BC96703C-66F7-442F-833C-F2627F5329EF}"/>
    <cellStyle name="Normal 2 4 8 5 2" xfId="5116" xr:uid="{34A77022-6DEC-4BF9-B5C4-A92B1C20204E}"/>
    <cellStyle name="Normal 2 4 8 5 2 2" xfId="9334" xr:uid="{5B51D45C-85E8-4BD1-AA3B-48599758CEB3}"/>
    <cellStyle name="Normal 2 4 8 5 3" xfId="7189" xr:uid="{5670A9E4-5575-43F2-8BC5-857E33D87D74}"/>
    <cellStyle name="Normal 2 4 8 6" xfId="3323" xr:uid="{9709A667-93DA-421C-AF1C-D79513836773}"/>
    <cellStyle name="Normal 2 4 8 6 2" xfId="7602" xr:uid="{16319108-5F1A-41AA-93D6-DFA1485C83BF}"/>
    <cellStyle name="Normal 2 4 8 7" xfId="5536" xr:uid="{E03BAFFD-3C06-4D33-8B35-F2A176C26E5B}"/>
    <cellStyle name="Normal 2 4 8 8" xfId="1232" xr:uid="{498785D2-A380-4850-AD65-0631DE46937B}"/>
    <cellStyle name="Normal 2 5" xfId="318" xr:uid="{00000000-0005-0000-0000-000029020000}"/>
    <cellStyle name="Normal 2 5 10" xfId="5537" xr:uid="{F718FA9C-C0A1-4553-8EDE-632964E70591}"/>
    <cellStyle name="Normal 2 5 11" xfId="1233" xr:uid="{BC0D1B03-CD10-4957-B90C-558898C02CE6}"/>
    <cellStyle name="Normal 2 5 2" xfId="319" xr:uid="{00000000-0005-0000-0000-00002A020000}"/>
    <cellStyle name="Normal 2 5 3" xfId="320" xr:uid="{00000000-0005-0000-0000-00002B020000}"/>
    <cellStyle name="Normal 2 5 4" xfId="321" xr:uid="{00000000-0005-0000-0000-00002C020000}"/>
    <cellStyle name="Normal 2 5 4 10" xfId="1234" xr:uid="{F37E30B7-8B45-4282-9118-207D50F931F4}"/>
    <cellStyle name="Normal 2 5 4 2" xfId="322" xr:uid="{00000000-0005-0000-0000-00002D020000}"/>
    <cellStyle name="Normal 2 5 4 2 2" xfId="323" xr:uid="{00000000-0005-0000-0000-00002E020000}"/>
    <cellStyle name="Normal 2 5 4 2 2 2" xfId="814" xr:uid="{00000000-0005-0000-0000-00002F020000}"/>
    <cellStyle name="Normal 2 5 4 2 2 2 2" xfId="3881" xr:uid="{40ACCB99-C9B2-4EF0-AAF8-7E7BD0B54711}"/>
    <cellStyle name="Normal 2 5 4 2 2 2 2 2" xfId="8099" xr:uid="{42A22AB1-C0C2-466D-8846-C91E5383C41F}"/>
    <cellStyle name="Normal 2 5 4 2 2 2 3" xfId="5954" xr:uid="{BEB9B5A9-BC86-4ED4-BA4E-D4A98FF9BB5D}"/>
    <cellStyle name="Normal 2 5 4 2 2 2 4" xfId="1652" xr:uid="{13816181-0B87-4D07-A3BF-AB646DACEA41}"/>
    <cellStyle name="Normal 2 5 4 2 2 3" xfId="2065" xr:uid="{85F3B78B-8E3B-4427-8924-CB4233BCB6C6}"/>
    <cellStyle name="Normal 2 5 4 2 2 3 2" xfId="4294" xr:uid="{74D0BE6E-FFFE-4CCB-A3A1-BF73D132C38C}"/>
    <cellStyle name="Normal 2 5 4 2 2 3 2 2" xfId="8512" xr:uid="{EDCBF871-0EBB-45D2-A5E8-FB75974C0150}"/>
    <cellStyle name="Normal 2 5 4 2 2 3 3" xfId="6367" xr:uid="{C44CD23B-18D8-4768-8B66-E02135D3767B}"/>
    <cellStyle name="Normal 2 5 4 2 2 4" xfId="2478" xr:uid="{9D918AA6-675A-45F9-9D2A-12957653A2D8}"/>
    <cellStyle name="Normal 2 5 4 2 2 4 2" xfId="4707" xr:uid="{B5F43A88-1801-44CC-AEF7-9596DE773C8B}"/>
    <cellStyle name="Normal 2 5 4 2 2 4 2 2" xfId="8925" xr:uid="{6E358F21-F79E-439A-B8C4-95E62ACB8E61}"/>
    <cellStyle name="Normal 2 5 4 2 2 4 3" xfId="6780" xr:uid="{A3CCB689-6187-45B7-A855-EF381EE7B3A8}"/>
    <cellStyle name="Normal 2 5 4 2 2 5" xfId="2891" xr:uid="{A6F236B4-53DB-450C-8A07-B0452AE6DBF7}"/>
    <cellStyle name="Normal 2 5 4 2 2 5 2" xfId="5120" xr:uid="{C1955597-CAE8-4F76-897D-E8C86B9CA290}"/>
    <cellStyle name="Normal 2 5 4 2 2 5 2 2" xfId="9338" xr:uid="{34060B2F-1EB0-43B3-86B1-CF44DD28BB9F}"/>
    <cellStyle name="Normal 2 5 4 2 2 5 3" xfId="7193" xr:uid="{7476DEB1-3E24-4F90-BA5E-952A6208DEDB}"/>
    <cellStyle name="Normal 2 5 4 2 2 6" xfId="3327" xr:uid="{5BAA7010-2045-48F3-B2C6-DA8C9C5803D6}"/>
    <cellStyle name="Normal 2 5 4 2 2 6 2" xfId="7606" xr:uid="{9AB3ABA6-CED4-4AF0-87D5-9B6130CC9E7D}"/>
    <cellStyle name="Normal 2 5 4 2 2 7" xfId="5540" xr:uid="{07A1D611-DDAE-471A-8423-A90CB97EE03A}"/>
    <cellStyle name="Normal 2 5 4 2 2 8" xfId="1236" xr:uid="{FE00DD05-BB59-418D-BDB1-9E6B47C5C72E}"/>
    <cellStyle name="Normal 2 5 4 2 3" xfId="813" xr:uid="{00000000-0005-0000-0000-000030020000}"/>
    <cellStyle name="Normal 2 5 4 2 3 2" xfId="3880" xr:uid="{56DF88BF-77A9-4125-B681-75D986F18B63}"/>
    <cellStyle name="Normal 2 5 4 2 3 2 2" xfId="8098" xr:uid="{8293285F-F9D6-4551-8594-1202D6E25047}"/>
    <cellStyle name="Normal 2 5 4 2 3 3" xfId="5953" xr:uid="{2373AFCF-D195-4A0A-A437-5260B0CB7061}"/>
    <cellStyle name="Normal 2 5 4 2 3 4" xfId="1651" xr:uid="{921FAEBF-ECDE-4AEF-A7D0-7359FB3B3309}"/>
    <cellStyle name="Normal 2 5 4 2 4" xfId="2064" xr:uid="{669C55CD-89AD-4C77-8C7C-98EFD5DD5FB6}"/>
    <cellStyle name="Normal 2 5 4 2 4 2" xfId="4293" xr:uid="{EFDE02F8-F893-4C66-8050-E6CC781DDE8F}"/>
    <cellStyle name="Normal 2 5 4 2 4 2 2" xfId="8511" xr:uid="{0E1FBA39-914A-4DB4-AE37-3FD828F7C945}"/>
    <cellStyle name="Normal 2 5 4 2 4 3" xfId="6366" xr:uid="{68B53242-7B6D-48E9-A13D-0EE4E58C2F18}"/>
    <cellStyle name="Normal 2 5 4 2 5" xfId="2477" xr:uid="{B7997358-EA2F-49A1-A5EF-5C35F17CC977}"/>
    <cellStyle name="Normal 2 5 4 2 5 2" xfId="4706" xr:uid="{D630AD15-D86E-40C2-8C0F-D707DEF885BE}"/>
    <cellStyle name="Normal 2 5 4 2 5 2 2" xfId="8924" xr:uid="{E402A994-300D-4408-9F19-0835AC123AE3}"/>
    <cellStyle name="Normal 2 5 4 2 5 3" xfId="6779" xr:uid="{C73FE02A-9EF9-4CCA-A051-DE45EFAEAB14}"/>
    <cellStyle name="Normal 2 5 4 2 6" xfId="2890" xr:uid="{4835B6D3-ECF6-4998-AE90-C518291703AB}"/>
    <cellStyle name="Normal 2 5 4 2 6 2" xfId="5119" xr:uid="{636E5AB5-DA5E-4F67-A6D7-06D30CC732A1}"/>
    <cellStyle name="Normal 2 5 4 2 6 2 2" xfId="9337" xr:uid="{0201CB95-6387-415D-A54B-FC6AC75F630D}"/>
    <cellStyle name="Normal 2 5 4 2 6 3" xfId="7192" xr:uid="{71A34A0B-5FA7-489C-815E-B204FB4C9E65}"/>
    <cellStyle name="Normal 2 5 4 2 7" xfId="3326" xr:uid="{48200724-0DA5-42ED-96CB-D49036253357}"/>
    <cellStyle name="Normal 2 5 4 2 7 2" xfId="7605" xr:uid="{D771BF3E-1834-4BF0-AC24-478AE636CD4C}"/>
    <cellStyle name="Normal 2 5 4 2 8" xfId="5539" xr:uid="{FA4DC66C-6BF3-4B43-8E72-6C59585A88F9}"/>
    <cellStyle name="Normal 2 5 4 2 9" xfId="1235" xr:uid="{251D1F68-EAC1-4F27-94C4-23B189160CFB}"/>
    <cellStyle name="Normal 2 5 4 3" xfId="324" xr:uid="{00000000-0005-0000-0000-000031020000}"/>
    <cellStyle name="Normal 2 5 4 3 2" xfId="815" xr:uid="{00000000-0005-0000-0000-000032020000}"/>
    <cellStyle name="Normal 2 5 4 3 2 2" xfId="3882" xr:uid="{CA0190D0-F4FC-424A-8D41-67AD93195C0B}"/>
    <cellStyle name="Normal 2 5 4 3 2 2 2" xfId="8100" xr:uid="{AE93C549-DF91-49FF-BE3D-4491F07F49DA}"/>
    <cellStyle name="Normal 2 5 4 3 2 3" xfId="5955" xr:uid="{30E256F0-2A57-4063-B6E6-C8CB0470B842}"/>
    <cellStyle name="Normal 2 5 4 3 2 4" xfId="1653" xr:uid="{D58C3123-AA52-424C-82C9-A1B45A74A4B9}"/>
    <cellStyle name="Normal 2 5 4 3 3" xfId="2066" xr:uid="{91619A77-8FA7-48D1-A7F3-8B764EEAD6A4}"/>
    <cellStyle name="Normal 2 5 4 3 3 2" xfId="4295" xr:uid="{218FBD2E-F9B1-45E2-B934-3466F20E3F8C}"/>
    <cellStyle name="Normal 2 5 4 3 3 2 2" xfId="8513" xr:uid="{A24DF945-E836-4F3C-819A-713930D5AA25}"/>
    <cellStyle name="Normal 2 5 4 3 3 3" xfId="6368" xr:uid="{66FA120E-A058-4C36-8CA6-817146BE935B}"/>
    <cellStyle name="Normal 2 5 4 3 4" xfId="2479" xr:uid="{8073EFFA-A65E-44AB-9817-D114D6668AAD}"/>
    <cellStyle name="Normal 2 5 4 3 4 2" xfId="4708" xr:uid="{CF70234C-2DDC-4757-AEA3-6887527A093B}"/>
    <cellStyle name="Normal 2 5 4 3 4 2 2" xfId="8926" xr:uid="{5968E99C-86BA-49BD-8F99-6B4ECA48E6D1}"/>
    <cellStyle name="Normal 2 5 4 3 4 3" xfId="6781" xr:uid="{44C32928-5C7C-4359-8EB9-CDF35035DEF6}"/>
    <cellStyle name="Normal 2 5 4 3 5" xfId="2892" xr:uid="{B247FF3A-BF09-419D-9C7F-45A642AB3E21}"/>
    <cellStyle name="Normal 2 5 4 3 5 2" xfId="5121" xr:uid="{7C4D1875-6029-4436-88CA-2FC1019B6C37}"/>
    <cellStyle name="Normal 2 5 4 3 5 2 2" xfId="9339" xr:uid="{0DCF2651-E7BF-44AD-900B-08E383BFC252}"/>
    <cellStyle name="Normal 2 5 4 3 5 3" xfId="7194" xr:uid="{1C070D5E-BE67-4959-B40E-A574F1AA3B79}"/>
    <cellStyle name="Normal 2 5 4 3 6" xfId="3328" xr:uid="{A5A00BA3-42FC-4107-8E08-38E86F6EDD94}"/>
    <cellStyle name="Normal 2 5 4 3 6 2" xfId="7607" xr:uid="{91C90C2F-E760-4F26-A804-171C7CBA3F61}"/>
    <cellStyle name="Normal 2 5 4 3 7" xfId="5541" xr:uid="{A90B105B-8FA8-4FAB-A1E8-442419D2D883}"/>
    <cellStyle name="Normal 2 5 4 3 8" xfId="1237" xr:uid="{0480A634-672F-48A1-A029-013C7B14ED2C}"/>
    <cellStyle name="Normal 2 5 4 4" xfId="812" xr:uid="{00000000-0005-0000-0000-000033020000}"/>
    <cellStyle name="Normal 2 5 4 4 2" xfId="3879" xr:uid="{C8EB4F04-30A9-45C1-A771-663264FD7D37}"/>
    <cellStyle name="Normal 2 5 4 4 2 2" xfId="8097" xr:uid="{A39940F9-9E62-4A7E-BDF9-4DB7C40CA117}"/>
    <cellStyle name="Normal 2 5 4 4 3" xfId="5952" xr:uid="{DF47C784-2C5C-4F86-90E1-62D3A69552B6}"/>
    <cellStyle name="Normal 2 5 4 4 4" xfId="1650" xr:uid="{70514C24-62B6-41E1-8A65-7207B06ADE98}"/>
    <cellStyle name="Normal 2 5 4 5" xfId="2063" xr:uid="{0725E407-8EA2-4F6E-9834-D45DD4662AF8}"/>
    <cellStyle name="Normal 2 5 4 5 2" xfId="4292" xr:uid="{867785D7-A3E4-4FF4-87E9-B6A2459BE076}"/>
    <cellStyle name="Normal 2 5 4 5 2 2" xfId="8510" xr:uid="{0B8B9CB1-166F-421E-918A-F2E3E6A6ABAB}"/>
    <cellStyle name="Normal 2 5 4 5 3" xfId="6365" xr:uid="{BBA859E8-663A-45B8-A3F5-8EA1D98FF62B}"/>
    <cellStyle name="Normal 2 5 4 6" xfId="2476" xr:uid="{C36F2444-19BC-42C2-B30E-BB9CA93E66D6}"/>
    <cellStyle name="Normal 2 5 4 6 2" xfId="4705" xr:uid="{56078DC8-ABA8-4473-B125-68E444086092}"/>
    <cellStyle name="Normal 2 5 4 6 2 2" xfId="8923" xr:uid="{9A0CD5C7-BC97-4492-81AE-D08DD872991D}"/>
    <cellStyle name="Normal 2 5 4 6 3" xfId="6778" xr:uid="{33205896-ACE5-4A2F-AB76-36EC3B3705CA}"/>
    <cellStyle name="Normal 2 5 4 7" xfId="2889" xr:uid="{25C5D960-7CC7-461A-8953-8F4CFC699C1C}"/>
    <cellStyle name="Normal 2 5 4 7 2" xfId="5118" xr:uid="{699CCC2A-C1E0-4963-827D-CEF3CFE5924E}"/>
    <cellStyle name="Normal 2 5 4 7 2 2" xfId="9336" xr:uid="{D5DAD4AB-EACC-4CED-BD37-8FB1B72B2AFC}"/>
    <cellStyle name="Normal 2 5 4 7 3" xfId="7191" xr:uid="{443E646E-BA1A-4FA0-98D3-9D117A46992D}"/>
    <cellStyle name="Normal 2 5 4 8" xfId="3325" xr:uid="{D2BE38E4-9A08-42FF-A75C-7130FA030C38}"/>
    <cellStyle name="Normal 2 5 4 8 2" xfId="7604" xr:uid="{608C4B99-B4BB-4B1F-9F05-B17E43CB2150}"/>
    <cellStyle name="Normal 2 5 4 9" xfId="5538" xr:uid="{EE167F62-A20B-4711-B112-1145C4C372B4}"/>
    <cellStyle name="Normal 2 5 5" xfId="811" xr:uid="{00000000-0005-0000-0000-000034020000}"/>
    <cellStyle name="Normal 2 5 5 2" xfId="3878" xr:uid="{40469C0B-2CD0-4362-BBAA-7EA3C1A96DCD}"/>
    <cellStyle name="Normal 2 5 5 2 2" xfId="8096" xr:uid="{A9CB3D50-0225-4C2C-952F-249F15731176}"/>
    <cellStyle name="Normal 2 5 5 3" xfId="5951" xr:uid="{959833E7-CA9A-45D8-A93A-0B3571376FC3}"/>
    <cellStyle name="Normal 2 5 5 4" xfId="1649" xr:uid="{B09F61F7-BA41-4D9F-AB40-F1901391DFA0}"/>
    <cellStyle name="Normal 2 5 6" xfId="2062" xr:uid="{B3D12C29-221D-46F5-AA26-872E8DAE7DB6}"/>
    <cellStyle name="Normal 2 5 6 2" xfId="4291" xr:uid="{EF6922F6-EB1D-40ED-8872-379957B5366D}"/>
    <cellStyle name="Normal 2 5 6 2 2" xfId="8509" xr:uid="{DE2ED67C-6467-4560-BB9B-6DF20783BF64}"/>
    <cellStyle name="Normal 2 5 6 3" xfId="6364" xr:uid="{9AA70AF9-FC7B-4FF7-8449-8C7334DD8952}"/>
    <cellStyle name="Normal 2 5 7" xfId="2475" xr:uid="{4D09C3B3-26AE-47F1-B1AD-EF079E67668D}"/>
    <cellStyle name="Normal 2 5 7 2" xfId="4704" xr:uid="{38507165-3C1A-44DB-8D02-155F4E48F06B}"/>
    <cellStyle name="Normal 2 5 7 2 2" xfId="8922" xr:uid="{8AC3701B-9FD3-45A2-A57A-4429B398924A}"/>
    <cellStyle name="Normal 2 5 7 3" xfId="6777" xr:uid="{D0455D72-D495-4FC0-AA4F-F3C7F4C4B0F4}"/>
    <cellStyle name="Normal 2 5 8" xfId="2888" xr:uid="{686C50B7-A5DF-452B-A349-70A8D585779D}"/>
    <cellStyle name="Normal 2 5 8 2" xfId="5117" xr:uid="{2A143456-7308-45AA-8A5E-CBD88D95E3E5}"/>
    <cellStyle name="Normal 2 5 8 2 2" xfId="9335" xr:uid="{CA028DDD-205B-46CE-A17C-A1F5058A3F42}"/>
    <cellStyle name="Normal 2 5 8 3" xfId="7190" xr:uid="{80C1500E-64F8-41E5-A7CC-2FB346286422}"/>
    <cellStyle name="Normal 2 5 9" xfId="3324" xr:uid="{F171F9F7-3DDF-4D13-BACE-4C88D7A5A357}"/>
    <cellStyle name="Normal 2 5 9 2" xfId="7603" xr:uid="{068732B2-242A-4C79-A131-638B4206467F}"/>
    <cellStyle name="Normal 2 6" xfId="325" xr:uid="{00000000-0005-0000-0000-000035020000}"/>
    <cellStyle name="Normal 2 7" xfId="1616" xr:uid="{84EB8870-8DA4-49CB-8683-08D4EB81D27C}"/>
    <cellStyle name="Normal 2 8" xfId="574" xr:uid="{00000000-0005-0000-0000-000036020000}"/>
    <cellStyle name="Normal 3" xfId="326" xr:uid="{00000000-0005-0000-0000-000037020000}"/>
    <cellStyle name="Normal 3 2" xfId="327" xr:uid="{00000000-0005-0000-0000-000038020000}"/>
    <cellStyle name="Normal 3 2 10" xfId="1238" xr:uid="{6A30966C-1B9E-4799-AB40-56D2694BAB16}"/>
    <cellStyle name="Normal 3 2 2" xfId="328" xr:uid="{00000000-0005-0000-0000-000039020000}"/>
    <cellStyle name="Normal 3 2 2 2" xfId="818" xr:uid="{00000000-0005-0000-0000-00003A020000}"/>
    <cellStyle name="Normal 3 2 3" xfId="329" xr:uid="{00000000-0005-0000-0000-00003B020000}"/>
    <cellStyle name="Normal 3 2 3 10" xfId="1239" xr:uid="{A314DE96-9C9C-4CA2-A25C-609500EEFD40}"/>
    <cellStyle name="Normal 3 2 3 2" xfId="330" xr:uid="{00000000-0005-0000-0000-00003C020000}"/>
    <cellStyle name="Normal 3 2 3 2 2" xfId="331" xr:uid="{00000000-0005-0000-0000-00003D020000}"/>
    <cellStyle name="Normal 3 2 3 2 2 2" xfId="821" xr:uid="{00000000-0005-0000-0000-00003E020000}"/>
    <cellStyle name="Normal 3 2 3 2 2 2 2" xfId="3886" xr:uid="{A6055F40-0BBC-4DD6-8B84-E827EA948AEB}"/>
    <cellStyle name="Normal 3 2 3 2 2 2 2 2" xfId="8104" xr:uid="{70B4B217-E5F5-425E-ADC0-132519B257F1}"/>
    <cellStyle name="Normal 3 2 3 2 2 2 3" xfId="5959" xr:uid="{1E838876-EB6F-44FF-A72F-FA44AB3FAD7F}"/>
    <cellStyle name="Normal 3 2 3 2 2 2 4" xfId="1657" xr:uid="{AE466C0A-7EBE-4F8D-A947-307178807F9C}"/>
    <cellStyle name="Normal 3 2 3 2 2 3" xfId="2070" xr:uid="{0A192CDE-F19C-4E00-881B-AB933C56E422}"/>
    <cellStyle name="Normal 3 2 3 2 2 3 2" xfId="4299" xr:uid="{6AD85E70-D6A1-4B97-9EF6-B628BDDCFAF4}"/>
    <cellStyle name="Normal 3 2 3 2 2 3 2 2" xfId="8517" xr:uid="{B1D5265D-0654-4E8B-B898-063A0E4CFF92}"/>
    <cellStyle name="Normal 3 2 3 2 2 3 3" xfId="6372" xr:uid="{DF937875-16B7-457F-9F2E-C6293CA8CE0F}"/>
    <cellStyle name="Normal 3 2 3 2 2 4" xfId="2483" xr:uid="{9398C6CD-0A1F-4371-B6A4-BC6D2F0204AE}"/>
    <cellStyle name="Normal 3 2 3 2 2 4 2" xfId="4712" xr:uid="{DDE7E34F-28AF-4B41-A471-192E31986125}"/>
    <cellStyle name="Normal 3 2 3 2 2 4 2 2" xfId="8930" xr:uid="{5D0C21F7-F3D0-4787-BB40-C93EBF7F79DC}"/>
    <cellStyle name="Normal 3 2 3 2 2 4 3" xfId="6785" xr:uid="{062D6C51-71A3-4F74-B3D7-018EFA807B8F}"/>
    <cellStyle name="Normal 3 2 3 2 2 5" xfId="2896" xr:uid="{1EEABE66-B93F-473D-A7AC-7F90991E90D6}"/>
    <cellStyle name="Normal 3 2 3 2 2 5 2" xfId="5125" xr:uid="{07755164-E2C9-4602-986F-6C70D61071E0}"/>
    <cellStyle name="Normal 3 2 3 2 2 5 2 2" xfId="9343" xr:uid="{67B73524-2A02-4654-8E28-FCB0057A8969}"/>
    <cellStyle name="Normal 3 2 3 2 2 5 3" xfId="7198" xr:uid="{B471CE87-285B-4F4C-83FA-29B639ECAB75}"/>
    <cellStyle name="Normal 3 2 3 2 2 6" xfId="3332" xr:uid="{70C15823-BD2D-43FC-8F96-979636D5615C}"/>
    <cellStyle name="Normal 3 2 3 2 2 6 2" xfId="7611" xr:uid="{4C94B3EB-4274-4C59-A6F1-DD9BA2E9F733}"/>
    <cellStyle name="Normal 3 2 3 2 2 7" xfId="5545" xr:uid="{E22A439F-32A6-4CBE-9E0E-706FE543A642}"/>
    <cellStyle name="Normal 3 2 3 2 2 8" xfId="1241" xr:uid="{746505EA-0AA4-455B-BA70-C2FEF538C84A}"/>
    <cellStyle name="Normal 3 2 3 2 3" xfId="820" xr:uid="{00000000-0005-0000-0000-00003F020000}"/>
    <cellStyle name="Normal 3 2 3 2 3 2" xfId="3885" xr:uid="{F1972162-2B5D-4726-87C6-EFB2A8C35941}"/>
    <cellStyle name="Normal 3 2 3 2 3 2 2" xfId="8103" xr:uid="{CEAF5E1E-A3D6-45E9-A4C5-4875942BA68A}"/>
    <cellStyle name="Normal 3 2 3 2 3 3" xfId="5958" xr:uid="{65624C16-3B59-497B-8491-E8E1E0B04F64}"/>
    <cellStyle name="Normal 3 2 3 2 3 4" xfId="1656" xr:uid="{57034EAA-2C48-40A5-9832-5CBE2E70B8FE}"/>
    <cellStyle name="Normal 3 2 3 2 4" xfId="2069" xr:uid="{36186DFF-9B46-436F-A912-A9C8AAE859D1}"/>
    <cellStyle name="Normal 3 2 3 2 4 2" xfId="4298" xr:uid="{94D5E787-CA90-499F-93B6-1ACA2FE10B4E}"/>
    <cellStyle name="Normal 3 2 3 2 4 2 2" xfId="8516" xr:uid="{43D21C33-9146-4389-8FAE-215890A55EE4}"/>
    <cellStyle name="Normal 3 2 3 2 4 3" xfId="6371" xr:uid="{CA148141-3D7D-45CF-8766-4A92F0BA307B}"/>
    <cellStyle name="Normal 3 2 3 2 5" xfId="2482" xr:uid="{7AD71393-567A-4AAD-BA55-BBB058856C11}"/>
    <cellStyle name="Normal 3 2 3 2 5 2" xfId="4711" xr:uid="{E4ED0015-7433-4D6D-8EEA-96D08A4E56DD}"/>
    <cellStyle name="Normal 3 2 3 2 5 2 2" xfId="8929" xr:uid="{A7470B63-759A-4469-A6B1-7D425F2818DB}"/>
    <cellStyle name="Normal 3 2 3 2 5 3" xfId="6784" xr:uid="{D451F39B-565B-4DA1-ACFD-AC0088D010C1}"/>
    <cellStyle name="Normal 3 2 3 2 6" xfId="2895" xr:uid="{5BCC098D-649F-4851-B7CA-CF18B9E7A2A8}"/>
    <cellStyle name="Normal 3 2 3 2 6 2" xfId="5124" xr:uid="{30A29EED-A93B-430E-9604-0AA8AF938C28}"/>
    <cellStyle name="Normal 3 2 3 2 6 2 2" xfId="9342" xr:uid="{482A6619-EE90-4AD0-AEC9-4D3FB5F0076A}"/>
    <cellStyle name="Normal 3 2 3 2 6 3" xfId="7197" xr:uid="{22409030-0438-4A1B-9961-4CB1530E585B}"/>
    <cellStyle name="Normal 3 2 3 2 7" xfId="3331" xr:uid="{2D519F0B-9F5B-4F63-98CD-0ECFF30D134E}"/>
    <cellStyle name="Normal 3 2 3 2 7 2" xfId="7610" xr:uid="{DCEBA83D-D6E6-4F1D-AADB-82D77B5FEE17}"/>
    <cellStyle name="Normal 3 2 3 2 8" xfId="5544" xr:uid="{1568532C-56D8-4B5E-959B-D9A84362E2E9}"/>
    <cellStyle name="Normal 3 2 3 2 9" xfId="1240" xr:uid="{70BD3353-FDF0-4798-9CE0-BE4D17316292}"/>
    <cellStyle name="Normal 3 2 3 3" xfId="332" xr:uid="{00000000-0005-0000-0000-000040020000}"/>
    <cellStyle name="Normal 3 2 3 3 2" xfId="822" xr:uid="{00000000-0005-0000-0000-000041020000}"/>
    <cellStyle name="Normal 3 2 3 3 2 2" xfId="3887" xr:uid="{C4503AA5-9E74-4308-8528-108364845A38}"/>
    <cellStyle name="Normal 3 2 3 3 2 2 2" xfId="8105" xr:uid="{D107FF30-ECF0-4475-8B25-53F9B3136547}"/>
    <cellStyle name="Normal 3 2 3 3 2 3" xfId="5960" xr:uid="{920F9D9F-997E-4848-A6DE-58E461E7BBE7}"/>
    <cellStyle name="Normal 3 2 3 3 2 4" xfId="1658" xr:uid="{54107072-EDDB-40E8-8142-A9610166BA3B}"/>
    <cellStyle name="Normal 3 2 3 3 3" xfId="2071" xr:uid="{3A30C593-D194-4005-AB39-DA1F17DAFB60}"/>
    <cellStyle name="Normal 3 2 3 3 3 2" xfId="4300" xr:uid="{4C498EBA-F784-4475-83DF-1DDAF3A7EA09}"/>
    <cellStyle name="Normal 3 2 3 3 3 2 2" xfId="8518" xr:uid="{9BB51AA8-4A90-46C3-8C43-BA72FE79DCC6}"/>
    <cellStyle name="Normal 3 2 3 3 3 3" xfId="6373" xr:uid="{50C0466F-A31F-4652-8928-BC5B75D9334E}"/>
    <cellStyle name="Normal 3 2 3 3 4" xfId="2484" xr:uid="{DB66D3B5-A1BA-49DF-85D2-10839E4D2D07}"/>
    <cellStyle name="Normal 3 2 3 3 4 2" xfId="4713" xr:uid="{DC4507BB-B041-407D-95C7-E16057540C49}"/>
    <cellStyle name="Normal 3 2 3 3 4 2 2" xfId="8931" xr:uid="{B5BADB87-BDD7-47F4-AF48-55A3A927357D}"/>
    <cellStyle name="Normal 3 2 3 3 4 3" xfId="6786" xr:uid="{F4BE88C7-7DA1-4DBA-9F7A-6E98CD5F0403}"/>
    <cellStyle name="Normal 3 2 3 3 5" xfId="2897" xr:uid="{D43BD948-034A-45F2-92BB-C005FA3FA68F}"/>
    <cellStyle name="Normal 3 2 3 3 5 2" xfId="5126" xr:uid="{12412D6C-3413-4415-BF6F-260B9B3B742F}"/>
    <cellStyle name="Normal 3 2 3 3 5 2 2" xfId="9344" xr:uid="{865A3403-E1E9-4ABD-828A-1C2EB5006460}"/>
    <cellStyle name="Normal 3 2 3 3 5 3" xfId="7199" xr:uid="{54A46F92-6513-41DE-B353-028FF18220D7}"/>
    <cellStyle name="Normal 3 2 3 3 6" xfId="3333" xr:uid="{B022A0CE-F2F2-4F0A-AFAE-9032A0951EEE}"/>
    <cellStyle name="Normal 3 2 3 3 6 2" xfId="7612" xr:uid="{014E07F2-AB5B-4D23-9ECC-D26BA88B991C}"/>
    <cellStyle name="Normal 3 2 3 3 7" xfId="5546" xr:uid="{0CF7C44D-9099-40CC-867E-DB3D0B120644}"/>
    <cellStyle name="Normal 3 2 3 3 8" xfId="1242" xr:uid="{35FBC5DC-B0ED-4641-8C83-3B1200F57A0D}"/>
    <cellStyle name="Normal 3 2 3 4" xfId="819" xr:uid="{00000000-0005-0000-0000-000042020000}"/>
    <cellStyle name="Normal 3 2 3 4 2" xfId="3884" xr:uid="{187805C1-5A5E-48BC-9B8A-BE3060AEBA0A}"/>
    <cellStyle name="Normal 3 2 3 4 2 2" xfId="8102" xr:uid="{F2B6B2F5-1928-4E33-BF6D-EB4514662A37}"/>
    <cellStyle name="Normal 3 2 3 4 3" xfId="5957" xr:uid="{B84DFC0B-5779-48E0-84EB-62CC86902887}"/>
    <cellStyle name="Normal 3 2 3 4 4" xfId="1655" xr:uid="{6843B88E-47E5-456F-9AD9-19F8E3414D57}"/>
    <cellStyle name="Normal 3 2 3 5" xfId="2068" xr:uid="{939CF190-73AD-46F4-9F50-9018421A47A7}"/>
    <cellStyle name="Normal 3 2 3 5 2" xfId="4297" xr:uid="{40FCDA6C-C5BD-4666-9E8F-FDA301BD0A16}"/>
    <cellStyle name="Normal 3 2 3 5 2 2" xfId="8515" xr:uid="{7C956764-4957-4528-941B-0EFA06FB8819}"/>
    <cellStyle name="Normal 3 2 3 5 3" xfId="6370" xr:uid="{D4E28641-E8AB-4F68-9BEE-3E25FD5BF775}"/>
    <cellStyle name="Normal 3 2 3 6" xfId="2481" xr:uid="{5FC74267-17C2-43C4-BD9C-11A43900B6DC}"/>
    <cellStyle name="Normal 3 2 3 6 2" xfId="4710" xr:uid="{F9ADE842-1E08-4DEB-AFB9-80F7D5A12AF2}"/>
    <cellStyle name="Normal 3 2 3 6 2 2" xfId="8928" xr:uid="{449A8757-70C5-41FC-9690-ED62ED6122F8}"/>
    <cellStyle name="Normal 3 2 3 6 3" xfId="6783" xr:uid="{5C10AB25-59C7-4A47-A6EB-91B6983D6DD0}"/>
    <cellStyle name="Normal 3 2 3 7" xfId="2894" xr:uid="{763E5BF0-05B4-4B7B-9785-314FDF5049BF}"/>
    <cellStyle name="Normal 3 2 3 7 2" xfId="5123" xr:uid="{1D7CC6C5-20D0-44B8-AC53-B6E26DD4D5CF}"/>
    <cellStyle name="Normal 3 2 3 7 2 2" xfId="9341" xr:uid="{CD21CEF1-DA94-4A2D-B7B4-0102C7072B43}"/>
    <cellStyle name="Normal 3 2 3 7 3" xfId="7196" xr:uid="{ABD78CE5-DBF3-40C6-B526-35479F0ACBD4}"/>
    <cellStyle name="Normal 3 2 3 8" xfId="3330" xr:uid="{DF705002-D484-487B-B9D4-D244461CF2CE}"/>
    <cellStyle name="Normal 3 2 3 8 2" xfId="7609" xr:uid="{0A89878B-8D53-4CC3-9648-834AAB903989}"/>
    <cellStyle name="Normal 3 2 3 9" xfId="5543" xr:uid="{B7EA3DF3-8C55-4199-8498-8CD3E58F5193}"/>
    <cellStyle name="Normal 3 2 4" xfId="817" xr:uid="{00000000-0005-0000-0000-000043020000}"/>
    <cellStyle name="Normal 3 2 4 2" xfId="3883" xr:uid="{41DD0727-8530-4C5D-866D-9875B9639D04}"/>
    <cellStyle name="Normal 3 2 4 2 2" xfId="8101" xr:uid="{22668641-0D14-4BD9-AAC1-8CC2BFF120C6}"/>
    <cellStyle name="Normal 3 2 4 3" xfId="5956" xr:uid="{CBBEC859-AB3B-4E82-86E5-A9B906AC9D3C}"/>
    <cellStyle name="Normal 3 2 4 4" xfId="1654" xr:uid="{EDB2BCCD-65E6-4E38-8BFA-DDE8C1A9F945}"/>
    <cellStyle name="Normal 3 2 5" xfId="2067" xr:uid="{6BBC017D-0761-4113-A995-3F3B18F5129B}"/>
    <cellStyle name="Normal 3 2 5 2" xfId="4296" xr:uid="{56FED535-D0A8-437D-9CAF-665EA2A069CF}"/>
    <cellStyle name="Normal 3 2 5 2 2" xfId="8514" xr:uid="{035685F8-0352-4DB7-9689-6A903E9396E0}"/>
    <cellStyle name="Normal 3 2 5 3" xfId="6369" xr:uid="{F6D07A8A-4DA3-46BF-B6ED-34158F10F819}"/>
    <cellStyle name="Normal 3 2 6" xfId="2480" xr:uid="{99B6EC51-D65F-476A-95B4-A4DDEB24AFE6}"/>
    <cellStyle name="Normal 3 2 6 2" xfId="4709" xr:uid="{6F66C88E-1F0F-45FC-9D67-51D132DDDCE4}"/>
    <cellStyle name="Normal 3 2 6 2 2" xfId="8927" xr:uid="{214BA435-5213-4934-BB8B-1343C45E37BD}"/>
    <cellStyle name="Normal 3 2 6 3" xfId="6782" xr:uid="{5DC17AB3-C46D-4EB6-A80E-C0A7FA938845}"/>
    <cellStyle name="Normal 3 2 7" xfId="2893" xr:uid="{D1C8887B-F068-4674-A07A-121D08FF59FD}"/>
    <cellStyle name="Normal 3 2 7 2" xfId="5122" xr:uid="{303452E9-7167-4545-8C1E-3C385B3C4CFE}"/>
    <cellStyle name="Normal 3 2 7 2 2" xfId="9340" xr:uid="{DE45ECBF-E01B-48BD-AFE2-F1C098181501}"/>
    <cellStyle name="Normal 3 2 7 3" xfId="7195" xr:uid="{880091D7-CDD1-4B00-84A6-C87701625457}"/>
    <cellStyle name="Normal 3 2 8" xfId="3329" xr:uid="{2F648F19-0D48-4B2F-8820-3F84E86A0974}"/>
    <cellStyle name="Normal 3 2 8 2" xfId="7608" xr:uid="{C40427A9-A39C-4D5B-A4B0-09FF3C7C1C21}"/>
    <cellStyle name="Normal 3 2 9" xfId="5542" xr:uid="{611CE72D-A09C-4E2D-BBB4-5D8B254A9DAD}"/>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10" xfId="1243" xr:uid="{5A4B8D90-F187-4F74-847D-CD652A86B482}"/>
    <cellStyle name="Normal 4 2" xfId="339" xr:uid="{00000000-0005-0000-0000-00004B020000}"/>
    <cellStyle name="Normal 4 2 2" xfId="340" xr:uid="{00000000-0005-0000-0000-00004C020000}"/>
    <cellStyle name="Normal 4 2 2 10" xfId="2898" xr:uid="{72C1D712-ED1C-4963-8E40-3C9F8A8EF846}"/>
    <cellStyle name="Normal 4 2 2 10 2" xfId="5127" xr:uid="{74FD25AA-2D70-4DF8-906C-603B51F30DB8}"/>
    <cellStyle name="Normal 4 2 2 10 2 2" xfId="9345" xr:uid="{25CF5C34-C583-4008-894F-FE1451A4B236}"/>
    <cellStyle name="Normal 4 2 2 10 3" xfId="7200" xr:uid="{E1568705-433E-4E11-96B8-F295F5F5C49F}"/>
    <cellStyle name="Normal 4 2 2 11" xfId="3334" xr:uid="{4ACAC7FA-E4A0-4F04-A5C1-60A8BFB77B35}"/>
    <cellStyle name="Normal 4 2 2 11 2" xfId="7613" xr:uid="{5088E322-804B-41E9-BF26-1260503EB549}"/>
    <cellStyle name="Normal 4 2 2 12" xfId="5548" xr:uid="{52931C03-BB56-46CC-92D1-6A4210673ACB}"/>
    <cellStyle name="Normal 4 2 2 13" xfId="1244" xr:uid="{65F7F9CF-58D5-4E69-84FA-59E4D822C661}"/>
    <cellStyle name="Normal 4 2 2 2" xfId="341" xr:uid="{00000000-0005-0000-0000-00004D020000}"/>
    <cellStyle name="Normal 4 2 2 3" xfId="342" xr:uid="{00000000-0005-0000-0000-00004E020000}"/>
    <cellStyle name="Normal 4 2 2 3 10" xfId="5549" xr:uid="{1DFC0447-6D13-4D53-92B3-990A641C0553}"/>
    <cellStyle name="Normal 4 2 2 3 11" xfId="1245" xr:uid="{CACAA231-F67B-42AD-A723-785F33097A79}"/>
    <cellStyle name="Normal 4 2 2 3 2" xfId="343" xr:uid="{00000000-0005-0000-0000-00004F020000}"/>
    <cellStyle name="Normal 4 2 2 3 2 10" xfId="1246" xr:uid="{EF18B86D-B9D6-4CC8-95A2-4BD81753F7F1}"/>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3892" xr:uid="{4CA5EE27-EF10-4254-8D7E-E5767C10E164}"/>
    <cellStyle name="Normal 4 2 2 3 2 2 2 2 2 2" xfId="8110" xr:uid="{FDE267F9-9EA3-4E9F-BDA1-D840E8634C24}"/>
    <cellStyle name="Normal 4 2 2 3 2 2 2 2 3" xfId="5965" xr:uid="{FE8DEA9E-344B-45CB-A6D6-1E8B25415F00}"/>
    <cellStyle name="Normal 4 2 2 3 2 2 2 2 4" xfId="1663" xr:uid="{D8696E4B-7581-43C3-A878-7EC87288B621}"/>
    <cellStyle name="Normal 4 2 2 3 2 2 2 3" xfId="2076" xr:uid="{17F1813F-A7B5-4BF1-A20C-6EF6D0D6616D}"/>
    <cellStyle name="Normal 4 2 2 3 2 2 2 3 2" xfId="4305" xr:uid="{76F938F7-0F31-4C38-83A6-F4299989EE95}"/>
    <cellStyle name="Normal 4 2 2 3 2 2 2 3 2 2" xfId="8523" xr:uid="{4FC20BBE-A3A3-40FE-8A3C-302C1C30E401}"/>
    <cellStyle name="Normal 4 2 2 3 2 2 2 3 3" xfId="6378" xr:uid="{A1C9DFC5-D148-4859-A754-68AE6FB121A7}"/>
    <cellStyle name="Normal 4 2 2 3 2 2 2 4" xfId="2489" xr:uid="{5413970D-B517-4086-9FDD-DBC2DCAD38DF}"/>
    <cellStyle name="Normal 4 2 2 3 2 2 2 4 2" xfId="4718" xr:uid="{05945274-2004-434E-B5C7-1C2AF421A343}"/>
    <cellStyle name="Normal 4 2 2 3 2 2 2 4 2 2" xfId="8936" xr:uid="{AF659ECD-1B23-49CE-B668-55C745D32E3A}"/>
    <cellStyle name="Normal 4 2 2 3 2 2 2 4 3" xfId="6791" xr:uid="{7CA4DCC2-3179-427E-94F7-0A1AF2AAFD42}"/>
    <cellStyle name="Normal 4 2 2 3 2 2 2 5" xfId="2902" xr:uid="{668F6C65-E4C8-48A7-89D6-B37D44A38BAF}"/>
    <cellStyle name="Normal 4 2 2 3 2 2 2 5 2" xfId="5131" xr:uid="{7DB8FCFF-7F0A-42BD-AA7F-F7A7599546DC}"/>
    <cellStyle name="Normal 4 2 2 3 2 2 2 5 2 2" xfId="9349" xr:uid="{DD6F1A03-72D3-4B3B-86F0-1BC00962E9D2}"/>
    <cellStyle name="Normal 4 2 2 3 2 2 2 5 3" xfId="7204" xr:uid="{30B5E3AE-8125-4DD9-818D-6BE7543B6A6B}"/>
    <cellStyle name="Normal 4 2 2 3 2 2 2 6" xfId="3338" xr:uid="{14750E92-E5BB-4AE1-B192-ABCE04968753}"/>
    <cellStyle name="Normal 4 2 2 3 2 2 2 6 2" xfId="7617" xr:uid="{89B03C2C-F3BA-42C3-80A5-C269430BD6A6}"/>
    <cellStyle name="Normal 4 2 2 3 2 2 2 7" xfId="5552" xr:uid="{26FF3A8E-7BBE-422F-866D-A6CFBF8CAF1E}"/>
    <cellStyle name="Normal 4 2 2 3 2 2 2 8" xfId="1248" xr:uid="{D1F9F59B-50DC-48F1-A6C7-2B2317B280E5}"/>
    <cellStyle name="Normal 4 2 2 3 2 2 3" xfId="826" xr:uid="{00000000-0005-0000-0000-000053020000}"/>
    <cellStyle name="Normal 4 2 2 3 2 2 3 2" xfId="3891" xr:uid="{B60594A8-988B-499E-AED1-4E38E617B60F}"/>
    <cellStyle name="Normal 4 2 2 3 2 2 3 2 2" xfId="8109" xr:uid="{6B6CD4E9-4F01-4EDE-965D-CE0F01B1FA4D}"/>
    <cellStyle name="Normal 4 2 2 3 2 2 3 3" xfId="5964" xr:uid="{21410CAF-A082-46AF-812F-B7A02B88EDE3}"/>
    <cellStyle name="Normal 4 2 2 3 2 2 3 4" xfId="1662" xr:uid="{BFCE01EA-0F27-4286-9D3B-36B4C235E24C}"/>
    <cellStyle name="Normal 4 2 2 3 2 2 4" xfId="2075" xr:uid="{43CE8375-E48A-4348-92AF-C3F31E682DFC}"/>
    <cellStyle name="Normal 4 2 2 3 2 2 4 2" xfId="4304" xr:uid="{4277517F-784E-4FAA-9E84-186E71A69C56}"/>
    <cellStyle name="Normal 4 2 2 3 2 2 4 2 2" xfId="8522" xr:uid="{CCD0C76A-1B4F-4170-BCCB-951FD5AE18FE}"/>
    <cellStyle name="Normal 4 2 2 3 2 2 4 3" xfId="6377" xr:uid="{AE98A159-09CA-45DD-B054-A67996687F73}"/>
    <cellStyle name="Normal 4 2 2 3 2 2 5" xfId="2488" xr:uid="{BE3BB55E-6817-4B1E-9F8C-FC5FE309A3F1}"/>
    <cellStyle name="Normal 4 2 2 3 2 2 5 2" xfId="4717" xr:uid="{79AF12F3-4BA9-4C79-A4C1-959381BF86BD}"/>
    <cellStyle name="Normal 4 2 2 3 2 2 5 2 2" xfId="8935" xr:uid="{CDBF5C00-370C-4BB3-8F85-87C223C0F696}"/>
    <cellStyle name="Normal 4 2 2 3 2 2 5 3" xfId="6790" xr:uid="{4572342F-5F39-4F68-9A8E-6620E0479323}"/>
    <cellStyle name="Normal 4 2 2 3 2 2 6" xfId="2901" xr:uid="{6E42C84E-F852-4A25-90E7-ABAD7BAD93FE}"/>
    <cellStyle name="Normal 4 2 2 3 2 2 6 2" xfId="5130" xr:uid="{93AE6CCC-C31F-45D5-A30F-F4BE740DAE6F}"/>
    <cellStyle name="Normal 4 2 2 3 2 2 6 2 2" xfId="9348" xr:uid="{7FE65D41-C511-4E55-A724-4F243060D170}"/>
    <cellStyle name="Normal 4 2 2 3 2 2 6 3" xfId="7203" xr:uid="{4E0687A6-D1BA-48CF-B229-C9F8782BA948}"/>
    <cellStyle name="Normal 4 2 2 3 2 2 7" xfId="3337" xr:uid="{C1A50B90-DFBC-4B9E-AB8A-23E0BC13431B}"/>
    <cellStyle name="Normal 4 2 2 3 2 2 7 2" xfId="7616" xr:uid="{8DCB0238-7AD0-44E2-99F7-3C0F27CBFCAA}"/>
    <cellStyle name="Normal 4 2 2 3 2 2 8" xfId="5551" xr:uid="{826AB438-33BE-4E17-96B7-47EB241487BC}"/>
    <cellStyle name="Normal 4 2 2 3 2 2 9" xfId="1247" xr:uid="{8F49F997-D715-436D-B204-8768A9AAF9FC}"/>
    <cellStyle name="Normal 4 2 2 3 2 3" xfId="346" xr:uid="{00000000-0005-0000-0000-000054020000}"/>
    <cellStyle name="Normal 4 2 2 3 2 3 2" xfId="828" xr:uid="{00000000-0005-0000-0000-000055020000}"/>
    <cellStyle name="Normal 4 2 2 3 2 3 2 2" xfId="3893" xr:uid="{7218F044-2D55-4FA9-A245-3FEF4E8A0ABC}"/>
    <cellStyle name="Normal 4 2 2 3 2 3 2 2 2" xfId="8111" xr:uid="{D518AA5C-FB07-4DDF-A0A0-4980120D1CCE}"/>
    <cellStyle name="Normal 4 2 2 3 2 3 2 3" xfId="5966" xr:uid="{A32018B7-1002-4EB2-903A-C5FB73B0876F}"/>
    <cellStyle name="Normal 4 2 2 3 2 3 2 4" xfId="1664" xr:uid="{C80DCA64-0286-4FDF-A15A-A9DB748BF5F9}"/>
    <cellStyle name="Normal 4 2 2 3 2 3 3" xfId="2077" xr:uid="{E7E98626-636F-4A06-9828-BF3F25387A2D}"/>
    <cellStyle name="Normal 4 2 2 3 2 3 3 2" xfId="4306" xr:uid="{5024EDC6-07B2-4D72-B8E0-78E23269EB32}"/>
    <cellStyle name="Normal 4 2 2 3 2 3 3 2 2" xfId="8524" xr:uid="{4A831039-26AA-4ADC-8ACD-E7BE1BBF68D5}"/>
    <cellStyle name="Normal 4 2 2 3 2 3 3 3" xfId="6379" xr:uid="{579BBDB3-DA3E-4A30-A033-48F41541BBA3}"/>
    <cellStyle name="Normal 4 2 2 3 2 3 4" xfId="2490" xr:uid="{E509B665-A73E-4C88-86A9-0BBC558E9653}"/>
    <cellStyle name="Normal 4 2 2 3 2 3 4 2" xfId="4719" xr:uid="{C0931062-DF49-43EE-8B78-16D32E4263A4}"/>
    <cellStyle name="Normal 4 2 2 3 2 3 4 2 2" xfId="8937" xr:uid="{DA3B7A95-0AE8-4022-8B64-A7CC84C3DAAC}"/>
    <cellStyle name="Normal 4 2 2 3 2 3 4 3" xfId="6792" xr:uid="{86C4DDE6-D7DE-46A8-BB97-643003F81521}"/>
    <cellStyle name="Normal 4 2 2 3 2 3 5" xfId="2903" xr:uid="{ABB0E709-B7AF-4D5E-80D2-80F68621F7A2}"/>
    <cellStyle name="Normal 4 2 2 3 2 3 5 2" xfId="5132" xr:uid="{A315C9AD-F577-4A9D-97F5-5FE8718757B7}"/>
    <cellStyle name="Normal 4 2 2 3 2 3 5 2 2" xfId="9350" xr:uid="{3EBFB83D-E40F-4ED0-9647-1A5E243BD9A7}"/>
    <cellStyle name="Normal 4 2 2 3 2 3 5 3" xfId="7205" xr:uid="{0A98B08B-A139-4D8F-BE7B-239D9C9CBE99}"/>
    <cellStyle name="Normal 4 2 2 3 2 3 6" xfId="3339" xr:uid="{2F416D91-1407-41E4-A89D-A35F8035B86B}"/>
    <cellStyle name="Normal 4 2 2 3 2 3 6 2" xfId="7618" xr:uid="{461154E7-E10E-4E8D-A929-ADB2A10F6A4A}"/>
    <cellStyle name="Normal 4 2 2 3 2 3 7" xfId="5553" xr:uid="{6DCFE247-856F-4EF1-BCEA-6D678222615F}"/>
    <cellStyle name="Normal 4 2 2 3 2 3 8" xfId="1249" xr:uid="{12E02B7B-2BD6-4872-9CFC-D47176A2F292}"/>
    <cellStyle name="Normal 4 2 2 3 2 4" xfId="825" xr:uid="{00000000-0005-0000-0000-000056020000}"/>
    <cellStyle name="Normal 4 2 2 3 2 4 2" xfId="3890" xr:uid="{B1F78182-58E1-43B3-A32A-416DD43AEC43}"/>
    <cellStyle name="Normal 4 2 2 3 2 4 2 2" xfId="8108" xr:uid="{D6D2DE1B-EE9C-4F0C-86BE-6BA04F82DE17}"/>
    <cellStyle name="Normal 4 2 2 3 2 4 3" xfId="5963" xr:uid="{7EAA1848-C825-4609-910E-B2CD21420412}"/>
    <cellStyle name="Normal 4 2 2 3 2 4 4" xfId="1661" xr:uid="{107A6526-F0E0-4B67-8D1D-E61BF6C28B54}"/>
    <cellStyle name="Normal 4 2 2 3 2 5" xfId="2074" xr:uid="{8139E9FD-A392-486A-A956-0AEACF7A037A}"/>
    <cellStyle name="Normal 4 2 2 3 2 5 2" xfId="4303" xr:uid="{AF6950E7-5311-4E1A-811D-7B41B1C0607B}"/>
    <cellStyle name="Normal 4 2 2 3 2 5 2 2" xfId="8521" xr:uid="{A61AEBE1-339E-4945-AB9E-559C00E1109B}"/>
    <cellStyle name="Normal 4 2 2 3 2 5 3" xfId="6376" xr:uid="{7ABA1AAC-F203-4F28-AA45-93915483D4DA}"/>
    <cellStyle name="Normal 4 2 2 3 2 6" xfId="2487" xr:uid="{0ABC09A5-F116-4BB2-92BD-6173AFCEE82A}"/>
    <cellStyle name="Normal 4 2 2 3 2 6 2" xfId="4716" xr:uid="{F304C8E2-10D9-47D1-AC63-8891075F5DE8}"/>
    <cellStyle name="Normal 4 2 2 3 2 6 2 2" xfId="8934" xr:uid="{5815A15F-C4AA-4168-AE75-8415372157A7}"/>
    <cellStyle name="Normal 4 2 2 3 2 6 3" xfId="6789" xr:uid="{06668404-194E-461B-9ABB-CE44BE13E27D}"/>
    <cellStyle name="Normal 4 2 2 3 2 7" xfId="2900" xr:uid="{D66CECDF-3CC9-4CCA-955E-74DE710AA189}"/>
    <cellStyle name="Normal 4 2 2 3 2 7 2" xfId="5129" xr:uid="{39D6C80F-B529-4D98-BF9E-B6C6A2706951}"/>
    <cellStyle name="Normal 4 2 2 3 2 7 2 2" xfId="9347" xr:uid="{8A38CA9E-FA79-416A-BB5A-EF9AB892A868}"/>
    <cellStyle name="Normal 4 2 2 3 2 7 3" xfId="7202" xr:uid="{ED008701-84CB-4BE8-BEF6-87AF58CD56EE}"/>
    <cellStyle name="Normal 4 2 2 3 2 8" xfId="3336" xr:uid="{C596B626-AAE1-4365-8ABD-14ABB5FD2436}"/>
    <cellStyle name="Normal 4 2 2 3 2 8 2" xfId="7615" xr:uid="{D9982631-C67B-4F43-80B5-6B76E65FF3C6}"/>
    <cellStyle name="Normal 4 2 2 3 2 9" xfId="5550" xr:uid="{47237892-BE7A-49EC-93A9-F7F54740E2EF}"/>
    <cellStyle name="Normal 4 2 2 3 3" xfId="347" xr:uid="{00000000-0005-0000-0000-000057020000}"/>
    <cellStyle name="Normal 4 2 2 3 3 2" xfId="348" xr:uid="{00000000-0005-0000-0000-000058020000}"/>
    <cellStyle name="Normal 4 2 2 3 3 2 2" xfId="830" xr:uid="{00000000-0005-0000-0000-000059020000}"/>
    <cellStyle name="Normal 4 2 2 3 3 2 2 2" xfId="3895" xr:uid="{6C5E90FE-C6A2-4E1A-B610-74ECC6690453}"/>
    <cellStyle name="Normal 4 2 2 3 3 2 2 2 2" xfId="8113" xr:uid="{E16B4631-240F-40D3-81BC-9B247EB331A1}"/>
    <cellStyle name="Normal 4 2 2 3 3 2 2 3" xfId="5968" xr:uid="{0ED65815-F359-4580-8254-965F9AB80D7D}"/>
    <cellStyle name="Normal 4 2 2 3 3 2 2 4" xfId="1666" xr:uid="{2F67B06A-4FF7-4B25-98AA-4911C7B9FB81}"/>
    <cellStyle name="Normal 4 2 2 3 3 2 3" xfId="2079" xr:uid="{326958D9-5EFF-4F58-AACC-E8FD7FEF8B14}"/>
    <cellStyle name="Normal 4 2 2 3 3 2 3 2" xfId="4308" xr:uid="{C029DD4E-03F3-4FD4-BB5B-1CF86F930937}"/>
    <cellStyle name="Normal 4 2 2 3 3 2 3 2 2" xfId="8526" xr:uid="{5E59C488-3EED-4D90-BF2C-F085963F8757}"/>
    <cellStyle name="Normal 4 2 2 3 3 2 3 3" xfId="6381" xr:uid="{5AC0E999-272B-41E4-9C20-2711BA77361F}"/>
    <cellStyle name="Normal 4 2 2 3 3 2 4" xfId="2492" xr:uid="{DD82B499-BD07-4F27-BF1B-39C5DA7B8589}"/>
    <cellStyle name="Normal 4 2 2 3 3 2 4 2" xfId="4721" xr:uid="{3AC495B7-AD51-4D2D-9F3F-1BE1BD754327}"/>
    <cellStyle name="Normal 4 2 2 3 3 2 4 2 2" xfId="8939" xr:uid="{39045413-3D3B-44F6-8936-EB8F4608916D}"/>
    <cellStyle name="Normal 4 2 2 3 3 2 4 3" xfId="6794" xr:uid="{0C26185A-8BA6-4321-A213-A81F246D879A}"/>
    <cellStyle name="Normal 4 2 2 3 3 2 5" xfId="2905" xr:uid="{F921645F-2B97-4B4E-9659-65ED43F43261}"/>
    <cellStyle name="Normal 4 2 2 3 3 2 5 2" xfId="5134" xr:uid="{61BD654F-180C-455A-B80A-B5477D7EF786}"/>
    <cellStyle name="Normal 4 2 2 3 3 2 5 2 2" xfId="9352" xr:uid="{6EAED781-6624-49E7-9BE5-B61C9FC71100}"/>
    <cellStyle name="Normal 4 2 2 3 3 2 5 3" xfId="7207" xr:uid="{2293B76B-8D25-4B75-AF56-78A92B2E6E75}"/>
    <cellStyle name="Normal 4 2 2 3 3 2 6" xfId="3341" xr:uid="{9EF9BBAF-4327-4734-8AFC-FC223951C741}"/>
    <cellStyle name="Normal 4 2 2 3 3 2 6 2" xfId="7620" xr:uid="{85918EF6-2EA5-459F-8814-7CF12953564D}"/>
    <cellStyle name="Normal 4 2 2 3 3 2 7" xfId="5555" xr:uid="{9E9C3F1A-A6E4-4CBA-8E74-6DD34F4228AB}"/>
    <cellStyle name="Normal 4 2 2 3 3 2 8" xfId="1251" xr:uid="{59A17752-C031-4766-8212-EAF73BDD64F2}"/>
    <cellStyle name="Normal 4 2 2 3 3 3" xfId="829" xr:uid="{00000000-0005-0000-0000-00005A020000}"/>
    <cellStyle name="Normal 4 2 2 3 3 3 2" xfId="3894" xr:uid="{672655F3-57F7-489F-9B95-183648488E4C}"/>
    <cellStyle name="Normal 4 2 2 3 3 3 2 2" xfId="8112" xr:uid="{28F2CC6D-536A-4414-B768-EAAA973E7BFC}"/>
    <cellStyle name="Normal 4 2 2 3 3 3 3" xfId="5967" xr:uid="{14E0B387-6BE6-4F93-95E7-7D2A9EE8FE85}"/>
    <cellStyle name="Normal 4 2 2 3 3 3 4" xfId="1665" xr:uid="{4E234415-E714-4C39-93C7-B13DE78C2396}"/>
    <cellStyle name="Normal 4 2 2 3 3 4" xfId="2078" xr:uid="{1DFC28FC-F102-43DA-868A-F8F44F8E584F}"/>
    <cellStyle name="Normal 4 2 2 3 3 4 2" xfId="4307" xr:uid="{10499147-409D-4708-9E36-ECC35E27B4AE}"/>
    <cellStyle name="Normal 4 2 2 3 3 4 2 2" xfId="8525" xr:uid="{FF09BDBA-8342-4074-8E53-D8B4A1EA0738}"/>
    <cellStyle name="Normal 4 2 2 3 3 4 3" xfId="6380" xr:uid="{682EBD55-FEF8-49B7-82D5-6F04ADB268A0}"/>
    <cellStyle name="Normal 4 2 2 3 3 5" xfId="2491" xr:uid="{F093BDD2-7682-4B43-9F81-0601B267DBDE}"/>
    <cellStyle name="Normal 4 2 2 3 3 5 2" xfId="4720" xr:uid="{B94632F7-FFAE-427B-BA7B-07FD09500D37}"/>
    <cellStyle name="Normal 4 2 2 3 3 5 2 2" xfId="8938" xr:uid="{E3640DB4-A5D8-4595-A4DE-2B31F65D69DB}"/>
    <cellStyle name="Normal 4 2 2 3 3 5 3" xfId="6793" xr:uid="{2579D484-64EE-4EED-BA8A-B63D52CBBF1D}"/>
    <cellStyle name="Normal 4 2 2 3 3 6" xfId="2904" xr:uid="{44F64BF1-E7EF-4DD3-AEEA-63D42C9297A3}"/>
    <cellStyle name="Normal 4 2 2 3 3 6 2" xfId="5133" xr:uid="{955259A4-AB1B-449A-BB6F-40EB25037943}"/>
    <cellStyle name="Normal 4 2 2 3 3 6 2 2" xfId="9351" xr:uid="{5A81E723-AD76-4E14-AF81-0FB77537C745}"/>
    <cellStyle name="Normal 4 2 2 3 3 6 3" xfId="7206" xr:uid="{BDE98027-8631-48C7-BD74-C335AD79DA01}"/>
    <cellStyle name="Normal 4 2 2 3 3 7" xfId="3340" xr:uid="{34F9F828-519A-4203-885E-F475D7CBC64E}"/>
    <cellStyle name="Normal 4 2 2 3 3 7 2" xfId="7619" xr:uid="{EB2D838D-43D2-4EAD-BA66-CF2426390706}"/>
    <cellStyle name="Normal 4 2 2 3 3 8" xfId="5554" xr:uid="{E2A18591-F377-48FA-B791-2909AC25B279}"/>
    <cellStyle name="Normal 4 2 2 3 3 9" xfId="1250" xr:uid="{818EB1F4-CE53-4F39-A93D-A38137AA531B}"/>
    <cellStyle name="Normal 4 2 2 3 4" xfId="349" xr:uid="{00000000-0005-0000-0000-00005B020000}"/>
    <cellStyle name="Normal 4 2 2 3 4 2" xfId="831" xr:uid="{00000000-0005-0000-0000-00005C020000}"/>
    <cellStyle name="Normal 4 2 2 3 4 2 2" xfId="3896" xr:uid="{C82CF794-D691-4BE4-A5EF-8F3C704E0022}"/>
    <cellStyle name="Normal 4 2 2 3 4 2 2 2" xfId="8114" xr:uid="{333D7727-128B-41F7-BE21-83B02FE159C1}"/>
    <cellStyle name="Normal 4 2 2 3 4 2 3" xfId="5969" xr:uid="{F524CCDC-8F4B-4716-AADA-57A1784C42F8}"/>
    <cellStyle name="Normal 4 2 2 3 4 2 4" xfId="1667" xr:uid="{16272A5A-4829-450F-91E8-873061D45EF6}"/>
    <cellStyle name="Normal 4 2 2 3 4 3" xfId="2080" xr:uid="{3F08DEB2-30B1-43B8-86D3-5E90BE0D27E4}"/>
    <cellStyle name="Normal 4 2 2 3 4 3 2" xfId="4309" xr:uid="{C7C0525B-35F0-46C0-BDB0-2BBD161AFC81}"/>
    <cellStyle name="Normal 4 2 2 3 4 3 2 2" xfId="8527" xr:uid="{1BB8331C-7F96-4BA9-9E63-AD64CB651C26}"/>
    <cellStyle name="Normal 4 2 2 3 4 3 3" xfId="6382" xr:uid="{6B6ABE6A-6152-4F1B-A8F1-4E65847E98F1}"/>
    <cellStyle name="Normal 4 2 2 3 4 4" xfId="2493" xr:uid="{9DD5634C-E6A2-4E66-8E07-06574D917CB9}"/>
    <cellStyle name="Normal 4 2 2 3 4 4 2" xfId="4722" xr:uid="{1D47C5A1-664F-41C3-89C8-2752F2D10A07}"/>
    <cellStyle name="Normal 4 2 2 3 4 4 2 2" xfId="8940" xr:uid="{87801407-7045-45E9-98B6-5C7CCE05C6AD}"/>
    <cellStyle name="Normal 4 2 2 3 4 4 3" xfId="6795" xr:uid="{756313D7-2B93-4411-8334-0BD91DF9F0FB}"/>
    <cellStyle name="Normal 4 2 2 3 4 5" xfId="2906" xr:uid="{7C2F9999-E12D-445A-95F1-8402C08E3D23}"/>
    <cellStyle name="Normal 4 2 2 3 4 5 2" xfId="5135" xr:uid="{052FB323-F7C2-4479-85F0-3C3D3EFC0FB2}"/>
    <cellStyle name="Normal 4 2 2 3 4 5 2 2" xfId="9353" xr:uid="{A753BCEC-A8CF-43B4-B8F5-BE06EF67FB60}"/>
    <cellStyle name="Normal 4 2 2 3 4 5 3" xfId="7208" xr:uid="{E55F4CC5-52A6-4F1A-9CB0-9746DAE3E4D0}"/>
    <cellStyle name="Normal 4 2 2 3 4 6" xfId="3342" xr:uid="{5B6D87BF-1D05-47F4-B886-E1C1A2230C66}"/>
    <cellStyle name="Normal 4 2 2 3 4 6 2" xfId="7621" xr:uid="{0858FB1E-955C-4744-9414-890D81DB5379}"/>
    <cellStyle name="Normal 4 2 2 3 4 7" xfId="5556" xr:uid="{047DFE36-48EB-4D31-8BE8-C80E21F34544}"/>
    <cellStyle name="Normal 4 2 2 3 4 8" xfId="1252" xr:uid="{7529E821-9295-40B3-9426-2C1ED560125A}"/>
    <cellStyle name="Normal 4 2 2 3 5" xfId="824" xr:uid="{00000000-0005-0000-0000-00005D020000}"/>
    <cellStyle name="Normal 4 2 2 3 5 2" xfId="3889" xr:uid="{A7CBDB18-AD44-44AE-91AF-D1340FE5E9F7}"/>
    <cellStyle name="Normal 4 2 2 3 5 2 2" xfId="8107" xr:uid="{484148C3-EDE3-45F7-9DF5-DE2A84DB5482}"/>
    <cellStyle name="Normal 4 2 2 3 5 3" xfId="5962" xr:uid="{2CD2A51D-A0E7-474D-9CC8-FDD20EBE6FA1}"/>
    <cellStyle name="Normal 4 2 2 3 5 4" xfId="1660" xr:uid="{55A0924C-84CC-4DAB-B916-3E8D76E256E5}"/>
    <cellStyle name="Normal 4 2 2 3 6" xfId="2073" xr:uid="{1C83AA17-3B65-47BC-AB06-FFFC0CC9C9C6}"/>
    <cellStyle name="Normal 4 2 2 3 6 2" xfId="4302" xr:uid="{73F6438E-3B0C-42A7-BACF-C025E6C1B1F2}"/>
    <cellStyle name="Normal 4 2 2 3 6 2 2" xfId="8520" xr:uid="{375C9D31-65BB-48C9-90F6-20F12DDE384A}"/>
    <cellStyle name="Normal 4 2 2 3 6 3" xfId="6375" xr:uid="{733C23F9-52A3-4C4B-B04D-18B00DBC1CFB}"/>
    <cellStyle name="Normal 4 2 2 3 7" xfId="2486" xr:uid="{9E0AE1C8-823B-4EB4-96B8-0FD2A31B434F}"/>
    <cellStyle name="Normal 4 2 2 3 7 2" xfId="4715" xr:uid="{8FCBBED7-F330-4C5C-AB91-F5BCEE7BC01B}"/>
    <cellStyle name="Normal 4 2 2 3 7 2 2" xfId="8933" xr:uid="{51887886-CD80-4A0F-925F-6C29108B100E}"/>
    <cellStyle name="Normal 4 2 2 3 7 3" xfId="6788" xr:uid="{363A1DC4-744D-4B6E-A146-8569E7EE226F}"/>
    <cellStyle name="Normal 4 2 2 3 8" xfId="2899" xr:uid="{FE758EB8-829D-415F-9164-273A19AFAE90}"/>
    <cellStyle name="Normal 4 2 2 3 8 2" xfId="5128" xr:uid="{79B8DD8D-02DF-420D-8398-47162F3E3275}"/>
    <cellStyle name="Normal 4 2 2 3 8 2 2" xfId="9346" xr:uid="{C26D3808-A626-41BC-A210-E907C31430A8}"/>
    <cellStyle name="Normal 4 2 2 3 8 3" xfId="7201" xr:uid="{3C3897CF-A67E-4163-84AE-94BF54C37310}"/>
    <cellStyle name="Normal 4 2 2 3 9" xfId="3335" xr:uid="{BB96FFBD-1E30-48F5-94A2-C9F3E87E5D5B}"/>
    <cellStyle name="Normal 4 2 2 3 9 2" xfId="7614" xr:uid="{EEE05C32-4934-4395-901B-9D5B93962BB8}"/>
    <cellStyle name="Normal 4 2 2 4" xfId="350" xr:uid="{00000000-0005-0000-0000-00005E020000}"/>
    <cellStyle name="Normal 4 2 2 4 10" xfId="1253" xr:uid="{F4901998-9A65-43E9-88CB-F411A056D7B3}"/>
    <cellStyle name="Normal 4 2 2 4 2" xfId="351" xr:uid="{00000000-0005-0000-0000-00005F020000}"/>
    <cellStyle name="Normal 4 2 2 4 2 2" xfId="352" xr:uid="{00000000-0005-0000-0000-000060020000}"/>
    <cellStyle name="Normal 4 2 2 4 2 2 2" xfId="834" xr:uid="{00000000-0005-0000-0000-000061020000}"/>
    <cellStyle name="Normal 4 2 2 4 2 2 2 2" xfId="3899" xr:uid="{C8A98F24-F311-43AE-BFCA-A8811CB6B162}"/>
    <cellStyle name="Normal 4 2 2 4 2 2 2 2 2" xfId="8117" xr:uid="{54F49A4F-32D4-482C-98BF-026376EC4B4F}"/>
    <cellStyle name="Normal 4 2 2 4 2 2 2 3" xfId="5972" xr:uid="{AD2B7C46-A12B-40D3-957E-BC880563D0CB}"/>
    <cellStyle name="Normal 4 2 2 4 2 2 2 4" xfId="1670" xr:uid="{D8C9069B-FE33-40A2-B41A-F52CE6C25DD2}"/>
    <cellStyle name="Normal 4 2 2 4 2 2 3" xfId="2083" xr:uid="{97DFD925-1391-4BF8-AA53-E126628FD476}"/>
    <cellStyle name="Normal 4 2 2 4 2 2 3 2" xfId="4312" xr:uid="{E2FBFBCD-5675-48ED-AAB2-86136E12C56A}"/>
    <cellStyle name="Normal 4 2 2 4 2 2 3 2 2" xfId="8530" xr:uid="{A69A0FE0-609C-46F9-9637-17B923A1293B}"/>
    <cellStyle name="Normal 4 2 2 4 2 2 3 3" xfId="6385" xr:uid="{AF715C16-47D9-4CC6-BC34-7E7E5B981411}"/>
    <cellStyle name="Normal 4 2 2 4 2 2 4" xfId="2496" xr:uid="{A65D9CE0-6EEF-430F-9215-0DA9AF60AA58}"/>
    <cellStyle name="Normal 4 2 2 4 2 2 4 2" xfId="4725" xr:uid="{52E59ADD-56B8-49E3-947A-AF373ECE6493}"/>
    <cellStyle name="Normal 4 2 2 4 2 2 4 2 2" xfId="8943" xr:uid="{B1D87535-0E0B-4C50-8277-A433AA790E0F}"/>
    <cellStyle name="Normal 4 2 2 4 2 2 4 3" xfId="6798" xr:uid="{356C991E-1527-4255-859A-B2677161890B}"/>
    <cellStyle name="Normal 4 2 2 4 2 2 5" xfId="2909" xr:uid="{09A0C67A-8213-423E-BCAC-4BA9C76F92B3}"/>
    <cellStyle name="Normal 4 2 2 4 2 2 5 2" xfId="5138" xr:uid="{0E664F17-1BB6-4F76-8557-952C2C3F417F}"/>
    <cellStyle name="Normal 4 2 2 4 2 2 5 2 2" xfId="9356" xr:uid="{855ED3A8-2275-4791-83C0-3B1955432CFC}"/>
    <cellStyle name="Normal 4 2 2 4 2 2 5 3" xfId="7211" xr:uid="{7A22C48F-4BFE-45F2-9AD8-F819C5162775}"/>
    <cellStyle name="Normal 4 2 2 4 2 2 6" xfId="3345" xr:uid="{A0E694E0-4D95-40DE-9B81-19536B365482}"/>
    <cellStyle name="Normal 4 2 2 4 2 2 6 2" xfId="7624" xr:uid="{1B873559-77FF-4CF5-A5F0-079B6593602E}"/>
    <cellStyle name="Normal 4 2 2 4 2 2 7" xfId="5559" xr:uid="{12B0EAB8-7CC8-4DA1-9010-8663239AFA79}"/>
    <cellStyle name="Normal 4 2 2 4 2 2 8" xfId="1255" xr:uid="{A022CBE1-3AA4-4605-9D64-13C36957A067}"/>
    <cellStyle name="Normal 4 2 2 4 2 3" xfId="833" xr:uid="{00000000-0005-0000-0000-000062020000}"/>
    <cellStyle name="Normal 4 2 2 4 2 3 2" xfId="3898" xr:uid="{BD37A554-6836-4B05-896C-61C54D84D897}"/>
    <cellStyle name="Normal 4 2 2 4 2 3 2 2" xfId="8116" xr:uid="{8D5F1BC1-B5C7-4747-88AD-5C2F73C584C3}"/>
    <cellStyle name="Normal 4 2 2 4 2 3 3" xfId="5971" xr:uid="{BEFF861D-93E2-430F-987D-B38E51FE7521}"/>
    <cellStyle name="Normal 4 2 2 4 2 3 4" xfId="1669" xr:uid="{E5471679-F440-4A5A-8566-7C00F8362243}"/>
    <cellStyle name="Normal 4 2 2 4 2 4" xfId="2082" xr:uid="{3E169561-3B0B-4B22-827F-E6B92794A6FB}"/>
    <cellStyle name="Normal 4 2 2 4 2 4 2" xfId="4311" xr:uid="{5BF15C51-6BE9-4C54-B616-E8D888E702DB}"/>
    <cellStyle name="Normal 4 2 2 4 2 4 2 2" xfId="8529" xr:uid="{8D21470D-F939-41F2-813A-8A1254F08795}"/>
    <cellStyle name="Normal 4 2 2 4 2 4 3" xfId="6384" xr:uid="{A0637D80-18B1-4132-8022-47140A4FF43C}"/>
    <cellStyle name="Normal 4 2 2 4 2 5" xfId="2495" xr:uid="{C83BB8BA-CD04-4C51-BE4C-2226EAC0DA48}"/>
    <cellStyle name="Normal 4 2 2 4 2 5 2" xfId="4724" xr:uid="{978E9B1B-49A6-412C-A7F2-1C775F288ADE}"/>
    <cellStyle name="Normal 4 2 2 4 2 5 2 2" xfId="8942" xr:uid="{45C11CE3-0941-450C-B45F-83F8A01E8F4B}"/>
    <cellStyle name="Normal 4 2 2 4 2 5 3" xfId="6797" xr:uid="{B60E45DE-05E0-454E-A05C-C77FF346BEDF}"/>
    <cellStyle name="Normal 4 2 2 4 2 6" xfId="2908" xr:uid="{86E24C04-EB82-4A99-8D85-0410E2EEA010}"/>
    <cellStyle name="Normal 4 2 2 4 2 6 2" xfId="5137" xr:uid="{F96A4227-BE8F-49FC-9432-3715610E39B9}"/>
    <cellStyle name="Normal 4 2 2 4 2 6 2 2" xfId="9355" xr:uid="{791530C9-A54A-4264-9B89-D75E1D4C993C}"/>
    <cellStyle name="Normal 4 2 2 4 2 6 3" xfId="7210" xr:uid="{45411F68-7D5A-4DD3-986A-3E1A0A290F47}"/>
    <cellStyle name="Normal 4 2 2 4 2 7" xfId="3344" xr:uid="{AD24E1E6-EEAE-48D5-A426-E2D4B577FB9F}"/>
    <cellStyle name="Normal 4 2 2 4 2 7 2" xfId="7623" xr:uid="{BC5EED3C-5CB8-47F3-AFF3-2F28B88AE8B6}"/>
    <cellStyle name="Normal 4 2 2 4 2 8" xfId="5558" xr:uid="{6537564F-EE4D-4455-B80B-4170C3B7146B}"/>
    <cellStyle name="Normal 4 2 2 4 2 9" xfId="1254" xr:uid="{B2C2867A-6001-4A85-91F0-B0A4172D4AF8}"/>
    <cellStyle name="Normal 4 2 2 4 3" xfId="353" xr:uid="{00000000-0005-0000-0000-000063020000}"/>
    <cellStyle name="Normal 4 2 2 4 3 2" xfId="835" xr:uid="{00000000-0005-0000-0000-000064020000}"/>
    <cellStyle name="Normal 4 2 2 4 3 2 2" xfId="3900" xr:uid="{23F35498-112C-44F7-A953-C573BB50FF62}"/>
    <cellStyle name="Normal 4 2 2 4 3 2 2 2" xfId="8118" xr:uid="{856ED275-1D77-4D7E-8710-C83FE858AA79}"/>
    <cellStyle name="Normal 4 2 2 4 3 2 3" xfId="5973" xr:uid="{6F242038-6BC7-47EB-9CD5-6BBE2C16F05B}"/>
    <cellStyle name="Normal 4 2 2 4 3 2 4" xfId="1671" xr:uid="{30CB2A51-CD28-4777-BA3B-7A06870249B5}"/>
    <cellStyle name="Normal 4 2 2 4 3 3" xfId="2084" xr:uid="{E3CC562A-10C6-4436-9C8F-FF80ADE23355}"/>
    <cellStyle name="Normal 4 2 2 4 3 3 2" xfId="4313" xr:uid="{83133C02-D0F2-4C7F-B7D5-EA37802E358D}"/>
    <cellStyle name="Normal 4 2 2 4 3 3 2 2" xfId="8531" xr:uid="{FE382D4A-8089-45D2-A363-4D84F2668E7B}"/>
    <cellStyle name="Normal 4 2 2 4 3 3 3" xfId="6386" xr:uid="{FDEB99EA-92CC-4309-8529-E7192CE4AFE0}"/>
    <cellStyle name="Normal 4 2 2 4 3 4" xfId="2497" xr:uid="{ABC44391-39DC-4817-92F4-D9253D889BD4}"/>
    <cellStyle name="Normal 4 2 2 4 3 4 2" xfId="4726" xr:uid="{2485CC83-A396-404B-9081-4E8C344AD004}"/>
    <cellStyle name="Normal 4 2 2 4 3 4 2 2" xfId="8944" xr:uid="{CBE4BD42-9E4C-4D02-BB25-17C1CDC59311}"/>
    <cellStyle name="Normal 4 2 2 4 3 4 3" xfId="6799" xr:uid="{19F710FC-1229-4711-BFA7-38B1E744A22D}"/>
    <cellStyle name="Normal 4 2 2 4 3 5" xfId="2910" xr:uid="{C9EBD3C0-2DF5-4EEF-AD4D-E22CB738B5D1}"/>
    <cellStyle name="Normal 4 2 2 4 3 5 2" xfId="5139" xr:uid="{E5E05C47-CAE0-4205-8B28-F5B476C79041}"/>
    <cellStyle name="Normal 4 2 2 4 3 5 2 2" xfId="9357" xr:uid="{F3BF530A-AA28-4CD9-AFED-AC10C7B66339}"/>
    <cellStyle name="Normal 4 2 2 4 3 5 3" xfId="7212" xr:uid="{0BC0BE21-4AC5-43EF-BA67-6B48BA705850}"/>
    <cellStyle name="Normal 4 2 2 4 3 6" xfId="3346" xr:uid="{798CAC9A-177D-4B45-B66E-A8B0A9529BA8}"/>
    <cellStyle name="Normal 4 2 2 4 3 6 2" xfId="7625" xr:uid="{E446C401-502D-4221-B27E-8AA91B6612DD}"/>
    <cellStyle name="Normal 4 2 2 4 3 7" xfId="5560" xr:uid="{BDA6F07A-34DC-4538-BFDE-DD40DA168790}"/>
    <cellStyle name="Normal 4 2 2 4 3 8" xfId="1256" xr:uid="{C74D981A-37CC-4999-BD14-3A0BE0E65C8E}"/>
    <cellStyle name="Normal 4 2 2 4 4" xfId="832" xr:uid="{00000000-0005-0000-0000-000065020000}"/>
    <cellStyle name="Normal 4 2 2 4 4 2" xfId="3897" xr:uid="{78C6FE3C-498C-43EE-9B76-3EE99227A0D5}"/>
    <cellStyle name="Normal 4 2 2 4 4 2 2" xfId="8115" xr:uid="{C3BE51FC-D108-4EF0-AA0A-0B23B4072A56}"/>
    <cellStyle name="Normal 4 2 2 4 4 3" xfId="5970" xr:uid="{6C52D994-358C-4F69-864E-C091FAA46DE2}"/>
    <cellStyle name="Normal 4 2 2 4 4 4" xfId="1668" xr:uid="{8D1BF7E4-9F21-4DF5-BD70-7B91B575FF9D}"/>
    <cellStyle name="Normal 4 2 2 4 5" xfId="2081" xr:uid="{B5AB2933-F16F-4CD4-8811-DEFBCA991D98}"/>
    <cellStyle name="Normal 4 2 2 4 5 2" xfId="4310" xr:uid="{30A635A5-5B67-41E3-BAC8-9B0DA22DF755}"/>
    <cellStyle name="Normal 4 2 2 4 5 2 2" xfId="8528" xr:uid="{2C907DF6-9369-4156-8C31-B4E88FD512B4}"/>
    <cellStyle name="Normal 4 2 2 4 5 3" xfId="6383" xr:uid="{624DCBB3-D208-4231-8F7F-80DB2AE089D8}"/>
    <cellStyle name="Normal 4 2 2 4 6" xfId="2494" xr:uid="{11D14DC7-A681-4008-81C3-105BD33F998E}"/>
    <cellStyle name="Normal 4 2 2 4 6 2" xfId="4723" xr:uid="{6AC77552-669A-42EB-B303-E688ECF47533}"/>
    <cellStyle name="Normal 4 2 2 4 6 2 2" xfId="8941" xr:uid="{B1DC296E-CEBB-4D8F-A34F-579AF28E7A1C}"/>
    <cellStyle name="Normal 4 2 2 4 6 3" xfId="6796" xr:uid="{2B6D0CE2-CE5F-4C3E-995F-E9EAE1FD2B16}"/>
    <cellStyle name="Normal 4 2 2 4 7" xfId="2907" xr:uid="{DC0C1303-61F7-4FC7-A057-35150D631641}"/>
    <cellStyle name="Normal 4 2 2 4 7 2" xfId="5136" xr:uid="{5C6292F8-36DB-43BC-B4D1-13627A0C0E9C}"/>
    <cellStyle name="Normal 4 2 2 4 7 2 2" xfId="9354" xr:uid="{86808BD2-0E0D-48A1-BA8B-D2C15BD0C681}"/>
    <cellStyle name="Normal 4 2 2 4 7 3" xfId="7209" xr:uid="{7205A522-192D-4954-AC3A-FBE156AFDB4D}"/>
    <cellStyle name="Normal 4 2 2 4 8" xfId="3343" xr:uid="{0F43A56C-ACB2-4958-9A35-F090D6455A10}"/>
    <cellStyle name="Normal 4 2 2 4 8 2" xfId="7622" xr:uid="{EE761324-6AE7-4DF6-BF10-FA4E7949741A}"/>
    <cellStyle name="Normal 4 2 2 4 9" xfId="5557" xr:uid="{C65A52B0-80DB-4D43-A409-EC5F573B3EA3}"/>
    <cellStyle name="Normal 4 2 2 5" xfId="354" xr:uid="{00000000-0005-0000-0000-000066020000}"/>
    <cellStyle name="Normal 4 2 2 5 2" xfId="355" xr:uid="{00000000-0005-0000-0000-000067020000}"/>
    <cellStyle name="Normal 4 2 2 5 2 2" xfId="837" xr:uid="{00000000-0005-0000-0000-000068020000}"/>
    <cellStyle name="Normal 4 2 2 5 2 2 2" xfId="3902" xr:uid="{D09E5A0B-2FDA-47B5-8686-AD33D5B671FF}"/>
    <cellStyle name="Normal 4 2 2 5 2 2 2 2" xfId="8120" xr:uid="{D1B6B035-5FBD-4D87-B022-EFA9413D7BD6}"/>
    <cellStyle name="Normal 4 2 2 5 2 2 3" xfId="5975" xr:uid="{88E7ADFC-1DBF-4CF5-8D06-C28BE8B542A3}"/>
    <cellStyle name="Normal 4 2 2 5 2 2 4" xfId="1673" xr:uid="{ACF05FB4-5B5B-4A1F-9461-7DB52DD10CDC}"/>
    <cellStyle name="Normal 4 2 2 5 2 3" xfId="2086" xr:uid="{9B38F846-D097-4E4F-83F0-D1087DFAE203}"/>
    <cellStyle name="Normal 4 2 2 5 2 3 2" xfId="4315" xr:uid="{B4481A77-1E08-44F4-8F6F-4696743E02C2}"/>
    <cellStyle name="Normal 4 2 2 5 2 3 2 2" xfId="8533" xr:uid="{22BE9CF8-C36E-4CC8-B38E-C6886EC7418B}"/>
    <cellStyle name="Normal 4 2 2 5 2 3 3" xfId="6388" xr:uid="{E8D42CC7-CBEF-4F4A-9AB7-44CAF98BA9CC}"/>
    <cellStyle name="Normal 4 2 2 5 2 4" xfId="2499" xr:uid="{678D916A-A472-46BB-9B8F-9DB07D6D3645}"/>
    <cellStyle name="Normal 4 2 2 5 2 4 2" xfId="4728" xr:uid="{A7532974-CBBF-4AE8-9D0F-E3B5AEBA4325}"/>
    <cellStyle name="Normal 4 2 2 5 2 4 2 2" xfId="8946" xr:uid="{BD6994D1-546D-4B48-B421-0CD4AD4AF915}"/>
    <cellStyle name="Normal 4 2 2 5 2 4 3" xfId="6801" xr:uid="{4A62A397-7243-4F28-BA9A-02FAB2FEE21F}"/>
    <cellStyle name="Normal 4 2 2 5 2 5" xfId="2912" xr:uid="{68768DCD-DABB-4F24-A5F9-3EAF1C841452}"/>
    <cellStyle name="Normal 4 2 2 5 2 5 2" xfId="5141" xr:uid="{59E77020-497C-487F-8CB9-69C8CDB8AEC0}"/>
    <cellStyle name="Normal 4 2 2 5 2 5 2 2" xfId="9359" xr:uid="{8C47FAF1-78DF-4CF2-A09C-8B29C0AD1425}"/>
    <cellStyle name="Normal 4 2 2 5 2 5 3" xfId="7214" xr:uid="{2901F2A5-169C-40CE-937C-690C51F8B830}"/>
    <cellStyle name="Normal 4 2 2 5 2 6" xfId="3348" xr:uid="{D6A6A9B5-287C-47A7-A232-11A486FBDF88}"/>
    <cellStyle name="Normal 4 2 2 5 2 6 2" xfId="7627" xr:uid="{9289BC45-D428-4C9F-A131-2EFC637D6BDA}"/>
    <cellStyle name="Normal 4 2 2 5 2 7" xfId="5562" xr:uid="{F140E3B5-3875-4A33-A9DC-03B73DE7EDC3}"/>
    <cellStyle name="Normal 4 2 2 5 2 8" xfId="1258" xr:uid="{79955CE8-8CDD-4CA0-A353-15B6812C888C}"/>
    <cellStyle name="Normal 4 2 2 5 3" xfId="836" xr:uid="{00000000-0005-0000-0000-000069020000}"/>
    <cellStyle name="Normal 4 2 2 5 3 2" xfId="3901" xr:uid="{BE11D1F4-EB22-4C4E-A213-749DEA515015}"/>
    <cellStyle name="Normal 4 2 2 5 3 2 2" xfId="8119" xr:uid="{1DAF1BC1-6A03-4A7D-9AC4-3971607016FB}"/>
    <cellStyle name="Normal 4 2 2 5 3 3" xfId="5974" xr:uid="{BB445251-0EE5-491C-A519-C5F467EAD67F}"/>
    <cellStyle name="Normal 4 2 2 5 3 4" xfId="1672" xr:uid="{EDB02B5E-D31F-4671-AB92-DFFE91A2024B}"/>
    <cellStyle name="Normal 4 2 2 5 4" xfId="2085" xr:uid="{34CF6BA6-B13E-4432-BAD7-12A93DEF62B3}"/>
    <cellStyle name="Normal 4 2 2 5 4 2" xfId="4314" xr:uid="{EA93934C-E33F-4BED-9D89-6D6EAA2322F2}"/>
    <cellStyle name="Normal 4 2 2 5 4 2 2" xfId="8532" xr:uid="{E47789F3-13A1-4BB4-8C54-D561D9D28065}"/>
    <cellStyle name="Normal 4 2 2 5 4 3" xfId="6387" xr:uid="{99ABB7B3-526B-4592-A58C-78B1276FDF44}"/>
    <cellStyle name="Normal 4 2 2 5 5" xfId="2498" xr:uid="{4F40B408-6CA6-42CE-BCDB-63F9E6B78EB3}"/>
    <cellStyle name="Normal 4 2 2 5 5 2" xfId="4727" xr:uid="{A8FB53ED-4B89-460D-84E0-2A1532ED9083}"/>
    <cellStyle name="Normal 4 2 2 5 5 2 2" xfId="8945" xr:uid="{CDBCF68B-3395-4E48-8595-798B53DC5BE1}"/>
    <cellStyle name="Normal 4 2 2 5 5 3" xfId="6800" xr:uid="{0B56C631-C0C1-400C-AAD0-E7DFE26A9B69}"/>
    <cellStyle name="Normal 4 2 2 5 6" xfId="2911" xr:uid="{0468FAB1-2090-4BE1-8ED2-22D7E9AA9172}"/>
    <cellStyle name="Normal 4 2 2 5 6 2" xfId="5140" xr:uid="{29CB343A-B593-4B75-B986-2D4C865E7D8D}"/>
    <cellStyle name="Normal 4 2 2 5 6 2 2" xfId="9358" xr:uid="{D2774C2C-1906-4AF5-8921-555E81A7209A}"/>
    <cellStyle name="Normal 4 2 2 5 6 3" xfId="7213" xr:uid="{2103A95B-EE22-49C7-8A04-A4DFFB08BDC2}"/>
    <cellStyle name="Normal 4 2 2 5 7" xfId="3347" xr:uid="{B98D5134-28C6-45BF-81F0-87B1743D1F80}"/>
    <cellStyle name="Normal 4 2 2 5 7 2" xfId="7626" xr:uid="{BD49A3A3-53EB-419C-8E8F-9CA870B85BB3}"/>
    <cellStyle name="Normal 4 2 2 5 8" xfId="5561" xr:uid="{7EC6FB54-2793-4710-A514-D1336CB325DF}"/>
    <cellStyle name="Normal 4 2 2 5 9" xfId="1257" xr:uid="{14AD5DDE-EF86-4171-9C26-1090C4B30196}"/>
    <cellStyle name="Normal 4 2 2 6" xfId="356" xr:uid="{00000000-0005-0000-0000-00006A020000}"/>
    <cellStyle name="Normal 4 2 2 6 2" xfId="838" xr:uid="{00000000-0005-0000-0000-00006B020000}"/>
    <cellStyle name="Normal 4 2 2 6 2 2" xfId="3903" xr:uid="{CAF2A324-F792-4B42-B300-4DB7623652C4}"/>
    <cellStyle name="Normal 4 2 2 6 2 2 2" xfId="8121" xr:uid="{A341CDA1-081B-4552-A1E1-DE4EA9AEAA9B}"/>
    <cellStyle name="Normal 4 2 2 6 2 3" xfId="5976" xr:uid="{1E3E90EB-354A-45F6-B3FD-26B1EFF4EFE4}"/>
    <cellStyle name="Normal 4 2 2 6 2 4" xfId="1674" xr:uid="{D4948B28-FDA1-4A53-8721-3F3737BD21B4}"/>
    <cellStyle name="Normal 4 2 2 6 3" xfId="2087" xr:uid="{BDEFA3F6-4D33-4A79-A960-33B5B34103C7}"/>
    <cellStyle name="Normal 4 2 2 6 3 2" xfId="4316" xr:uid="{D26348DE-FA66-4430-8946-C926E3B5CB95}"/>
    <cellStyle name="Normal 4 2 2 6 3 2 2" xfId="8534" xr:uid="{AB3E7A66-83FC-41C8-B239-4694A100ECDF}"/>
    <cellStyle name="Normal 4 2 2 6 3 3" xfId="6389" xr:uid="{3ED0C52C-CF35-4821-9789-22B595B2492E}"/>
    <cellStyle name="Normal 4 2 2 6 4" xfId="2500" xr:uid="{4478B19B-C2D5-46C0-8177-3FE660FB6F3B}"/>
    <cellStyle name="Normal 4 2 2 6 4 2" xfId="4729" xr:uid="{607C641C-BE90-438E-9C8A-E8CA428D5094}"/>
    <cellStyle name="Normal 4 2 2 6 4 2 2" xfId="8947" xr:uid="{4A062B75-3BB1-43AA-A0EF-264D040F2417}"/>
    <cellStyle name="Normal 4 2 2 6 4 3" xfId="6802" xr:uid="{28956CA9-9AFC-411F-B82C-BEDE993AD2D7}"/>
    <cellStyle name="Normal 4 2 2 6 5" xfId="2913" xr:uid="{104DA5AE-FDE8-43C7-A74D-819B67E0E3BA}"/>
    <cellStyle name="Normal 4 2 2 6 5 2" xfId="5142" xr:uid="{4B052A59-F5B5-401F-815C-2C8A60047B27}"/>
    <cellStyle name="Normal 4 2 2 6 5 2 2" xfId="9360" xr:uid="{898B88D3-05BE-4671-82CB-2E596110860C}"/>
    <cellStyle name="Normal 4 2 2 6 5 3" xfId="7215" xr:uid="{14082D92-36D1-4F2D-9851-D985DB9ACD9D}"/>
    <cellStyle name="Normal 4 2 2 6 6" xfId="3349" xr:uid="{31F65C72-20F5-46EC-AA2C-2EC3F0A6A9F6}"/>
    <cellStyle name="Normal 4 2 2 6 6 2" xfId="7628" xr:uid="{BE9F47CE-9D32-4FB4-A8D9-B828CEA27616}"/>
    <cellStyle name="Normal 4 2 2 6 7" xfId="5563" xr:uid="{84293322-D76A-4683-B0E1-4BC70045BA00}"/>
    <cellStyle name="Normal 4 2 2 6 8" xfId="1259" xr:uid="{B2F3566D-9B63-4D50-B584-FB31FBACFF22}"/>
    <cellStyle name="Normal 4 2 2 7" xfId="823" xr:uid="{00000000-0005-0000-0000-00006C020000}"/>
    <cellStyle name="Normal 4 2 2 7 2" xfId="3888" xr:uid="{89295C5E-B565-4195-9781-FD5FF6AAA991}"/>
    <cellStyle name="Normal 4 2 2 7 2 2" xfId="8106" xr:uid="{74EB3BF2-C652-4B1A-8000-E75DF64BDF5C}"/>
    <cellStyle name="Normal 4 2 2 7 3" xfId="5961" xr:uid="{5DC087D4-0850-4873-B8AA-3EA6317E960C}"/>
    <cellStyle name="Normal 4 2 2 7 4" xfId="1659" xr:uid="{31C6EB3C-0296-42F2-882B-4773B08C1824}"/>
    <cellStyle name="Normal 4 2 2 8" xfId="2072" xr:uid="{9BD9BED6-94F0-494E-A04F-EA23CB458F41}"/>
    <cellStyle name="Normal 4 2 2 8 2" xfId="4301" xr:uid="{0BD73CFB-2B7C-45A6-B388-35B16F8E406E}"/>
    <cellStyle name="Normal 4 2 2 8 2 2" xfId="8519" xr:uid="{CB5039C7-D3BF-4536-A834-5F278B633DDD}"/>
    <cellStyle name="Normal 4 2 2 8 3" xfId="6374" xr:uid="{684E924C-1A18-48B0-82DF-A58E71CB2DE5}"/>
    <cellStyle name="Normal 4 2 2 9" xfId="2485" xr:uid="{2F6F921E-DCEC-449A-B6B9-DA0FE0011E8B}"/>
    <cellStyle name="Normal 4 2 2 9 2" xfId="4714" xr:uid="{5FE9D525-569E-496C-8761-A4C1C78F75E7}"/>
    <cellStyle name="Normal 4 2 2 9 2 2" xfId="8932" xr:uid="{4F2B89E7-DE46-4D4D-8C01-5655352309D8}"/>
    <cellStyle name="Normal 4 2 2 9 3" xfId="6787" xr:uid="{46E67D6E-9DBF-4B01-BD50-1F11D557FA2B}"/>
    <cellStyle name="Normal 4 2 3" xfId="357" xr:uid="{00000000-0005-0000-0000-00006D020000}"/>
    <cellStyle name="Normal 4 2 4" xfId="358" xr:uid="{00000000-0005-0000-0000-00006E020000}"/>
    <cellStyle name="Normal 4 2 4 10" xfId="5564" xr:uid="{E2EA99B0-17C4-49B2-A66F-68AD0045F920}"/>
    <cellStyle name="Normal 4 2 4 11" xfId="1260" xr:uid="{E541B639-FB77-4A84-88CC-29408D4D3087}"/>
    <cellStyle name="Normal 4 2 4 2" xfId="359" xr:uid="{00000000-0005-0000-0000-00006F020000}"/>
    <cellStyle name="Normal 4 2 4 2 10" xfId="1261" xr:uid="{2C79D3E3-536E-487C-BBF8-9C42C8EA576B}"/>
    <cellStyle name="Normal 4 2 4 2 2" xfId="360" xr:uid="{00000000-0005-0000-0000-000070020000}"/>
    <cellStyle name="Normal 4 2 4 2 2 2" xfId="361" xr:uid="{00000000-0005-0000-0000-000071020000}"/>
    <cellStyle name="Normal 4 2 4 2 2 2 2" xfId="842" xr:uid="{00000000-0005-0000-0000-000072020000}"/>
    <cellStyle name="Normal 4 2 4 2 2 2 2 2" xfId="3907" xr:uid="{AF48396D-3C6E-4B0A-A62E-3DDA23667331}"/>
    <cellStyle name="Normal 4 2 4 2 2 2 2 2 2" xfId="8125" xr:uid="{CF853C13-515A-432F-B824-BFAAA7424543}"/>
    <cellStyle name="Normal 4 2 4 2 2 2 2 3" xfId="5980" xr:uid="{5BDC1166-EA76-4775-8BB5-AB3B21E21705}"/>
    <cellStyle name="Normal 4 2 4 2 2 2 2 4" xfId="1678" xr:uid="{6CF85448-3C2C-4E23-80AB-EB00886A61CD}"/>
    <cellStyle name="Normal 4 2 4 2 2 2 3" xfId="2091" xr:uid="{C2525D7E-28DB-4B3F-B521-2E3AB6810B44}"/>
    <cellStyle name="Normal 4 2 4 2 2 2 3 2" xfId="4320" xr:uid="{1235E868-FC4D-4505-907B-047B34612B1F}"/>
    <cellStyle name="Normal 4 2 4 2 2 2 3 2 2" xfId="8538" xr:uid="{F54AB749-519C-4519-9A98-D00D274E3CED}"/>
    <cellStyle name="Normal 4 2 4 2 2 2 3 3" xfId="6393" xr:uid="{E5022538-2C2D-4BF3-9AB9-6AFCF28382A6}"/>
    <cellStyle name="Normal 4 2 4 2 2 2 4" xfId="2504" xr:uid="{F653887B-9B93-4365-A60B-BE3976AB93C6}"/>
    <cellStyle name="Normal 4 2 4 2 2 2 4 2" xfId="4733" xr:uid="{8D4CC10B-B79F-496E-A2AA-5F2BB9610F8D}"/>
    <cellStyle name="Normal 4 2 4 2 2 2 4 2 2" xfId="8951" xr:uid="{331CA7EE-B847-4843-A3A2-DC0213F46C24}"/>
    <cellStyle name="Normal 4 2 4 2 2 2 4 3" xfId="6806" xr:uid="{33C8347B-E871-4608-8FE5-813D43F81AEA}"/>
    <cellStyle name="Normal 4 2 4 2 2 2 5" xfId="2917" xr:uid="{68C798AD-ABDC-484E-9069-31852022BFD0}"/>
    <cellStyle name="Normal 4 2 4 2 2 2 5 2" xfId="5146" xr:uid="{8D8CB0CB-F7C1-442B-8C7D-74D20186240A}"/>
    <cellStyle name="Normal 4 2 4 2 2 2 5 2 2" xfId="9364" xr:uid="{2671A025-11D2-423A-854B-A94C1CE43E4E}"/>
    <cellStyle name="Normal 4 2 4 2 2 2 5 3" xfId="7219" xr:uid="{FF114B00-CBE3-47C9-B0D9-195B234E7266}"/>
    <cellStyle name="Normal 4 2 4 2 2 2 6" xfId="3353" xr:uid="{DB9C77BD-9594-497E-871B-FFF2CB147E1A}"/>
    <cellStyle name="Normal 4 2 4 2 2 2 6 2" xfId="7632" xr:uid="{B2958BEE-A353-440D-9372-ED48520CE0BE}"/>
    <cellStyle name="Normal 4 2 4 2 2 2 7" xfId="5567" xr:uid="{BB0B68C9-0E4E-45D6-A86C-6A1B939B1831}"/>
    <cellStyle name="Normal 4 2 4 2 2 2 8" xfId="1263" xr:uid="{AC3626D0-7048-46D2-8422-DA58613EBD0F}"/>
    <cellStyle name="Normal 4 2 4 2 2 3" xfId="841" xr:uid="{00000000-0005-0000-0000-000073020000}"/>
    <cellStyle name="Normal 4 2 4 2 2 3 2" xfId="3906" xr:uid="{8235ABA1-DDC9-4C80-8BDB-3B446C159C55}"/>
    <cellStyle name="Normal 4 2 4 2 2 3 2 2" xfId="8124" xr:uid="{897C8E34-486B-49A3-A99D-EBFE4CAF0B5D}"/>
    <cellStyle name="Normal 4 2 4 2 2 3 3" xfId="5979" xr:uid="{16946C14-591D-4AB3-9B88-9097FB1DFFD0}"/>
    <cellStyle name="Normal 4 2 4 2 2 3 4" xfId="1677" xr:uid="{D10084AF-0A50-40D7-A5F2-2F1F1EE76299}"/>
    <cellStyle name="Normal 4 2 4 2 2 4" xfId="2090" xr:uid="{FD3ED4EE-7AB1-4961-9785-2745BF7853B1}"/>
    <cellStyle name="Normal 4 2 4 2 2 4 2" xfId="4319" xr:uid="{4351C0AF-44C7-4402-9236-BB20CF5D49E9}"/>
    <cellStyle name="Normal 4 2 4 2 2 4 2 2" xfId="8537" xr:uid="{8CE5D063-FC91-433E-BDB9-F582E5C711B6}"/>
    <cellStyle name="Normal 4 2 4 2 2 4 3" xfId="6392" xr:uid="{A4CE84B5-C554-47CD-9E1A-98C25E21847F}"/>
    <cellStyle name="Normal 4 2 4 2 2 5" xfId="2503" xr:uid="{A246379E-A7C7-4115-A69F-3E0FE93436A8}"/>
    <cellStyle name="Normal 4 2 4 2 2 5 2" xfId="4732" xr:uid="{9FE89034-2007-440D-BDC1-BAFD473105BC}"/>
    <cellStyle name="Normal 4 2 4 2 2 5 2 2" xfId="8950" xr:uid="{17BA25C3-87F8-4EE1-9C08-2D8BA698D027}"/>
    <cellStyle name="Normal 4 2 4 2 2 5 3" xfId="6805" xr:uid="{0714EEF8-F743-4A2E-918B-EEA6E8FD14D3}"/>
    <cellStyle name="Normal 4 2 4 2 2 6" xfId="2916" xr:uid="{013FF475-575C-4706-9D4C-19DE34802FB3}"/>
    <cellStyle name="Normal 4 2 4 2 2 6 2" xfId="5145" xr:uid="{6BA49606-C7C3-46B3-9FEE-C7FB284295CB}"/>
    <cellStyle name="Normal 4 2 4 2 2 6 2 2" xfId="9363" xr:uid="{95210CE8-62FE-48B8-B191-7D2AF26D6FFF}"/>
    <cellStyle name="Normal 4 2 4 2 2 6 3" xfId="7218" xr:uid="{C76A34D5-C845-40E0-B6EE-847B501B8249}"/>
    <cellStyle name="Normal 4 2 4 2 2 7" xfId="3352" xr:uid="{48DCD74C-7914-4863-A2B7-60CED6E63089}"/>
    <cellStyle name="Normal 4 2 4 2 2 7 2" xfId="7631" xr:uid="{4E1B8CAB-4010-46C6-A3B3-CA6C9C303395}"/>
    <cellStyle name="Normal 4 2 4 2 2 8" xfId="5566" xr:uid="{201E7398-C7F3-42FF-A3EF-18640B091D50}"/>
    <cellStyle name="Normal 4 2 4 2 2 9" xfId="1262" xr:uid="{5DFFF867-25FC-48E6-914E-9AD5F86F1A63}"/>
    <cellStyle name="Normal 4 2 4 2 3" xfId="362" xr:uid="{00000000-0005-0000-0000-000074020000}"/>
    <cellStyle name="Normal 4 2 4 2 3 2" xfId="843" xr:uid="{00000000-0005-0000-0000-000075020000}"/>
    <cellStyle name="Normal 4 2 4 2 3 2 2" xfId="3908" xr:uid="{EDD0510B-A29B-4BDF-B7F7-7B0CDE24FB41}"/>
    <cellStyle name="Normal 4 2 4 2 3 2 2 2" xfId="8126" xr:uid="{236C5B68-46C3-4182-A35A-8D8E016F1261}"/>
    <cellStyle name="Normal 4 2 4 2 3 2 3" xfId="5981" xr:uid="{C09E2458-BF1A-4F6E-9AB0-A90CAB6A25AF}"/>
    <cellStyle name="Normal 4 2 4 2 3 2 4" xfId="1679" xr:uid="{4C27315A-D16B-45EF-8BDA-93B5725113B1}"/>
    <cellStyle name="Normal 4 2 4 2 3 3" xfId="2092" xr:uid="{9B29D822-168C-4312-A8D0-EC17C9323EFF}"/>
    <cellStyle name="Normal 4 2 4 2 3 3 2" xfId="4321" xr:uid="{C0983F75-CC35-4144-B53C-8149BF95A947}"/>
    <cellStyle name="Normal 4 2 4 2 3 3 2 2" xfId="8539" xr:uid="{7FBF0FD0-EFAC-462F-9AD8-7F890F3A859F}"/>
    <cellStyle name="Normal 4 2 4 2 3 3 3" xfId="6394" xr:uid="{60A965F8-2E4C-4CF3-AE29-0A0A355502E6}"/>
    <cellStyle name="Normal 4 2 4 2 3 4" xfId="2505" xr:uid="{7F7CC873-8D34-454F-A9E1-67A00442C826}"/>
    <cellStyle name="Normal 4 2 4 2 3 4 2" xfId="4734" xr:uid="{9C4789A0-2A4F-4227-9196-F7DD03FA81F3}"/>
    <cellStyle name="Normal 4 2 4 2 3 4 2 2" xfId="8952" xr:uid="{12F0038C-2E8A-4E41-91F1-9590D2B29948}"/>
    <cellStyle name="Normal 4 2 4 2 3 4 3" xfId="6807" xr:uid="{F02255E3-8471-49B3-BA33-F7DCFD1B3ACA}"/>
    <cellStyle name="Normal 4 2 4 2 3 5" xfId="2918" xr:uid="{0BE0B967-5B27-429C-BF40-C4296CBC276C}"/>
    <cellStyle name="Normal 4 2 4 2 3 5 2" xfId="5147" xr:uid="{39A74BDD-306D-46EA-B54E-48778FC0445F}"/>
    <cellStyle name="Normal 4 2 4 2 3 5 2 2" xfId="9365" xr:uid="{FC89B4BF-07DB-4E0E-9F47-92EE8923CC69}"/>
    <cellStyle name="Normal 4 2 4 2 3 5 3" xfId="7220" xr:uid="{BC8B0FAF-DEE3-4C18-8ACE-72850E43ED33}"/>
    <cellStyle name="Normal 4 2 4 2 3 6" xfId="3354" xr:uid="{4879E3BF-99E9-47B4-B906-3FC77E97131E}"/>
    <cellStyle name="Normal 4 2 4 2 3 6 2" xfId="7633" xr:uid="{3F2C8687-48D9-41F4-8A62-FF6F03E9441C}"/>
    <cellStyle name="Normal 4 2 4 2 3 7" xfId="5568" xr:uid="{A66A011C-F31C-42CA-AA53-8DB2C9608475}"/>
    <cellStyle name="Normal 4 2 4 2 3 8" xfId="1264" xr:uid="{584235E6-6DE8-4D81-9517-203DAB30B35A}"/>
    <cellStyle name="Normal 4 2 4 2 4" xfId="840" xr:uid="{00000000-0005-0000-0000-000076020000}"/>
    <cellStyle name="Normal 4 2 4 2 4 2" xfId="3905" xr:uid="{DF0A222A-8BCB-4C8B-972E-83348511BB49}"/>
    <cellStyle name="Normal 4 2 4 2 4 2 2" xfId="8123" xr:uid="{0DE45E74-E421-4600-AB90-163632E31040}"/>
    <cellStyle name="Normal 4 2 4 2 4 3" xfId="5978" xr:uid="{7389BBD4-7631-4B3E-B7AD-C81C2CA0383D}"/>
    <cellStyle name="Normal 4 2 4 2 4 4" xfId="1676" xr:uid="{FD8C8633-D2AC-4364-8B15-4E089402F3F6}"/>
    <cellStyle name="Normal 4 2 4 2 5" xfId="2089" xr:uid="{1FDA3715-2539-4DFE-BDC4-B2D9F77E8CE7}"/>
    <cellStyle name="Normal 4 2 4 2 5 2" xfId="4318" xr:uid="{85F3EF95-1CAC-45B1-AB4B-B6E4556FE6B0}"/>
    <cellStyle name="Normal 4 2 4 2 5 2 2" xfId="8536" xr:uid="{CBEA3DBC-14FF-439F-ADB3-7801D22E8986}"/>
    <cellStyle name="Normal 4 2 4 2 5 3" xfId="6391" xr:uid="{8AE68091-9C0C-4596-9E27-D154008EFA22}"/>
    <cellStyle name="Normal 4 2 4 2 6" xfId="2502" xr:uid="{F21AB5B4-1DA3-4BA0-A556-947AF7B1DC46}"/>
    <cellStyle name="Normal 4 2 4 2 6 2" xfId="4731" xr:uid="{5895CEC4-04CD-402E-A6C6-E0FF784464BA}"/>
    <cellStyle name="Normal 4 2 4 2 6 2 2" xfId="8949" xr:uid="{F54E71E3-9958-49A3-9A26-F0BBE58002DC}"/>
    <cellStyle name="Normal 4 2 4 2 6 3" xfId="6804" xr:uid="{ED4E521A-203D-44FD-BC7D-BFF94CB343E1}"/>
    <cellStyle name="Normal 4 2 4 2 7" xfId="2915" xr:uid="{3F0B62D0-0789-44F3-A47B-664AF677D9BF}"/>
    <cellStyle name="Normal 4 2 4 2 7 2" xfId="5144" xr:uid="{E791A4AB-788B-4CF9-87DC-0C9CF1F14C04}"/>
    <cellStyle name="Normal 4 2 4 2 7 2 2" xfId="9362" xr:uid="{90C2DADB-A067-43ED-ABCD-B31AC99D0EEA}"/>
    <cellStyle name="Normal 4 2 4 2 7 3" xfId="7217" xr:uid="{213AC20E-9546-4D53-8E93-37B3A81722E4}"/>
    <cellStyle name="Normal 4 2 4 2 8" xfId="3351" xr:uid="{CF33B454-F689-4421-91F6-462D9BA175D9}"/>
    <cellStyle name="Normal 4 2 4 2 8 2" xfId="7630" xr:uid="{77B5F9B2-9A53-41D6-B1CA-D448BDFFF8E0}"/>
    <cellStyle name="Normal 4 2 4 2 9" xfId="5565" xr:uid="{A7FC72B0-E145-4E1A-AAC2-A6F5B10D0B93}"/>
    <cellStyle name="Normal 4 2 4 3" xfId="363" xr:uid="{00000000-0005-0000-0000-000077020000}"/>
    <cellStyle name="Normal 4 2 4 3 2" xfId="364" xr:uid="{00000000-0005-0000-0000-000078020000}"/>
    <cellStyle name="Normal 4 2 4 3 2 2" xfId="845" xr:uid="{00000000-0005-0000-0000-000079020000}"/>
    <cellStyle name="Normal 4 2 4 3 2 2 2" xfId="3910" xr:uid="{C3465EF8-CB11-4F2F-8D0E-0FDB0B89A420}"/>
    <cellStyle name="Normal 4 2 4 3 2 2 2 2" xfId="8128" xr:uid="{72435B10-A054-4505-8CFC-55625E82DE32}"/>
    <cellStyle name="Normal 4 2 4 3 2 2 3" xfId="5983" xr:uid="{41E5C600-B305-4B51-BB6A-B3C44FAAA7C1}"/>
    <cellStyle name="Normal 4 2 4 3 2 2 4" xfId="1681" xr:uid="{31255C69-849F-48E1-A913-7B4FCF2CDC6E}"/>
    <cellStyle name="Normal 4 2 4 3 2 3" xfId="2094" xr:uid="{AD7874CF-B855-4257-BBD5-DB0770734B2F}"/>
    <cellStyle name="Normal 4 2 4 3 2 3 2" xfId="4323" xr:uid="{683A3615-1184-40D6-A1E2-5DADFC49D5DF}"/>
    <cellStyle name="Normal 4 2 4 3 2 3 2 2" xfId="8541" xr:uid="{AC799711-1803-4428-813A-7A9F4C133E18}"/>
    <cellStyle name="Normal 4 2 4 3 2 3 3" xfId="6396" xr:uid="{793BC460-FDFF-4E43-87B6-E20964EB2C8C}"/>
    <cellStyle name="Normal 4 2 4 3 2 4" xfId="2507" xr:uid="{261718F9-430F-407A-88A7-651451CC1FD8}"/>
    <cellStyle name="Normal 4 2 4 3 2 4 2" xfId="4736" xr:uid="{7CD5FC8C-6146-4637-80AF-6A7D4858B748}"/>
    <cellStyle name="Normal 4 2 4 3 2 4 2 2" xfId="8954" xr:uid="{E6AAD898-0376-4C91-AB1A-0AC46CA0480C}"/>
    <cellStyle name="Normal 4 2 4 3 2 4 3" xfId="6809" xr:uid="{03D7F2D1-3520-4D8E-9C06-FD8C7ACD90ED}"/>
    <cellStyle name="Normal 4 2 4 3 2 5" xfId="2920" xr:uid="{BEEE35A2-EE3E-4E2B-BCE9-D4A9E4911D82}"/>
    <cellStyle name="Normal 4 2 4 3 2 5 2" xfId="5149" xr:uid="{F9F687EF-70E5-42D4-A596-1F24F8752354}"/>
    <cellStyle name="Normal 4 2 4 3 2 5 2 2" xfId="9367" xr:uid="{A06838B6-DD23-43E8-A562-172A95ED1AC5}"/>
    <cellStyle name="Normal 4 2 4 3 2 5 3" xfId="7222" xr:uid="{36BFB617-4DA9-4758-AB7B-0298B557073E}"/>
    <cellStyle name="Normal 4 2 4 3 2 6" xfId="3356" xr:uid="{0E6FDF22-4B8C-4A44-8A20-73C38B56BFA2}"/>
    <cellStyle name="Normal 4 2 4 3 2 6 2" xfId="7635" xr:uid="{BD66D2F5-AC64-48C5-940F-A7FD3FA5AB6D}"/>
    <cellStyle name="Normal 4 2 4 3 2 7" xfId="5570" xr:uid="{738828B2-9538-4039-AC06-823C97899CCF}"/>
    <cellStyle name="Normal 4 2 4 3 2 8" xfId="1266" xr:uid="{6DDF52B9-2E9F-4FD4-9DCA-27E5BB92E57D}"/>
    <cellStyle name="Normal 4 2 4 3 3" xfId="844" xr:uid="{00000000-0005-0000-0000-00007A020000}"/>
    <cellStyle name="Normal 4 2 4 3 3 2" xfId="3909" xr:uid="{BA1234E1-8B98-4E8B-8A64-E9843F0E99AC}"/>
    <cellStyle name="Normal 4 2 4 3 3 2 2" xfId="8127" xr:uid="{846E20F9-ED88-4C46-9037-D409E69632B4}"/>
    <cellStyle name="Normal 4 2 4 3 3 3" xfId="5982" xr:uid="{E777A139-B9CA-4CCC-83CD-4542ED199158}"/>
    <cellStyle name="Normal 4 2 4 3 3 4" xfId="1680" xr:uid="{A86E65DB-D016-449F-A786-AD0C79BE5EB6}"/>
    <cellStyle name="Normal 4 2 4 3 4" xfId="2093" xr:uid="{9D32A3F1-BA5B-49DF-91EC-1959B4A23A9F}"/>
    <cellStyle name="Normal 4 2 4 3 4 2" xfId="4322" xr:uid="{2BC10CDE-0DE2-4B4A-8AE7-3E423D45DA0E}"/>
    <cellStyle name="Normal 4 2 4 3 4 2 2" xfId="8540" xr:uid="{CF2D2142-C20C-42EC-92EE-DBF67C09D132}"/>
    <cellStyle name="Normal 4 2 4 3 4 3" xfId="6395" xr:uid="{39E2618C-4332-4AEC-B471-46FC12CC2E47}"/>
    <cellStyle name="Normal 4 2 4 3 5" xfId="2506" xr:uid="{9F1D27A4-8C7E-4D92-B85F-47FE1D292C86}"/>
    <cellStyle name="Normal 4 2 4 3 5 2" xfId="4735" xr:uid="{355DC443-5A67-40A8-977F-9889A731FD42}"/>
    <cellStyle name="Normal 4 2 4 3 5 2 2" xfId="8953" xr:uid="{08818175-66E7-446C-A5BB-A066DF899A3B}"/>
    <cellStyle name="Normal 4 2 4 3 5 3" xfId="6808" xr:uid="{3A9E81FB-B525-4257-BD61-9FF3731CEAC3}"/>
    <cellStyle name="Normal 4 2 4 3 6" xfId="2919" xr:uid="{15DC50C8-5E16-4CEB-9D6E-2C0E877A6828}"/>
    <cellStyle name="Normal 4 2 4 3 6 2" xfId="5148" xr:uid="{652C4687-7EE6-4241-A56F-A166C018A40A}"/>
    <cellStyle name="Normal 4 2 4 3 6 2 2" xfId="9366" xr:uid="{A0457D06-CDE3-4800-B684-582C1B22478A}"/>
    <cellStyle name="Normal 4 2 4 3 6 3" xfId="7221" xr:uid="{668CC87B-9547-4EF2-93F5-BDCE93AFE08E}"/>
    <cellStyle name="Normal 4 2 4 3 7" xfId="3355" xr:uid="{F3504741-9DD8-4CD5-B3C1-8DC9FCF9AC23}"/>
    <cellStyle name="Normal 4 2 4 3 7 2" xfId="7634" xr:uid="{407DCEFD-8184-4968-BF54-45859BBE61D6}"/>
    <cellStyle name="Normal 4 2 4 3 8" xfId="5569" xr:uid="{DD8D095B-8C05-40F3-92C2-19700A76F62E}"/>
    <cellStyle name="Normal 4 2 4 3 9" xfId="1265" xr:uid="{5146B67E-506D-4437-B6D8-16FBCE1B213B}"/>
    <cellStyle name="Normal 4 2 4 4" xfId="365" xr:uid="{00000000-0005-0000-0000-00007B020000}"/>
    <cellStyle name="Normal 4 2 4 4 2" xfId="846" xr:uid="{00000000-0005-0000-0000-00007C020000}"/>
    <cellStyle name="Normal 4 2 4 4 2 2" xfId="3911" xr:uid="{D60495E9-64B6-44E8-8B4D-A1956C7F4218}"/>
    <cellStyle name="Normal 4 2 4 4 2 2 2" xfId="8129" xr:uid="{B086B0FC-72F0-4E50-9D61-184E2F71FB9A}"/>
    <cellStyle name="Normal 4 2 4 4 2 3" xfId="5984" xr:uid="{7802B223-1CD5-411A-B03A-BA7CC211499E}"/>
    <cellStyle name="Normal 4 2 4 4 2 4" xfId="1682" xr:uid="{53C3F825-9FDB-4BA7-8140-E27C4A1F0F56}"/>
    <cellStyle name="Normal 4 2 4 4 3" xfId="2095" xr:uid="{3D45602E-ACE7-43B9-99AA-33A09FCBB52E}"/>
    <cellStyle name="Normal 4 2 4 4 3 2" xfId="4324" xr:uid="{A42DDE61-0441-46EC-8041-A587A4C3ADE6}"/>
    <cellStyle name="Normal 4 2 4 4 3 2 2" xfId="8542" xr:uid="{ED046273-9EEB-41C0-A9F4-E45EC48D1084}"/>
    <cellStyle name="Normal 4 2 4 4 3 3" xfId="6397" xr:uid="{0F83FCD2-6644-4C4E-B886-D26E2BBCF4D0}"/>
    <cellStyle name="Normal 4 2 4 4 4" xfId="2508" xr:uid="{ACBA894E-87C9-4768-B060-6CF2EE76DE91}"/>
    <cellStyle name="Normal 4 2 4 4 4 2" xfId="4737" xr:uid="{C7B51795-9436-411A-8D71-B468ABD7F865}"/>
    <cellStyle name="Normal 4 2 4 4 4 2 2" xfId="8955" xr:uid="{C0770636-AFB4-4DB9-B0C8-50F3AB61444C}"/>
    <cellStyle name="Normal 4 2 4 4 4 3" xfId="6810" xr:uid="{42F68B39-8BCE-416B-9D14-288EC01FF497}"/>
    <cellStyle name="Normal 4 2 4 4 5" xfId="2921" xr:uid="{9F285B71-E711-4A7E-A84A-94C940594FDE}"/>
    <cellStyle name="Normal 4 2 4 4 5 2" xfId="5150" xr:uid="{824DD376-81E1-4254-89A7-17A944036FA2}"/>
    <cellStyle name="Normal 4 2 4 4 5 2 2" xfId="9368" xr:uid="{2A790CCC-FC14-4B9A-A3C2-10EBEDB79756}"/>
    <cellStyle name="Normal 4 2 4 4 5 3" xfId="7223" xr:uid="{EA0143F3-C237-4380-AA25-5125429E6C32}"/>
    <cellStyle name="Normal 4 2 4 4 6" xfId="3357" xr:uid="{A045C31A-A3FF-4601-AFB7-9847AD6CB08A}"/>
    <cellStyle name="Normal 4 2 4 4 6 2" xfId="7636" xr:uid="{9BD0F373-4DBA-4C65-9E42-132336F8259D}"/>
    <cellStyle name="Normal 4 2 4 4 7" xfId="5571" xr:uid="{F6BD5B60-066E-4CCD-8068-C867BCF9B550}"/>
    <cellStyle name="Normal 4 2 4 4 8" xfId="1267" xr:uid="{C54F33EC-21A6-4314-97B7-AFF626D58AFD}"/>
    <cellStyle name="Normal 4 2 4 5" xfId="839" xr:uid="{00000000-0005-0000-0000-00007D020000}"/>
    <cellStyle name="Normal 4 2 4 5 2" xfId="3904" xr:uid="{F2B34C03-531D-428B-977A-65524D3FEF7E}"/>
    <cellStyle name="Normal 4 2 4 5 2 2" xfId="8122" xr:uid="{0F6BB920-2C00-49CB-B9FD-AEA2B0B6E507}"/>
    <cellStyle name="Normal 4 2 4 5 3" xfId="5977" xr:uid="{EB43502B-F921-4D54-855F-7B87F1F6C15B}"/>
    <cellStyle name="Normal 4 2 4 5 4" xfId="1675" xr:uid="{453B72E8-C701-44C7-ADC7-3A8005D6AAD7}"/>
    <cellStyle name="Normal 4 2 4 6" xfId="2088" xr:uid="{5857B284-16C0-4BE4-B675-C6533714988D}"/>
    <cellStyle name="Normal 4 2 4 6 2" xfId="4317" xr:uid="{8D3C7B1D-BAE6-4EF1-9C46-227A06092CC3}"/>
    <cellStyle name="Normal 4 2 4 6 2 2" xfId="8535" xr:uid="{40D4985F-CF32-4EE4-9C91-CDF025686CDF}"/>
    <cellStyle name="Normal 4 2 4 6 3" xfId="6390" xr:uid="{04F142DF-7F5D-4572-A9B4-04B85604A8E4}"/>
    <cellStyle name="Normal 4 2 4 7" xfId="2501" xr:uid="{BA29EBBE-C8E7-47FF-A93B-E66C9261B458}"/>
    <cellStyle name="Normal 4 2 4 7 2" xfId="4730" xr:uid="{6CC193CE-8FAD-4CF6-A260-99C695718846}"/>
    <cellStyle name="Normal 4 2 4 7 2 2" xfId="8948" xr:uid="{730DC16F-6530-481A-886B-F1F2A170BB5E}"/>
    <cellStyle name="Normal 4 2 4 7 3" xfId="6803" xr:uid="{23E74B82-DE0E-4254-8529-5B70535703A8}"/>
    <cellStyle name="Normal 4 2 4 8" xfId="2914" xr:uid="{12B83152-362C-42A6-A857-6A1A56AB4C37}"/>
    <cellStyle name="Normal 4 2 4 8 2" xfId="5143" xr:uid="{2893F160-FBFA-44C5-AD4B-378A82160821}"/>
    <cellStyle name="Normal 4 2 4 8 2 2" xfId="9361" xr:uid="{6290B12E-E291-4767-9095-F5E714CC05B2}"/>
    <cellStyle name="Normal 4 2 4 8 3" xfId="7216" xr:uid="{7180F7B0-B38D-4966-88FB-7E151E785E15}"/>
    <cellStyle name="Normal 4 2 4 9" xfId="3350" xr:uid="{57FE9757-C804-4883-B73F-A19790FB3B62}"/>
    <cellStyle name="Normal 4 2 4 9 2" xfId="7629" xr:uid="{62ADC60D-664A-4FDA-84CD-9532CAFD937C}"/>
    <cellStyle name="Normal 4 2 5" xfId="366" xr:uid="{00000000-0005-0000-0000-00007E020000}"/>
    <cellStyle name="Normal 4 2 5 2" xfId="367" xr:uid="{00000000-0005-0000-0000-00007F020000}"/>
    <cellStyle name="Normal 4 2 5 2 2" xfId="848" xr:uid="{00000000-0005-0000-0000-000080020000}"/>
    <cellStyle name="Normal 4 2 5 2 2 2" xfId="3913" xr:uid="{636F4D0F-254E-4F08-9FC9-F4A926CA9F31}"/>
    <cellStyle name="Normal 4 2 5 2 2 2 2" xfId="8131" xr:uid="{438C0D89-DAF3-4A31-9A00-B749717AA002}"/>
    <cellStyle name="Normal 4 2 5 2 2 3" xfId="5986" xr:uid="{686A5794-1FD9-4AA6-8C04-36444A6FE35D}"/>
    <cellStyle name="Normal 4 2 5 2 2 4" xfId="1684" xr:uid="{CC4ADA1E-06EC-4DA6-BA2B-AE88DA0253D0}"/>
    <cellStyle name="Normal 4 2 5 2 3" xfId="2097" xr:uid="{AE10E160-4CC7-43F6-8A39-083CE612B014}"/>
    <cellStyle name="Normal 4 2 5 2 3 2" xfId="4326" xr:uid="{0DE3B3A3-5579-434F-AB6A-535C5B09D161}"/>
    <cellStyle name="Normal 4 2 5 2 3 2 2" xfId="8544" xr:uid="{A1925207-CDE9-4E0C-B4E4-23776C89F354}"/>
    <cellStyle name="Normal 4 2 5 2 3 3" xfId="6399" xr:uid="{D607B07F-23ED-487F-9AC1-2D6EEE424E35}"/>
    <cellStyle name="Normal 4 2 5 2 4" xfId="2510" xr:uid="{1D6DEAF9-BC68-4C2D-8EBD-174D04C3DAAC}"/>
    <cellStyle name="Normal 4 2 5 2 4 2" xfId="4739" xr:uid="{FC337F38-B93C-4F57-B270-D0004A58F95A}"/>
    <cellStyle name="Normal 4 2 5 2 4 2 2" xfId="8957" xr:uid="{43EFA4B7-6ED9-4F55-B01B-E0A77E4211B5}"/>
    <cellStyle name="Normal 4 2 5 2 4 3" xfId="6812" xr:uid="{AEFDA4DA-674C-4E9D-883D-73D4A751B20C}"/>
    <cellStyle name="Normal 4 2 5 2 5" xfId="2923" xr:uid="{C4F66001-4694-4EF9-86FA-45891B3CB658}"/>
    <cellStyle name="Normal 4 2 5 2 5 2" xfId="5152" xr:uid="{9B376230-40A0-4126-8A68-6F0B0FD5B223}"/>
    <cellStyle name="Normal 4 2 5 2 5 2 2" xfId="9370" xr:uid="{D2948AAD-BEFB-40E2-B487-FF6BC3F1FBDB}"/>
    <cellStyle name="Normal 4 2 5 2 5 3" xfId="7225" xr:uid="{CF2D8EEF-C087-45DA-929D-D61D4AFE789F}"/>
    <cellStyle name="Normal 4 2 5 2 6" xfId="3359" xr:uid="{DAF107CB-E4FB-4AD2-B30B-36D609FF135C}"/>
    <cellStyle name="Normal 4 2 5 2 6 2" xfId="7638" xr:uid="{496149F7-B0EC-4251-BFBC-5B3811784AB1}"/>
    <cellStyle name="Normal 4 2 5 2 7" xfId="5573" xr:uid="{39D4950D-28E8-4004-BB92-3C724DC30A4A}"/>
    <cellStyle name="Normal 4 2 5 2 8" xfId="1269" xr:uid="{E8BDEEA9-BF6C-4929-AA66-ADBF3B2B05AF}"/>
    <cellStyle name="Normal 4 2 5 3" xfId="847" xr:uid="{00000000-0005-0000-0000-000081020000}"/>
    <cellStyle name="Normal 4 2 5 3 2" xfId="3912" xr:uid="{9417CC8A-FFEB-42EE-879C-FC732178F97D}"/>
    <cellStyle name="Normal 4 2 5 3 2 2" xfId="8130" xr:uid="{BBA1AC3D-AD85-40A9-A8B9-F647345F3DCC}"/>
    <cellStyle name="Normal 4 2 5 3 3" xfId="5985" xr:uid="{07835ED3-6661-4D44-AB2B-41C8B90C3D81}"/>
    <cellStyle name="Normal 4 2 5 3 4" xfId="1683" xr:uid="{1CF9446C-20B2-4007-8B0E-33686E9E1867}"/>
    <cellStyle name="Normal 4 2 5 4" xfId="2096" xr:uid="{0E1C7A7A-6B85-402F-8248-CAE265D6B8AF}"/>
    <cellStyle name="Normal 4 2 5 4 2" xfId="4325" xr:uid="{5E9E316C-0656-45BD-A55C-C5D642B405DB}"/>
    <cellStyle name="Normal 4 2 5 4 2 2" xfId="8543" xr:uid="{B63B9B67-8138-43D2-B881-A4D915F6CCA5}"/>
    <cellStyle name="Normal 4 2 5 4 3" xfId="6398" xr:uid="{B3E3CA5F-E2CD-414E-99AB-87A159908651}"/>
    <cellStyle name="Normal 4 2 5 5" xfId="2509" xr:uid="{66D853CA-D51C-4CAB-A2B9-968A27066938}"/>
    <cellStyle name="Normal 4 2 5 5 2" xfId="4738" xr:uid="{DFC5B719-07D6-496E-9F10-27574BE45804}"/>
    <cellStyle name="Normal 4 2 5 5 2 2" xfId="8956" xr:uid="{09E8F9FC-DD7D-4E0C-878A-90D8FBD1674A}"/>
    <cellStyle name="Normal 4 2 5 5 3" xfId="6811" xr:uid="{0B3F6332-9A73-40B3-A71D-C66DAE2601AE}"/>
    <cellStyle name="Normal 4 2 5 6" xfId="2922" xr:uid="{EFA2BA20-794A-43A8-8D16-4D35DCECEC15}"/>
    <cellStyle name="Normal 4 2 5 6 2" xfId="5151" xr:uid="{AF088EC7-D15E-4E7F-B963-3FDCD3EC8AF9}"/>
    <cellStyle name="Normal 4 2 5 6 2 2" xfId="9369" xr:uid="{2F60E532-8057-491D-9DE1-F8BD634A2682}"/>
    <cellStyle name="Normal 4 2 5 6 3" xfId="7224" xr:uid="{67034AC6-0CD2-4096-9937-1DCF315F9BF4}"/>
    <cellStyle name="Normal 4 2 5 7" xfId="3358" xr:uid="{7FC67F18-C90B-488C-9356-9CF828FE7F10}"/>
    <cellStyle name="Normal 4 2 5 7 2" xfId="7637" xr:uid="{72108D6F-47A5-4444-A2E6-5EC6F23F6EF1}"/>
    <cellStyle name="Normal 4 2 5 8" xfId="5572" xr:uid="{C4E0765C-CA57-4DFD-9477-0330D93A4A58}"/>
    <cellStyle name="Normal 4 2 5 9" xfId="1268" xr:uid="{49D671BE-14B6-40CB-85BD-23AC3BD94E95}"/>
    <cellStyle name="Normal 4 2 6" xfId="368" xr:uid="{00000000-0005-0000-0000-000082020000}"/>
    <cellStyle name="Normal 4 2 6 2" xfId="849" xr:uid="{00000000-0005-0000-0000-000083020000}"/>
    <cellStyle name="Normal 4 2 6 2 2" xfId="3914" xr:uid="{F8DC18D2-E42B-452A-9E1B-65AFE8C67508}"/>
    <cellStyle name="Normal 4 2 6 2 2 2" xfId="8132" xr:uid="{67E752EE-91CF-4A44-B7A3-3A43F45E9C2E}"/>
    <cellStyle name="Normal 4 2 6 2 3" xfId="5987" xr:uid="{C064BE31-812E-47E4-9883-B3CA8211ABF8}"/>
    <cellStyle name="Normal 4 2 6 2 4" xfId="1685" xr:uid="{5147F782-9661-4643-AF20-74A800B6DB6A}"/>
    <cellStyle name="Normal 4 2 6 3" xfId="2098" xr:uid="{2D637A2F-5B70-4D33-B288-C2B6B70E9F68}"/>
    <cellStyle name="Normal 4 2 6 3 2" xfId="4327" xr:uid="{780928D1-1C35-4ADA-8BA5-5C72F3AD1697}"/>
    <cellStyle name="Normal 4 2 6 3 2 2" xfId="8545" xr:uid="{17DE2663-8606-449B-ABEB-6320D7DB5FE0}"/>
    <cellStyle name="Normal 4 2 6 3 3" xfId="6400" xr:uid="{BDB478C8-A6FF-4E1D-9D15-F11073157F27}"/>
    <cellStyle name="Normal 4 2 6 4" xfId="2511" xr:uid="{E266BF7B-C6C3-4C7F-9193-6CE139E5DDF5}"/>
    <cellStyle name="Normal 4 2 6 4 2" xfId="4740" xr:uid="{4D47B688-AB4A-4498-8517-05B8BE28219B}"/>
    <cellStyle name="Normal 4 2 6 4 2 2" xfId="8958" xr:uid="{DE049776-F3D4-478F-981A-C9C6BAAE65AB}"/>
    <cellStyle name="Normal 4 2 6 4 3" xfId="6813" xr:uid="{FB9018B4-3497-4254-86E4-E2F803B42EE0}"/>
    <cellStyle name="Normal 4 2 6 5" xfId="2924" xr:uid="{BD64FCE8-4FA1-4FA7-8CBB-BBC166D414B0}"/>
    <cellStyle name="Normal 4 2 6 5 2" xfId="5153" xr:uid="{DC25DAAA-841F-4B3A-9112-861D8C891675}"/>
    <cellStyle name="Normal 4 2 6 5 2 2" xfId="9371" xr:uid="{A346D6C2-7449-4EF5-AB3C-76432DB412F3}"/>
    <cellStyle name="Normal 4 2 6 5 3" xfId="7226" xr:uid="{1F541195-3F0A-4525-B24D-FF13ED1F311D}"/>
    <cellStyle name="Normal 4 2 6 6" xfId="3360" xr:uid="{F778A098-F65B-462E-8ABC-8C49240B4328}"/>
    <cellStyle name="Normal 4 2 6 6 2" xfId="7639" xr:uid="{169CD31C-BBAF-438B-95EA-F1712866B60E}"/>
    <cellStyle name="Normal 4 2 6 7" xfId="5574" xr:uid="{786C1D75-8F17-4560-8929-4AF7279C7F98}"/>
    <cellStyle name="Normal 4 2 6 8" xfId="1270" xr:uid="{C1AC4FA3-04D7-4902-A84C-EBFD902D6D41}"/>
    <cellStyle name="Normal 4 3" xfId="369" xr:uid="{00000000-0005-0000-0000-000084020000}"/>
    <cellStyle name="Normal 4 3 10" xfId="1271" xr:uid="{097CC455-6F52-48E7-B171-3267738CB5EC}"/>
    <cellStyle name="Normal 4 3 2" xfId="370" xr:uid="{00000000-0005-0000-0000-000085020000}"/>
    <cellStyle name="Normal 4 3 2 2" xfId="371" xr:uid="{00000000-0005-0000-0000-000086020000}"/>
    <cellStyle name="Normal 4 3 2 2 2" xfId="372" xr:uid="{00000000-0005-0000-0000-000087020000}"/>
    <cellStyle name="Normal 4 3 2 2 2 10" xfId="1272" xr:uid="{B9ED999F-8E02-4D6E-832F-12DC4A5A711C}"/>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3918" xr:uid="{8769DD47-91C7-4FEB-BEFC-31E62670B9ED}"/>
    <cellStyle name="Normal 4 3 2 2 2 2 2 2 2 2" xfId="8136" xr:uid="{2E1E0315-C2FE-4FBC-9881-19F1381D9D3A}"/>
    <cellStyle name="Normal 4 3 2 2 2 2 2 2 3" xfId="5991" xr:uid="{F99CA739-EEF0-40C6-97AA-B9FF5D410A06}"/>
    <cellStyle name="Normal 4 3 2 2 2 2 2 2 4" xfId="1689" xr:uid="{F6891EF5-02D7-439C-BE7E-55109E96BF7E}"/>
    <cellStyle name="Normal 4 3 2 2 2 2 2 3" xfId="2102" xr:uid="{9ADED230-E935-40D2-BA2E-9B73C1DE712F}"/>
    <cellStyle name="Normal 4 3 2 2 2 2 2 3 2" xfId="4331" xr:uid="{1DE00899-A544-457F-BF1C-E1777468B748}"/>
    <cellStyle name="Normal 4 3 2 2 2 2 2 3 2 2" xfId="8549" xr:uid="{CC6630A9-EBF2-4791-B26B-881E09900F28}"/>
    <cellStyle name="Normal 4 3 2 2 2 2 2 3 3" xfId="6404" xr:uid="{BD38808E-F5FC-4D66-BAAF-2A4A6CEB4EBF}"/>
    <cellStyle name="Normal 4 3 2 2 2 2 2 4" xfId="2515" xr:uid="{081B66F8-3AE1-41CB-9D16-DB7A6F7B1F15}"/>
    <cellStyle name="Normal 4 3 2 2 2 2 2 4 2" xfId="4744" xr:uid="{9EB77817-5582-4BF3-BA9A-41B9E5720AB4}"/>
    <cellStyle name="Normal 4 3 2 2 2 2 2 4 2 2" xfId="8962" xr:uid="{9F84D7C5-EDCD-4312-BEF7-0866ACEFDEA2}"/>
    <cellStyle name="Normal 4 3 2 2 2 2 2 4 3" xfId="6817" xr:uid="{DEC1D4E7-39B5-4C26-86CE-4A1E2058FE2A}"/>
    <cellStyle name="Normal 4 3 2 2 2 2 2 5" xfId="2928" xr:uid="{63B9CB5B-7289-418C-B1C5-39E5A4834BF0}"/>
    <cellStyle name="Normal 4 3 2 2 2 2 2 5 2" xfId="5157" xr:uid="{903B804D-B4B1-4D5E-A267-505A5CA75D93}"/>
    <cellStyle name="Normal 4 3 2 2 2 2 2 5 2 2" xfId="9375" xr:uid="{CD91B3BA-4E6F-44FC-A1B6-EF8EC6C238C6}"/>
    <cellStyle name="Normal 4 3 2 2 2 2 2 5 3" xfId="7230" xr:uid="{8E4AE19C-787D-49E5-9904-BFE0297EABF1}"/>
    <cellStyle name="Normal 4 3 2 2 2 2 2 6" xfId="3364" xr:uid="{51C24BE2-A09B-4BA6-9F5E-725B436F7CE2}"/>
    <cellStyle name="Normal 4 3 2 2 2 2 2 6 2" xfId="7643" xr:uid="{CCD389D9-5630-4D75-8D09-342413588580}"/>
    <cellStyle name="Normal 4 3 2 2 2 2 2 7" xfId="5578" xr:uid="{FBBF3CF0-7572-4228-8581-3A0BBA249A7D}"/>
    <cellStyle name="Normal 4 3 2 2 2 2 2 8" xfId="1274" xr:uid="{6C4CF818-4F17-4EDE-BAC3-720F5558121F}"/>
    <cellStyle name="Normal 4 3 2 2 2 2 3" xfId="853" xr:uid="{00000000-0005-0000-0000-00008B020000}"/>
    <cellStyle name="Normal 4 3 2 2 2 2 3 2" xfId="3917" xr:uid="{1413C17E-C564-4A0A-9BEB-D2A9C3996E90}"/>
    <cellStyle name="Normal 4 3 2 2 2 2 3 2 2" xfId="8135" xr:uid="{B7AD4B32-F5FB-467F-B5AF-4DB036249785}"/>
    <cellStyle name="Normal 4 3 2 2 2 2 3 3" xfId="5990" xr:uid="{BD15AF7F-6200-4CC7-A8F1-3D923894541A}"/>
    <cellStyle name="Normal 4 3 2 2 2 2 3 4" xfId="1688" xr:uid="{89CCC23C-9D3C-44B9-9BA9-67545A76D253}"/>
    <cellStyle name="Normal 4 3 2 2 2 2 4" xfId="2101" xr:uid="{0E190688-7197-449F-805E-D6A22E3E182D}"/>
    <cellStyle name="Normal 4 3 2 2 2 2 4 2" xfId="4330" xr:uid="{AEB9E744-8BD1-42AA-B860-E0D4A803699B}"/>
    <cellStyle name="Normal 4 3 2 2 2 2 4 2 2" xfId="8548" xr:uid="{0ACB07B6-D7FB-445A-BA20-ECB004BE71BE}"/>
    <cellStyle name="Normal 4 3 2 2 2 2 4 3" xfId="6403" xr:uid="{27F2195C-DD36-4A45-AA23-DF414FFBA895}"/>
    <cellStyle name="Normal 4 3 2 2 2 2 5" xfId="2514" xr:uid="{A1D4CF31-7CCD-4BE4-8DA0-653A3768C743}"/>
    <cellStyle name="Normal 4 3 2 2 2 2 5 2" xfId="4743" xr:uid="{BE560F9C-A1ED-4034-B5F7-888CB9D75CCD}"/>
    <cellStyle name="Normal 4 3 2 2 2 2 5 2 2" xfId="8961" xr:uid="{860933C5-6B63-4B2F-9492-21D58D2970D8}"/>
    <cellStyle name="Normal 4 3 2 2 2 2 5 3" xfId="6816" xr:uid="{6C7B6B16-CD1A-47C9-B1F5-102E33DE17D7}"/>
    <cellStyle name="Normal 4 3 2 2 2 2 6" xfId="2927" xr:uid="{896C516E-975D-4A85-9C7C-819DF08EE710}"/>
    <cellStyle name="Normal 4 3 2 2 2 2 6 2" xfId="5156" xr:uid="{2D0AA8A9-A052-4B2B-8CA4-717E95231202}"/>
    <cellStyle name="Normal 4 3 2 2 2 2 6 2 2" xfId="9374" xr:uid="{2F279218-BA24-4F68-9B94-CB677CB9D831}"/>
    <cellStyle name="Normal 4 3 2 2 2 2 6 3" xfId="7229" xr:uid="{AE23A34F-66D6-45B6-8587-C9A8617B9482}"/>
    <cellStyle name="Normal 4 3 2 2 2 2 7" xfId="3363" xr:uid="{8498F167-5B5A-46B8-8D88-4E7205097255}"/>
    <cellStyle name="Normal 4 3 2 2 2 2 7 2" xfId="7642" xr:uid="{93E6CF4B-00F4-4CB0-AA6E-BDD5D4953C28}"/>
    <cellStyle name="Normal 4 3 2 2 2 2 8" xfId="5577" xr:uid="{65015AD0-156B-4DC4-8183-6D2EAC0025BB}"/>
    <cellStyle name="Normal 4 3 2 2 2 2 9" xfId="1273" xr:uid="{346B04EB-528C-4563-B549-B5AC15019395}"/>
    <cellStyle name="Normal 4 3 2 2 2 3" xfId="375" xr:uid="{00000000-0005-0000-0000-00008C020000}"/>
    <cellStyle name="Normal 4 3 2 2 2 3 2" xfId="855" xr:uid="{00000000-0005-0000-0000-00008D020000}"/>
    <cellStyle name="Normal 4 3 2 2 2 3 2 2" xfId="3919" xr:uid="{FEAA6F9B-14B2-44AE-B633-027DE461769E}"/>
    <cellStyle name="Normal 4 3 2 2 2 3 2 2 2" xfId="8137" xr:uid="{6986AE51-247A-4EE6-AA60-F0F6407132B7}"/>
    <cellStyle name="Normal 4 3 2 2 2 3 2 3" xfId="5992" xr:uid="{4631DE74-5DE7-4D03-AA93-E7078293C4E9}"/>
    <cellStyle name="Normal 4 3 2 2 2 3 2 4" xfId="1690" xr:uid="{58EAD5B4-0FBE-42EB-823C-967847D3C8B4}"/>
    <cellStyle name="Normal 4 3 2 2 2 3 3" xfId="2103" xr:uid="{1ED23660-F6C1-42F3-8BE5-55D0ED7210B2}"/>
    <cellStyle name="Normal 4 3 2 2 2 3 3 2" xfId="4332" xr:uid="{B946B493-8BEB-4B84-9070-959A24D22B1F}"/>
    <cellStyle name="Normal 4 3 2 2 2 3 3 2 2" xfId="8550" xr:uid="{7C71A944-64AD-4523-A51D-5A9CDF6D8F22}"/>
    <cellStyle name="Normal 4 3 2 2 2 3 3 3" xfId="6405" xr:uid="{0380D8CB-C783-4625-AD5E-5D3B5BEDB2CD}"/>
    <cellStyle name="Normal 4 3 2 2 2 3 4" xfId="2516" xr:uid="{BA61A215-41AD-49BC-993F-C28D6D10ED51}"/>
    <cellStyle name="Normal 4 3 2 2 2 3 4 2" xfId="4745" xr:uid="{7A48A8CD-BEF4-4C56-BBC8-08DBBB5A4BD9}"/>
    <cellStyle name="Normal 4 3 2 2 2 3 4 2 2" xfId="8963" xr:uid="{0E191126-9076-4E1C-93B1-666C68AD5EE5}"/>
    <cellStyle name="Normal 4 3 2 2 2 3 4 3" xfId="6818" xr:uid="{9E8DB03C-5173-45B8-918A-A22B547E5B98}"/>
    <cellStyle name="Normal 4 3 2 2 2 3 5" xfId="2929" xr:uid="{BB45DA83-458B-423D-817D-D2DB9E6A4CB1}"/>
    <cellStyle name="Normal 4 3 2 2 2 3 5 2" xfId="5158" xr:uid="{D1193CBD-7F26-4B72-B301-6D5EEC126142}"/>
    <cellStyle name="Normal 4 3 2 2 2 3 5 2 2" xfId="9376" xr:uid="{5ADF4D73-2E14-4883-9B24-953EE85DDE7D}"/>
    <cellStyle name="Normal 4 3 2 2 2 3 5 3" xfId="7231" xr:uid="{A222D0DF-2D79-400A-ABEE-D8E921118F27}"/>
    <cellStyle name="Normal 4 3 2 2 2 3 6" xfId="3365" xr:uid="{1D1EDA18-B817-46DB-B4BD-5CB074A5B68A}"/>
    <cellStyle name="Normal 4 3 2 2 2 3 6 2" xfId="7644" xr:uid="{9D3343DA-272E-47FD-93CC-BFE731E0E5AA}"/>
    <cellStyle name="Normal 4 3 2 2 2 3 7" xfId="5579" xr:uid="{3B0D81D1-5F26-48EB-B32C-4D896FE0FB3F}"/>
    <cellStyle name="Normal 4 3 2 2 2 3 8" xfId="1275" xr:uid="{0FBC0AC3-C1A2-4CB9-BAFC-716091284023}"/>
    <cellStyle name="Normal 4 3 2 2 2 4" xfId="852" xr:uid="{00000000-0005-0000-0000-00008E020000}"/>
    <cellStyle name="Normal 4 3 2 2 2 4 2" xfId="3916" xr:uid="{4D140427-B23B-4A3A-A0E5-84073D8D1E50}"/>
    <cellStyle name="Normal 4 3 2 2 2 4 2 2" xfId="8134" xr:uid="{B882F72B-C38A-4348-94A6-C69ADA7E532B}"/>
    <cellStyle name="Normal 4 3 2 2 2 4 3" xfId="5989" xr:uid="{DA3E0DCC-6553-41BB-8697-0C86780F6C78}"/>
    <cellStyle name="Normal 4 3 2 2 2 4 4" xfId="1687" xr:uid="{360845CF-651D-47B9-B878-D7299679C0F9}"/>
    <cellStyle name="Normal 4 3 2 2 2 5" xfId="2100" xr:uid="{4C65443F-7BA0-48B0-8344-2FD57EDE0A65}"/>
    <cellStyle name="Normal 4 3 2 2 2 5 2" xfId="4329" xr:uid="{9852C02C-BB12-4C47-97AB-5663C39906EA}"/>
    <cellStyle name="Normal 4 3 2 2 2 5 2 2" xfId="8547" xr:uid="{CF6A9351-E323-4391-B9C1-9A1D894E2E13}"/>
    <cellStyle name="Normal 4 3 2 2 2 5 3" xfId="6402" xr:uid="{9660604B-945E-4FFD-B2C4-CEDF41CC4974}"/>
    <cellStyle name="Normal 4 3 2 2 2 6" xfId="2513" xr:uid="{FF0E4578-AD53-4322-989F-20D07978C7F8}"/>
    <cellStyle name="Normal 4 3 2 2 2 6 2" xfId="4742" xr:uid="{DAD0DBD3-590F-47ED-B514-E8F837691176}"/>
    <cellStyle name="Normal 4 3 2 2 2 6 2 2" xfId="8960" xr:uid="{C21444E8-4AF4-4CA7-845C-04C3F4E2281B}"/>
    <cellStyle name="Normal 4 3 2 2 2 6 3" xfId="6815" xr:uid="{D6D466E8-5BEA-403C-8043-4A3351B36376}"/>
    <cellStyle name="Normal 4 3 2 2 2 7" xfId="2926" xr:uid="{08F962CD-FCEB-429F-AE7C-3F97D26F5907}"/>
    <cellStyle name="Normal 4 3 2 2 2 7 2" xfId="5155" xr:uid="{14C4DA55-3964-49C9-8906-FF445925561A}"/>
    <cellStyle name="Normal 4 3 2 2 2 7 2 2" xfId="9373" xr:uid="{A453A4B9-C0C0-4BEA-A5A0-D02470760A7E}"/>
    <cellStyle name="Normal 4 3 2 2 2 7 3" xfId="7228" xr:uid="{85A7D060-2DC7-4BAD-AF01-E9C874D3BC4A}"/>
    <cellStyle name="Normal 4 3 2 2 2 8" xfId="3362" xr:uid="{129F42A6-94FF-484A-BF14-23CC46FAA271}"/>
    <cellStyle name="Normal 4 3 2 2 2 8 2" xfId="7641" xr:uid="{4C680950-631B-434B-8E16-CB691D099BC2}"/>
    <cellStyle name="Normal 4 3 2 2 2 9" xfId="5576" xr:uid="{5B96E769-CAD0-4A4C-B9EC-0994A945FFF2}"/>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1276" xr:uid="{1E85E6FD-4A3E-4BFF-93B6-31F3971CA304}"/>
    <cellStyle name="Normal 4 3 3 2" xfId="378" xr:uid="{00000000-0005-0000-0000-000093020000}"/>
    <cellStyle name="Normal 4 3 3 2 2" xfId="379" xr:uid="{00000000-0005-0000-0000-000094020000}"/>
    <cellStyle name="Normal 4 3 3 2 2 2" xfId="859" xr:uid="{00000000-0005-0000-0000-000095020000}"/>
    <cellStyle name="Normal 4 3 3 2 2 2 2" xfId="3922" xr:uid="{3478169B-BC7D-4F4D-91FE-C03D0DA924D3}"/>
    <cellStyle name="Normal 4 3 3 2 2 2 2 2" xfId="8140" xr:uid="{B803D3F3-47F5-43D4-8018-1CA07FD064BE}"/>
    <cellStyle name="Normal 4 3 3 2 2 2 3" xfId="5995" xr:uid="{4F138DD3-37C3-4CA0-A716-C739F48D628C}"/>
    <cellStyle name="Normal 4 3 3 2 2 2 4" xfId="1693" xr:uid="{00A15A39-B5C9-4C6A-B3B3-F6372929C4F9}"/>
    <cellStyle name="Normal 4 3 3 2 2 3" xfId="2106" xr:uid="{5E3FAE10-18F8-43EC-B280-C2842C653F28}"/>
    <cellStyle name="Normal 4 3 3 2 2 3 2" xfId="4335" xr:uid="{3EBEE76B-1427-4FD5-9A06-CD0B5CAE5B22}"/>
    <cellStyle name="Normal 4 3 3 2 2 3 2 2" xfId="8553" xr:uid="{9E492B34-3027-432D-A7A2-EDDE4A3CEA9D}"/>
    <cellStyle name="Normal 4 3 3 2 2 3 3" xfId="6408" xr:uid="{D72149A5-B013-4587-8E10-5EFE5A07CC94}"/>
    <cellStyle name="Normal 4 3 3 2 2 4" xfId="2519" xr:uid="{5B450B57-577F-49B2-83B3-F20F1B537777}"/>
    <cellStyle name="Normal 4 3 3 2 2 4 2" xfId="4748" xr:uid="{68F23D31-F2BA-4AE8-AAD0-F89E094B449A}"/>
    <cellStyle name="Normal 4 3 3 2 2 4 2 2" xfId="8966" xr:uid="{38726E45-9DD1-478D-978F-D3B3AED92543}"/>
    <cellStyle name="Normal 4 3 3 2 2 4 3" xfId="6821" xr:uid="{A787DD1D-37BF-45DE-8502-8338E441CFEB}"/>
    <cellStyle name="Normal 4 3 3 2 2 5" xfId="2932" xr:uid="{76E9AF37-414C-4E26-808F-FD4EE034B44A}"/>
    <cellStyle name="Normal 4 3 3 2 2 5 2" xfId="5161" xr:uid="{25113C20-B71C-4D5F-A6B8-802F06A382B5}"/>
    <cellStyle name="Normal 4 3 3 2 2 5 2 2" xfId="9379" xr:uid="{6472E4E3-3C3C-4C4B-8879-50468A86D26E}"/>
    <cellStyle name="Normal 4 3 3 2 2 5 3" xfId="7234" xr:uid="{10C874E0-06E5-48C5-B349-6A34CDEF0A8C}"/>
    <cellStyle name="Normal 4 3 3 2 2 6" xfId="3368" xr:uid="{43AAC4DF-DEEF-4E5E-9154-154320611E7B}"/>
    <cellStyle name="Normal 4 3 3 2 2 6 2" xfId="7647" xr:uid="{A85B1C93-5BCE-4D74-8C24-EFCC5ABEBE59}"/>
    <cellStyle name="Normal 4 3 3 2 2 7" xfId="5582" xr:uid="{ABC76351-BA2D-4BAC-8612-F62530109DBC}"/>
    <cellStyle name="Normal 4 3 3 2 2 8" xfId="1278" xr:uid="{8869C867-A8C4-41E8-B278-8C1C88259894}"/>
    <cellStyle name="Normal 4 3 3 2 3" xfId="858" xr:uid="{00000000-0005-0000-0000-000096020000}"/>
    <cellStyle name="Normal 4 3 3 2 3 2" xfId="3921" xr:uid="{AE734E24-EA03-4F7C-BCBF-6BF0EA25F1A5}"/>
    <cellStyle name="Normal 4 3 3 2 3 2 2" xfId="8139" xr:uid="{54C49F72-AB67-4C55-A79F-DD216E24C089}"/>
    <cellStyle name="Normal 4 3 3 2 3 3" xfId="5994" xr:uid="{EE7F5AA2-95DF-46C1-A142-A984AE5EE84C}"/>
    <cellStyle name="Normal 4 3 3 2 3 4" xfId="1692" xr:uid="{61E10042-7374-48B6-846A-FE19C07D73DB}"/>
    <cellStyle name="Normal 4 3 3 2 4" xfId="2105" xr:uid="{8B0A3AAC-0FB9-4F6C-B6FC-C18FD3E1CA4B}"/>
    <cellStyle name="Normal 4 3 3 2 4 2" xfId="4334" xr:uid="{EF2D017A-A015-4620-BDC3-FD62E87E82DB}"/>
    <cellStyle name="Normal 4 3 3 2 4 2 2" xfId="8552" xr:uid="{FDC99B5B-9CC5-4A0C-B8E0-6458CA545311}"/>
    <cellStyle name="Normal 4 3 3 2 4 3" xfId="6407" xr:uid="{BBD675F2-3BDC-4698-816D-0086B5E02135}"/>
    <cellStyle name="Normal 4 3 3 2 5" xfId="2518" xr:uid="{E98AC6E3-C113-4375-9F8A-9928BBF2056A}"/>
    <cellStyle name="Normal 4 3 3 2 5 2" xfId="4747" xr:uid="{D801BDFD-FBD2-423C-89A9-49D27514A53B}"/>
    <cellStyle name="Normal 4 3 3 2 5 2 2" xfId="8965" xr:uid="{0BF51D7E-19E2-469E-A48A-72FA48BE372D}"/>
    <cellStyle name="Normal 4 3 3 2 5 3" xfId="6820" xr:uid="{50833BE9-15BC-4D36-ABE4-F12873678BA8}"/>
    <cellStyle name="Normal 4 3 3 2 6" xfId="2931" xr:uid="{FCAE22EE-629B-4AED-8372-25597873DC3A}"/>
    <cellStyle name="Normal 4 3 3 2 6 2" xfId="5160" xr:uid="{7630D069-3CA1-4246-B213-E45E686DD5C9}"/>
    <cellStyle name="Normal 4 3 3 2 6 2 2" xfId="9378" xr:uid="{BD88E63B-CB22-4F68-8AAD-AA9712205D92}"/>
    <cellStyle name="Normal 4 3 3 2 6 3" xfId="7233" xr:uid="{30C474EA-5028-4D84-B489-EA62DB99D680}"/>
    <cellStyle name="Normal 4 3 3 2 7" xfId="3367" xr:uid="{76515A5E-B0EE-453D-92E4-D0D0F6BAF630}"/>
    <cellStyle name="Normal 4 3 3 2 7 2" xfId="7646" xr:uid="{EED71A46-059E-4DE9-B833-776EFD0AA3F8}"/>
    <cellStyle name="Normal 4 3 3 2 8" xfId="5581" xr:uid="{E929A435-1E7D-4778-B179-8F965E1FF2AA}"/>
    <cellStyle name="Normal 4 3 3 2 9" xfId="1277" xr:uid="{C4F71EFD-645A-41AD-8F2E-2419543B342A}"/>
    <cellStyle name="Normal 4 3 3 3" xfId="380" xr:uid="{00000000-0005-0000-0000-000097020000}"/>
    <cellStyle name="Normal 4 3 3 3 2" xfId="860" xr:uid="{00000000-0005-0000-0000-000098020000}"/>
    <cellStyle name="Normal 4 3 3 3 2 2" xfId="3923" xr:uid="{BCB39C6B-1993-42C3-A451-42B46CA4A54F}"/>
    <cellStyle name="Normal 4 3 3 3 2 2 2" xfId="8141" xr:uid="{FADB54AE-3608-4F4D-BEB9-4138A4DDE6B6}"/>
    <cellStyle name="Normal 4 3 3 3 2 3" xfId="5996" xr:uid="{A8CC1219-2582-4282-AD91-A6929BF1320D}"/>
    <cellStyle name="Normal 4 3 3 3 2 4" xfId="1694" xr:uid="{9D176BFF-8D61-4FE1-8508-C7CA5E279CE5}"/>
    <cellStyle name="Normal 4 3 3 3 3" xfId="2107" xr:uid="{3181F267-4BCB-425A-BA80-2A8B84FC99CD}"/>
    <cellStyle name="Normal 4 3 3 3 3 2" xfId="4336" xr:uid="{A5F0402C-45E5-42DF-BCD8-0CC0E894E1F6}"/>
    <cellStyle name="Normal 4 3 3 3 3 2 2" xfId="8554" xr:uid="{40BBB365-8F88-4F05-B128-919612C5B933}"/>
    <cellStyle name="Normal 4 3 3 3 3 3" xfId="6409" xr:uid="{D29749DE-CE00-4393-992E-4B6205AF7298}"/>
    <cellStyle name="Normal 4 3 3 3 4" xfId="2520" xr:uid="{0C072DEB-4A6B-4D5D-BE28-4376B3D314A4}"/>
    <cellStyle name="Normal 4 3 3 3 4 2" xfId="4749" xr:uid="{57991550-BA0D-45E8-A8BF-280836BFD130}"/>
    <cellStyle name="Normal 4 3 3 3 4 2 2" xfId="8967" xr:uid="{B3C45753-FD27-40D0-998A-F4BFC3344554}"/>
    <cellStyle name="Normal 4 3 3 3 4 3" xfId="6822" xr:uid="{DB9A75C9-D2B1-4FC0-A90A-ABC0611FB428}"/>
    <cellStyle name="Normal 4 3 3 3 5" xfId="2933" xr:uid="{24D360FC-B824-4996-988D-55CB91F88747}"/>
    <cellStyle name="Normal 4 3 3 3 5 2" xfId="5162" xr:uid="{B5202D1B-5EDB-488C-AE00-D4D887CE678E}"/>
    <cellStyle name="Normal 4 3 3 3 5 2 2" xfId="9380" xr:uid="{AC38F2B4-6CA4-4FD0-A16F-912DA2FBBD14}"/>
    <cellStyle name="Normal 4 3 3 3 5 3" xfId="7235" xr:uid="{FC25039E-4DD5-4D8F-A02E-C9160137BEFC}"/>
    <cellStyle name="Normal 4 3 3 3 6" xfId="3369" xr:uid="{0C795251-450E-426D-B910-A40C5B43C8C0}"/>
    <cellStyle name="Normal 4 3 3 3 6 2" xfId="7648" xr:uid="{90346D8E-7485-49E2-8EF1-0AB773600AD5}"/>
    <cellStyle name="Normal 4 3 3 3 7" xfId="5583" xr:uid="{D0A3CFB0-F833-4F4B-A4EF-FF917B05C300}"/>
    <cellStyle name="Normal 4 3 3 3 8" xfId="1279" xr:uid="{9195405B-10D4-4197-8A03-A46BFCDFD172}"/>
    <cellStyle name="Normal 4 3 3 4" xfId="857" xr:uid="{00000000-0005-0000-0000-000099020000}"/>
    <cellStyle name="Normal 4 3 3 4 2" xfId="3920" xr:uid="{D4AFEAE2-5F36-4D4B-B721-BA35FF9ADBC4}"/>
    <cellStyle name="Normal 4 3 3 4 2 2" xfId="8138" xr:uid="{A9ECB755-68A1-430D-81BE-C609521D4CC9}"/>
    <cellStyle name="Normal 4 3 3 4 3" xfId="5993" xr:uid="{48568930-81DE-4263-854D-7E5A03F35D14}"/>
    <cellStyle name="Normal 4 3 3 4 4" xfId="1691" xr:uid="{E0EBC049-80D9-4856-A0C0-76D1C5820920}"/>
    <cellStyle name="Normal 4 3 3 5" xfId="2104" xr:uid="{6D2D1679-633B-4222-A888-9F8C657B9AA7}"/>
    <cellStyle name="Normal 4 3 3 5 2" xfId="4333" xr:uid="{3D9CDA32-3888-4B7B-ABB6-2D7710280B43}"/>
    <cellStyle name="Normal 4 3 3 5 2 2" xfId="8551" xr:uid="{222C77AC-2ABC-4150-B6AC-BC34E02C079E}"/>
    <cellStyle name="Normal 4 3 3 5 3" xfId="6406" xr:uid="{3C33669D-BCBD-4D12-B574-7E75F8B03CD4}"/>
    <cellStyle name="Normal 4 3 3 6" xfId="2517" xr:uid="{451CDB3C-8FA4-4E9D-8081-9E35F8FC48C1}"/>
    <cellStyle name="Normal 4 3 3 6 2" xfId="4746" xr:uid="{3F4AFB50-9546-4EF4-B8F0-F890DB0DA22A}"/>
    <cellStyle name="Normal 4 3 3 6 2 2" xfId="8964" xr:uid="{331C87D8-DE2C-4802-AD66-E8B00565169D}"/>
    <cellStyle name="Normal 4 3 3 6 3" xfId="6819" xr:uid="{216E619E-3C92-47A3-AECF-462196752305}"/>
    <cellStyle name="Normal 4 3 3 7" xfId="2930" xr:uid="{2CDE91F4-1358-4939-ACB6-291862CCD481}"/>
    <cellStyle name="Normal 4 3 3 7 2" xfId="5159" xr:uid="{337430EA-F228-452B-A2FF-7CDD2DFB6AE8}"/>
    <cellStyle name="Normal 4 3 3 7 2 2" xfId="9377" xr:uid="{2F8C0C94-59D5-447F-827F-39FFEB6BBD6E}"/>
    <cellStyle name="Normal 4 3 3 7 3" xfId="7232" xr:uid="{B7682D64-63CE-4065-9E73-15AC9ED460E7}"/>
    <cellStyle name="Normal 4 3 3 8" xfId="3366" xr:uid="{B3BCA227-4534-4E9F-A671-84D904D63FEC}"/>
    <cellStyle name="Normal 4 3 3 8 2" xfId="7645" xr:uid="{772BA91A-E273-4B96-A9DD-0CA7C5558016}"/>
    <cellStyle name="Normal 4 3 3 9" xfId="5580" xr:uid="{B88A44FE-0A30-4EEA-BCCF-4B3403917FED}"/>
    <cellStyle name="Normal 4 3 4" xfId="850" xr:uid="{00000000-0005-0000-0000-00009A020000}"/>
    <cellStyle name="Normal 4 3 4 2" xfId="3915" xr:uid="{66E9BB24-2201-49DE-A888-E75795AEC4F5}"/>
    <cellStyle name="Normal 4 3 4 2 2" xfId="8133" xr:uid="{593BFA05-973D-4FB8-8F54-C6198D0A1AA4}"/>
    <cellStyle name="Normal 4 3 4 3" xfId="5988" xr:uid="{BF149AA2-9166-4AA9-AC15-1544905DD661}"/>
    <cellStyle name="Normal 4 3 4 4" xfId="1686" xr:uid="{F3306224-D560-4F4C-81A3-96F25896A5F7}"/>
    <cellStyle name="Normal 4 3 5" xfId="2099" xr:uid="{88BD188A-F91C-4DB8-A290-56EFBD60A5DF}"/>
    <cellStyle name="Normal 4 3 5 2" xfId="4328" xr:uid="{9A2B1A32-D760-44C7-B493-F00D590686A5}"/>
    <cellStyle name="Normal 4 3 5 2 2" xfId="8546" xr:uid="{57E0550B-B0C7-4339-A8DF-6B3C1450A788}"/>
    <cellStyle name="Normal 4 3 5 3" xfId="6401" xr:uid="{E72D6C30-C800-449F-A5F7-EE702F3E5102}"/>
    <cellStyle name="Normal 4 3 6" xfId="2512" xr:uid="{D981E28E-9D42-4DB3-B1CD-ECF550809DB5}"/>
    <cellStyle name="Normal 4 3 6 2" xfId="4741" xr:uid="{4307C964-F43B-458D-AD48-7EC6D7D2F411}"/>
    <cellStyle name="Normal 4 3 6 2 2" xfId="8959" xr:uid="{573F8D49-923B-4109-9A0A-8040AC957076}"/>
    <cellStyle name="Normal 4 3 6 3" xfId="6814" xr:uid="{5A0681EC-3EE0-4496-8527-064C181CBD65}"/>
    <cellStyle name="Normal 4 3 7" xfId="2925" xr:uid="{582A02C5-3884-482B-93AE-034A2C636600}"/>
    <cellStyle name="Normal 4 3 7 2" xfId="5154" xr:uid="{FDCF3F68-4D64-453E-B9C9-1DE1798E9543}"/>
    <cellStyle name="Normal 4 3 7 2 2" xfId="9372" xr:uid="{29DAF12F-F531-45B2-927A-9A501F1C61D3}"/>
    <cellStyle name="Normal 4 3 7 3" xfId="7227" xr:uid="{BD1E4DFC-9D74-48D5-9EBA-D9F1E45EDDA1}"/>
    <cellStyle name="Normal 4 3 8" xfId="3361" xr:uid="{827D3121-622F-4D57-8462-4911DFDBE045}"/>
    <cellStyle name="Normal 4 3 8 2" xfId="7640" xr:uid="{37E4B3D8-DB4A-42FC-8C0C-0EE27254CFF2}"/>
    <cellStyle name="Normal 4 3 9" xfId="5575" xr:uid="{3DC47BA4-48E1-4F71-BE76-F04E539D9113}"/>
    <cellStyle name="Normal 4 4" xfId="381" xr:uid="{00000000-0005-0000-0000-00009B020000}"/>
    <cellStyle name="Normal 4 4 10" xfId="3370" xr:uid="{430E0BEB-D39F-4EA7-AA1B-9E5DF836BB3D}"/>
    <cellStyle name="Normal 4 4 10 2" xfId="7649" xr:uid="{5DFABDAD-AC69-4847-A087-BB3B30009474}"/>
    <cellStyle name="Normal 4 4 11" xfId="5584" xr:uid="{CEAB89DE-ADEA-4C99-B833-5D826B359961}"/>
    <cellStyle name="Normal 4 4 12" xfId="1280" xr:uid="{A8C7F019-0BCA-4F73-A194-63A12053A334}"/>
    <cellStyle name="Normal 4 4 2" xfId="382" xr:uid="{00000000-0005-0000-0000-00009C020000}"/>
    <cellStyle name="Normal 4 4 2 10" xfId="5585" xr:uid="{CAA284A2-12C5-46A4-9556-908664307C06}"/>
    <cellStyle name="Normal 4 4 2 11" xfId="1281" xr:uid="{34460562-AE2A-4575-86FA-80FAEA859F25}"/>
    <cellStyle name="Normal 4 4 2 2" xfId="383" xr:uid="{00000000-0005-0000-0000-00009D020000}"/>
    <cellStyle name="Normal 4 4 2 2 10" xfId="1282" xr:uid="{0B62367F-A361-4341-A8F0-952BBC2F989B}"/>
    <cellStyle name="Normal 4 4 2 2 2" xfId="384" xr:uid="{00000000-0005-0000-0000-00009E020000}"/>
    <cellStyle name="Normal 4 4 2 2 2 2" xfId="385" xr:uid="{00000000-0005-0000-0000-00009F020000}"/>
    <cellStyle name="Normal 4 4 2 2 2 2 2" xfId="865" xr:uid="{00000000-0005-0000-0000-0000A0020000}"/>
    <cellStyle name="Normal 4 4 2 2 2 2 2 2" xfId="3928" xr:uid="{07889EBE-6EEA-4B67-9FC3-054A70096B09}"/>
    <cellStyle name="Normal 4 4 2 2 2 2 2 2 2" xfId="8146" xr:uid="{AD47A87E-0E0A-4D75-AF56-611278266382}"/>
    <cellStyle name="Normal 4 4 2 2 2 2 2 3" xfId="6001" xr:uid="{F64EC88F-3392-4FE5-95CF-BB4F319B1289}"/>
    <cellStyle name="Normal 4 4 2 2 2 2 2 4" xfId="1699" xr:uid="{047B5851-6ABD-406D-A161-F8346648F42A}"/>
    <cellStyle name="Normal 4 4 2 2 2 2 3" xfId="2112" xr:uid="{D2960BB9-8876-44DA-ACE1-924FDB475707}"/>
    <cellStyle name="Normal 4 4 2 2 2 2 3 2" xfId="4341" xr:uid="{C3B8D538-6C70-43CC-ABDA-DA51B69DD18D}"/>
    <cellStyle name="Normal 4 4 2 2 2 2 3 2 2" xfId="8559" xr:uid="{025C1649-AB6A-48CE-807E-994D06139501}"/>
    <cellStyle name="Normal 4 4 2 2 2 2 3 3" xfId="6414" xr:uid="{F80FA785-202F-42E6-8C77-EC2EF0B8FBA2}"/>
    <cellStyle name="Normal 4 4 2 2 2 2 4" xfId="2525" xr:uid="{D88CAA7F-013A-4DFA-93C9-92115F1AEFB1}"/>
    <cellStyle name="Normal 4 4 2 2 2 2 4 2" xfId="4754" xr:uid="{A503C4F8-1D6C-47FB-9970-7A5FA82B4DE0}"/>
    <cellStyle name="Normal 4 4 2 2 2 2 4 2 2" xfId="8972" xr:uid="{5431C380-A353-42A7-B5DB-01821235E57E}"/>
    <cellStyle name="Normal 4 4 2 2 2 2 4 3" xfId="6827" xr:uid="{19B074C7-443B-49A8-86AC-D4D8B69D86F0}"/>
    <cellStyle name="Normal 4 4 2 2 2 2 5" xfId="2938" xr:uid="{3AC74E5A-3F3D-480F-85AC-2C8491E8871C}"/>
    <cellStyle name="Normal 4 4 2 2 2 2 5 2" xfId="5167" xr:uid="{D8CE6263-FC19-407F-A504-B8EFB166856D}"/>
    <cellStyle name="Normal 4 4 2 2 2 2 5 2 2" xfId="9385" xr:uid="{EF50661A-9E11-4A97-B473-D175668F1F97}"/>
    <cellStyle name="Normal 4 4 2 2 2 2 5 3" xfId="7240" xr:uid="{5EFA4EDB-49BD-41B8-A0B2-0C46BF5E3761}"/>
    <cellStyle name="Normal 4 4 2 2 2 2 6" xfId="3374" xr:uid="{A5F31B7A-439B-436D-9553-4F3A0B31A484}"/>
    <cellStyle name="Normal 4 4 2 2 2 2 6 2" xfId="7653" xr:uid="{D728B102-9498-4ABC-8AA6-73F9B569A134}"/>
    <cellStyle name="Normal 4 4 2 2 2 2 7" xfId="5588" xr:uid="{E8130EF2-9AEA-4BF4-89C7-0FC4A7F191D0}"/>
    <cellStyle name="Normal 4 4 2 2 2 2 8" xfId="1284" xr:uid="{C7221EFD-288D-4F88-A1A9-7962C5E83488}"/>
    <cellStyle name="Normal 4 4 2 2 2 3" xfId="864" xr:uid="{00000000-0005-0000-0000-0000A1020000}"/>
    <cellStyle name="Normal 4 4 2 2 2 3 2" xfId="3927" xr:uid="{4B784BC5-374A-4E2D-A64C-14BDB68FBECB}"/>
    <cellStyle name="Normal 4 4 2 2 2 3 2 2" xfId="8145" xr:uid="{F876599E-C206-4CAF-851A-75975945619B}"/>
    <cellStyle name="Normal 4 4 2 2 2 3 3" xfId="6000" xr:uid="{C934A358-EC42-4649-986E-630C94A7FB55}"/>
    <cellStyle name="Normal 4 4 2 2 2 3 4" xfId="1698" xr:uid="{34D628C4-2F38-401D-B600-30D862AAA9FB}"/>
    <cellStyle name="Normal 4 4 2 2 2 4" xfId="2111" xr:uid="{9018E17A-3411-4BD6-A79B-AA2F685D8CA2}"/>
    <cellStyle name="Normal 4 4 2 2 2 4 2" xfId="4340" xr:uid="{6708477A-0B62-49DD-9BFD-10E7D1330A51}"/>
    <cellStyle name="Normal 4 4 2 2 2 4 2 2" xfId="8558" xr:uid="{92255113-1F1A-4783-BE92-54036B83D61E}"/>
    <cellStyle name="Normal 4 4 2 2 2 4 3" xfId="6413" xr:uid="{57634CD1-F536-4AD0-9FA7-AC40E011B18C}"/>
    <cellStyle name="Normal 4 4 2 2 2 5" xfId="2524" xr:uid="{CA57FFDF-E33E-4C27-9C21-1DF4A34D7DDA}"/>
    <cellStyle name="Normal 4 4 2 2 2 5 2" xfId="4753" xr:uid="{245277DB-EDFB-40BF-A3F8-1B4CFA48B66C}"/>
    <cellStyle name="Normal 4 4 2 2 2 5 2 2" xfId="8971" xr:uid="{DB765C37-A94F-4B61-BAC3-27AE090A54F6}"/>
    <cellStyle name="Normal 4 4 2 2 2 5 3" xfId="6826" xr:uid="{083082ED-54DC-4FEE-9B87-414AFABA06AB}"/>
    <cellStyle name="Normal 4 4 2 2 2 6" xfId="2937" xr:uid="{699DE4AC-87BD-4C36-AD05-A1D5D9C9B661}"/>
    <cellStyle name="Normal 4 4 2 2 2 6 2" xfId="5166" xr:uid="{A33D0DAB-16CA-47C1-B701-1A80043DB0E2}"/>
    <cellStyle name="Normal 4 4 2 2 2 6 2 2" xfId="9384" xr:uid="{26676858-0A14-45A3-A1B7-07D7C275B080}"/>
    <cellStyle name="Normal 4 4 2 2 2 6 3" xfId="7239" xr:uid="{28DD6D22-271B-4192-A74F-A9DD6E459603}"/>
    <cellStyle name="Normal 4 4 2 2 2 7" xfId="3373" xr:uid="{8A49B21B-278F-4087-8144-C74F2DA06EE1}"/>
    <cellStyle name="Normal 4 4 2 2 2 7 2" xfId="7652" xr:uid="{A932F4E2-8371-48C8-A6D4-4158B8663506}"/>
    <cellStyle name="Normal 4 4 2 2 2 8" xfId="5587" xr:uid="{9FB48E10-8537-4FF6-B6CD-DD7AB7008EC7}"/>
    <cellStyle name="Normal 4 4 2 2 2 9" xfId="1283" xr:uid="{E4411077-6563-4207-B83D-C5645E8A3E75}"/>
    <cellStyle name="Normal 4 4 2 2 3" xfId="386" xr:uid="{00000000-0005-0000-0000-0000A2020000}"/>
    <cellStyle name="Normal 4 4 2 2 3 2" xfId="866" xr:uid="{00000000-0005-0000-0000-0000A3020000}"/>
    <cellStyle name="Normal 4 4 2 2 3 2 2" xfId="3929" xr:uid="{A1F70806-4283-4652-8C3C-D8E908F1B12F}"/>
    <cellStyle name="Normal 4 4 2 2 3 2 2 2" xfId="8147" xr:uid="{EAF367F5-63D3-4E3A-961F-872CD9D673B2}"/>
    <cellStyle name="Normal 4 4 2 2 3 2 3" xfId="6002" xr:uid="{E1F9C92F-516B-4F43-8AAE-0FEF41A5F061}"/>
    <cellStyle name="Normal 4 4 2 2 3 2 4" xfId="1700" xr:uid="{6294FEC9-2D20-4D5B-AF6B-B7550A0F2806}"/>
    <cellStyle name="Normal 4 4 2 2 3 3" xfId="2113" xr:uid="{DA75E592-9438-4ABB-BFD0-05D437B125AD}"/>
    <cellStyle name="Normal 4 4 2 2 3 3 2" xfId="4342" xr:uid="{AFDFC2C3-F1B8-4760-B341-5A02D43F3405}"/>
    <cellStyle name="Normal 4 4 2 2 3 3 2 2" xfId="8560" xr:uid="{4CAB75F7-D5F8-4117-A32E-00CD98494F6B}"/>
    <cellStyle name="Normal 4 4 2 2 3 3 3" xfId="6415" xr:uid="{9E004B8A-17DC-4BA9-8AD5-32B19D597747}"/>
    <cellStyle name="Normal 4 4 2 2 3 4" xfId="2526" xr:uid="{EED9D88A-FE6B-44C4-A00A-2AB75F476950}"/>
    <cellStyle name="Normal 4 4 2 2 3 4 2" xfId="4755" xr:uid="{9166B76D-00D5-43A3-92A8-0D05CD3927A2}"/>
    <cellStyle name="Normal 4 4 2 2 3 4 2 2" xfId="8973" xr:uid="{610D0BD1-A859-4ECC-8785-A5A7732FBBD3}"/>
    <cellStyle name="Normal 4 4 2 2 3 4 3" xfId="6828" xr:uid="{4B41C085-98A3-41ED-B9FF-34875241C270}"/>
    <cellStyle name="Normal 4 4 2 2 3 5" xfId="2939" xr:uid="{B23E88B0-0D7B-467F-BA6B-C19AD1A09715}"/>
    <cellStyle name="Normal 4 4 2 2 3 5 2" xfId="5168" xr:uid="{A5AFAD80-6E3E-45AD-A8B2-D7CC64F3E27A}"/>
    <cellStyle name="Normal 4 4 2 2 3 5 2 2" xfId="9386" xr:uid="{758F902C-4FEC-47AD-B045-E7A9FBF82424}"/>
    <cellStyle name="Normal 4 4 2 2 3 5 3" xfId="7241" xr:uid="{D6FF87F8-C530-4414-8D66-9FED5CD857E3}"/>
    <cellStyle name="Normal 4 4 2 2 3 6" xfId="3375" xr:uid="{401B80E7-5765-4EFD-AE8E-1C7A8798A2DF}"/>
    <cellStyle name="Normal 4 4 2 2 3 6 2" xfId="7654" xr:uid="{B851CCDA-4880-49A9-8147-4A9E3358772B}"/>
    <cellStyle name="Normal 4 4 2 2 3 7" xfId="5589" xr:uid="{C18A6CC9-5966-4222-98FC-69CB3986E855}"/>
    <cellStyle name="Normal 4 4 2 2 3 8" xfId="1285" xr:uid="{C857C05F-0F74-4E66-AC29-AB76EE05D611}"/>
    <cellStyle name="Normal 4 4 2 2 4" xfId="863" xr:uid="{00000000-0005-0000-0000-0000A4020000}"/>
    <cellStyle name="Normal 4 4 2 2 4 2" xfId="3926" xr:uid="{3106FF51-DF5B-4956-BCA4-92F11262D067}"/>
    <cellStyle name="Normal 4 4 2 2 4 2 2" xfId="8144" xr:uid="{C2C07B80-BE91-4C7E-89D9-5B24D2899BC4}"/>
    <cellStyle name="Normal 4 4 2 2 4 3" xfId="5999" xr:uid="{C08C8D78-72BB-4AF5-BF0C-47AAC90FEFB2}"/>
    <cellStyle name="Normal 4 4 2 2 4 4" xfId="1697" xr:uid="{70038CFA-68D6-4874-84A2-34638310C83B}"/>
    <cellStyle name="Normal 4 4 2 2 5" xfId="2110" xr:uid="{008B2FBD-A0D1-4653-96A7-1CAEE4E95F57}"/>
    <cellStyle name="Normal 4 4 2 2 5 2" xfId="4339" xr:uid="{8BC65D12-4CBE-42E2-8E86-1761FBD5A512}"/>
    <cellStyle name="Normal 4 4 2 2 5 2 2" xfId="8557" xr:uid="{D570B575-0374-4038-88BB-EFBC64198689}"/>
    <cellStyle name="Normal 4 4 2 2 5 3" xfId="6412" xr:uid="{A33AD9A9-694F-4E9E-BC38-AF3F6010624F}"/>
    <cellStyle name="Normal 4 4 2 2 6" xfId="2523" xr:uid="{795E0A11-D195-4294-90C1-2C2818264918}"/>
    <cellStyle name="Normal 4 4 2 2 6 2" xfId="4752" xr:uid="{71D5159C-CE27-4EDC-A0B2-4E10A4F677C7}"/>
    <cellStyle name="Normal 4 4 2 2 6 2 2" xfId="8970" xr:uid="{F6C3895E-3697-45FF-8B1B-238259502711}"/>
    <cellStyle name="Normal 4 4 2 2 6 3" xfId="6825" xr:uid="{8D6E0001-7E9A-43BB-BC1D-50B670ACF7F1}"/>
    <cellStyle name="Normal 4 4 2 2 7" xfId="2936" xr:uid="{2C22D4AC-E389-49CD-BBB1-BE1F95A36A15}"/>
    <cellStyle name="Normal 4 4 2 2 7 2" xfId="5165" xr:uid="{0CF05E23-2147-4663-A8C8-A8D477BFA220}"/>
    <cellStyle name="Normal 4 4 2 2 7 2 2" xfId="9383" xr:uid="{D2ED2482-803E-4C0F-85EF-82A854AAC00E}"/>
    <cellStyle name="Normal 4 4 2 2 7 3" xfId="7238" xr:uid="{9A2EE230-2069-44EC-9962-923521512D7E}"/>
    <cellStyle name="Normal 4 4 2 2 8" xfId="3372" xr:uid="{A9035FFF-B7AE-49A9-91C7-FA489561E170}"/>
    <cellStyle name="Normal 4 4 2 2 8 2" xfId="7651" xr:uid="{C2F8D09C-E5B2-475E-A9FA-5C6657278132}"/>
    <cellStyle name="Normal 4 4 2 2 9" xfId="5586" xr:uid="{E6C7E002-93A7-4501-8256-B2310642F228}"/>
    <cellStyle name="Normal 4 4 2 3" xfId="387" xr:uid="{00000000-0005-0000-0000-0000A5020000}"/>
    <cellStyle name="Normal 4 4 2 3 2" xfId="388" xr:uid="{00000000-0005-0000-0000-0000A6020000}"/>
    <cellStyle name="Normal 4 4 2 3 2 2" xfId="868" xr:uid="{00000000-0005-0000-0000-0000A7020000}"/>
    <cellStyle name="Normal 4 4 2 3 2 2 2" xfId="3931" xr:uid="{15B15D33-FDFA-4E02-9C51-F692C7D4114E}"/>
    <cellStyle name="Normal 4 4 2 3 2 2 2 2" xfId="8149" xr:uid="{85FB86A9-212D-4579-92A6-789CB7FB0468}"/>
    <cellStyle name="Normal 4 4 2 3 2 2 3" xfId="6004" xr:uid="{421E98CD-C971-4A8A-99F5-9E1E4AA3E431}"/>
    <cellStyle name="Normal 4 4 2 3 2 2 4" xfId="1702" xr:uid="{D85C36B6-5FB0-4DC7-BE23-3CC591E07F16}"/>
    <cellStyle name="Normal 4 4 2 3 2 3" xfId="2115" xr:uid="{A0EA28BB-2F5E-4ADA-9E6D-95828A5C9E6B}"/>
    <cellStyle name="Normal 4 4 2 3 2 3 2" xfId="4344" xr:uid="{EAA33905-1816-42B7-89F2-79F969DC4486}"/>
    <cellStyle name="Normal 4 4 2 3 2 3 2 2" xfId="8562" xr:uid="{D841B630-3D25-4BA9-BBF8-1852DA8B6059}"/>
    <cellStyle name="Normal 4 4 2 3 2 3 3" xfId="6417" xr:uid="{19D35188-0E48-4D4A-A2EA-94DFDBED8B98}"/>
    <cellStyle name="Normal 4 4 2 3 2 4" xfId="2528" xr:uid="{98BFA1A9-10F5-47CC-98A6-39E0F4D57058}"/>
    <cellStyle name="Normal 4 4 2 3 2 4 2" xfId="4757" xr:uid="{3B6BEDE3-675A-441F-8E24-19455DF9B097}"/>
    <cellStyle name="Normal 4 4 2 3 2 4 2 2" xfId="8975" xr:uid="{BCAF5AB4-CA4D-4E17-A3B2-FF8014285EF2}"/>
    <cellStyle name="Normal 4 4 2 3 2 4 3" xfId="6830" xr:uid="{5BD32002-98D9-4832-B083-B12BA421AD9F}"/>
    <cellStyle name="Normal 4 4 2 3 2 5" xfId="2941" xr:uid="{3F3A575F-3D3C-44A0-81B0-044B4706EA1E}"/>
    <cellStyle name="Normal 4 4 2 3 2 5 2" xfId="5170" xr:uid="{CCAB1C50-3AA3-4D8A-B662-E94D175F0254}"/>
    <cellStyle name="Normal 4 4 2 3 2 5 2 2" xfId="9388" xr:uid="{AE7FC541-6333-4BF6-8D72-BE62E8F22AB7}"/>
    <cellStyle name="Normal 4 4 2 3 2 5 3" xfId="7243" xr:uid="{89FF39CC-E804-4AB6-83D6-70AA141E5CC4}"/>
    <cellStyle name="Normal 4 4 2 3 2 6" xfId="3377" xr:uid="{448E2F81-415C-4667-8179-361A71072955}"/>
    <cellStyle name="Normal 4 4 2 3 2 6 2" xfId="7656" xr:uid="{3C4E29CC-50D7-4260-8542-E4733406EE90}"/>
    <cellStyle name="Normal 4 4 2 3 2 7" xfId="5591" xr:uid="{A3369F24-1396-4D87-AB4A-EEC1DD153B0C}"/>
    <cellStyle name="Normal 4 4 2 3 2 8" xfId="1287" xr:uid="{DFE28DA2-0001-40CA-9802-0CC927823638}"/>
    <cellStyle name="Normal 4 4 2 3 3" xfId="867" xr:uid="{00000000-0005-0000-0000-0000A8020000}"/>
    <cellStyle name="Normal 4 4 2 3 3 2" xfId="3930" xr:uid="{E6200F89-9FB0-4643-A77A-3C5B0F4D339A}"/>
    <cellStyle name="Normal 4 4 2 3 3 2 2" xfId="8148" xr:uid="{421DF6E3-E0E0-4C73-AC10-414E8BDB7268}"/>
    <cellStyle name="Normal 4 4 2 3 3 3" xfId="6003" xr:uid="{909E1CF5-4B60-4CCF-B514-E4D3BA8E3AFD}"/>
    <cellStyle name="Normal 4 4 2 3 3 4" xfId="1701" xr:uid="{A508CD40-96A2-4E27-B7FC-EA92A8E3F525}"/>
    <cellStyle name="Normal 4 4 2 3 4" xfId="2114" xr:uid="{4E2C7BFE-2DAB-4286-B628-E0B367995F84}"/>
    <cellStyle name="Normal 4 4 2 3 4 2" xfId="4343" xr:uid="{348B5D20-FB16-4853-B639-2E11FAED3D1B}"/>
    <cellStyle name="Normal 4 4 2 3 4 2 2" xfId="8561" xr:uid="{26B90C29-1F47-46DD-9CBF-19EF2F1793D0}"/>
    <cellStyle name="Normal 4 4 2 3 4 3" xfId="6416" xr:uid="{D2D3706E-7DA4-492B-9428-4AD26DA975F3}"/>
    <cellStyle name="Normal 4 4 2 3 5" xfId="2527" xr:uid="{AAA942BF-37DE-48A7-9069-EA30BA8AE31E}"/>
    <cellStyle name="Normal 4 4 2 3 5 2" xfId="4756" xr:uid="{65316516-C022-4AF1-BB85-E5B7F4BF39C5}"/>
    <cellStyle name="Normal 4 4 2 3 5 2 2" xfId="8974" xr:uid="{7019E6AC-7739-4DAE-83DC-BE8F5ABF6D34}"/>
    <cellStyle name="Normal 4 4 2 3 5 3" xfId="6829" xr:uid="{32EFF1F0-189A-4C13-B2D9-A01621E5EA0A}"/>
    <cellStyle name="Normal 4 4 2 3 6" xfId="2940" xr:uid="{3A263D39-4ED2-4934-BEA6-AA969A80E8F5}"/>
    <cellStyle name="Normal 4 4 2 3 6 2" xfId="5169" xr:uid="{0D6F1ED9-C560-40E0-8ED8-F706330D5964}"/>
    <cellStyle name="Normal 4 4 2 3 6 2 2" xfId="9387" xr:uid="{9850F963-727E-4424-82F0-B4ED9B818EDA}"/>
    <cellStyle name="Normal 4 4 2 3 6 3" xfId="7242" xr:uid="{758EF35C-6112-4499-8FD5-D11808B4A7EA}"/>
    <cellStyle name="Normal 4 4 2 3 7" xfId="3376" xr:uid="{4197B4C3-D98E-4124-95C7-6028FEF8C1C9}"/>
    <cellStyle name="Normal 4 4 2 3 7 2" xfId="7655" xr:uid="{75F9B86D-6467-4188-92B9-A2ECCC7B513D}"/>
    <cellStyle name="Normal 4 4 2 3 8" xfId="5590" xr:uid="{5E8F9E87-2D5B-4A77-B3DC-05322EEA0E16}"/>
    <cellStyle name="Normal 4 4 2 3 9" xfId="1286" xr:uid="{BD9AABD9-1D81-4FC0-94B3-B57EDD5F70D4}"/>
    <cellStyle name="Normal 4 4 2 4" xfId="389" xr:uid="{00000000-0005-0000-0000-0000A9020000}"/>
    <cellStyle name="Normal 4 4 2 4 2" xfId="869" xr:uid="{00000000-0005-0000-0000-0000AA020000}"/>
    <cellStyle name="Normal 4 4 2 4 2 2" xfId="3932" xr:uid="{FDEE56F1-96D2-42DB-82FC-103F35549CF6}"/>
    <cellStyle name="Normal 4 4 2 4 2 2 2" xfId="8150" xr:uid="{5B0CF8EC-6917-46EA-97FA-BD7796B8FE39}"/>
    <cellStyle name="Normal 4 4 2 4 2 3" xfId="6005" xr:uid="{F3EA4E95-5C38-4691-A48D-F308973A0C6C}"/>
    <cellStyle name="Normal 4 4 2 4 2 4" xfId="1703" xr:uid="{862A4F94-F5C0-4E37-A5F7-6CFDA3B417DA}"/>
    <cellStyle name="Normal 4 4 2 4 3" xfId="2116" xr:uid="{055E4425-7269-4BBB-BF2C-1EDE03DEF610}"/>
    <cellStyle name="Normal 4 4 2 4 3 2" xfId="4345" xr:uid="{9BBE6D28-0754-40F2-BB0B-BA94B57A9490}"/>
    <cellStyle name="Normal 4 4 2 4 3 2 2" xfId="8563" xr:uid="{A87206C3-D917-4024-8BB8-D4E43102897B}"/>
    <cellStyle name="Normal 4 4 2 4 3 3" xfId="6418" xr:uid="{C72AFB93-6EA9-4916-850B-BDD432EFBC14}"/>
    <cellStyle name="Normal 4 4 2 4 4" xfId="2529" xr:uid="{7A6F32BE-2751-4EEC-BAB4-474DC400049F}"/>
    <cellStyle name="Normal 4 4 2 4 4 2" xfId="4758" xr:uid="{3460CBE7-40FB-4AE0-B0B7-57224C8D3C5C}"/>
    <cellStyle name="Normal 4 4 2 4 4 2 2" xfId="8976" xr:uid="{B12E0F57-E744-49EA-8159-E933A741CC65}"/>
    <cellStyle name="Normal 4 4 2 4 4 3" xfId="6831" xr:uid="{D79EB17E-945B-4A1C-8E7B-7C84477E30F3}"/>
    <cellStyle name="Normal 4 4 2 4 5" xfId="2942" xr:uid="{EAEF379E-4313-4DA0-9BF8-F7B687322AB3}"/>
    <cellStyle name="Normal 4 4 2 4 5 2" xfId="5171" xr:uid="{06FC3534-237C-47CD-8799-077750406790}"/>
    <cellStyle name="Normal 4 4 2 4 5 2 2" xfId="9389" xr:uid="{80A20D92-CEE2-4132-BD96-A93FF7CFD5ED}"/>
    <cellStyle name="Normal 4 4 2 4 5 3" xfId="7244" xr:uid="{FDC741F0-5EDD-4194-997C-A88BB5B28057}"/>
    <cellStyle name="Normal 4 4 2 4 6" xfId="3378" xr:uid="{0B8F2073-AD5D-4B25-91D9-B66385ED14C0}"/>
    <cellStyle name="Normal 4 4 2 4 6 2" xfId="7657" xr:uid="{42472942-3A96-468D-9B12-DE89D88482FF}"/>
    <cellStyle name="Normal 4 4 2 4 7" xfId="5592" xr:uid="{38A03765-5A41-4109-92CA-EC5D8F0DBA24}"/>
    <cellStyle name="Normal 4 4 2 4 8" xfId="1288" xr:uid="{80466F6E-9768-4851-8A71-0BD4B435E055}"/>
    <cellStyle name="Normal 4 4 2 5" xfId="862" xr:uid="{00000000-0005-0000-0000-0000AB020000}"/>
    <cellStyle name="Normal 4 4 2 5 2" xfId="3925" xr:uid="{B25B4BBA-239E-489C-B4BB-93AD93A263C1}"/>
    <cellStyle name="Normal 4 4 2 5 2 2" xfId="8143" xr:uid="{FFB9A18B-8C55-462B-8AAA-AA6D113FF3BC}"/>
    <cellStyle name="Normal 4 4 2 5 3" xfId="5998" xr:uid="{575FF7B9-8117-49BD-BFC6-BA06F48463DC}"/>
    <cellStyle name="Normal 4 4 2 5 4" xfId="1696" xr:uid="{EBDCEF63-6968-4070-9252-CCC93910F008}"/>
    <cellStyle name="Normal 4 4 2 6" xfId="2109" xr:uid="{8471C792-270E-457D-A928-8CE5960D936A}"/>
    <cellStyle name="Normal 4 4 2 6 2" xfId="4338" xr:uid="{70DFFE39-4BA9-4C20-AA4C-E04133B542E1}"/>
    <cellStyle name="Normal 4 4 2 6 2 2" xfId="8556" xr:uid="{320EBE6E-E1F7-4324-B422-57ABE5092E45}"/>
    <cellStyle name="Normal 4 4 2 6 3" xfId="6411" xr:uid="{62349DD9-1504-415E-8BAB-82E36B6FB41E}"/>
    <cellStyle name="Normal 4 4 2 7" xfId="2522" xr:uid="{61ACAA33-1655-47E9-8BCF-206AB9452E0E}"/>
    <cellStyle name="Normal 4 4 2 7 2" xfId="4751" xr:uid="{721451F8-FCF9-4A81-9B30-0E68F50D3947}"/>
    <cellStyle name="Normal 4 4 2 7 2 2" xfId="8969" xr:uid="{1DC80B57-3553-4EC5-855A-DB8CFB1FB5BE}"/>
    <cellStyle name="Normal 4 4 2 7 3" xfId="6824" xr:uid="{CDEE1263-02D8-4AED-996C-E583B5323BE4}"/>
    <cellStyle name="Normal 4 4 2 8" xfId="2935" xr:uid="{65177192-30E3-45EC-8819-8745B38BA662}"/>
    <cellStyle name="Normal 4 4 2 8 2" xfId="5164" xr:uid="{C66E6F22-7CEF-4036-8328-29020B9839BD}"/>
    <cellStyle name="Normal 4 4 2 8 2 2" xfId="9382" xr:uid="{FCF7DA45-98D6-41C1-958D-A430615F0C05}"/>
    <cellStyle name="Normal 4 4 2 8 3" xfId="7237" xr:uid="{E7EE197B-67BF-4C16-8BE0-3532CCAC3DE7}"/>
    <cellStyle name="Normal 4 4 2 9" xfId="3371" xr:uid="{343B9C26-8346-48E9-9DA3-BCB5847D63A0}"/>
    <cellStyle name="Normal 4 4 2 9 2" xfId="7650" xr:uid="{D4B21592-8637-47A6-9237-CCA89DA966C9}"/>
    <cellStyle name="Normal 4 4 3" xfId="390" xr:uid="{00000000-0005-0000-0000-0000AC020000}"/>
    <cellStyle name="Normal 4 4 3 10" xfId="1289" xr:uid="{90059ECD-B997-4EA4-B2D8-04B6593F60AD}"/>
    <cellStyle name="Normal 4 4 3 2" xfId="391" xr:uid="{00000000-0005-0000-0000-0000AD020000}"/>
    <cellStyle name="Normal 4 4 3 2 2" xfId="392" xr:uid="{00000000-0005-0000-0000-0000AE020000}"/>
    <cellStyle name="Normal 4 4 3 2 2 2" xfId="872" xr:uid="{00000000-0005-0000-0000-0000AF020000}"/>
    <cellStyle name="Normal 4 4 3 2 2 2 2" xfId="3935" xr:uid="{365B4A80-0765-4817-93DA-10844025C9D0}"/>
    <cellStyle name="Normal 4 4 3 2 2 2 2 2" xfId="8153" xr:uid="{DF972D45-8A6E-4E3B-BB31-2547EDA3D2AB}"/>
    <cellStyle name="Normal 4 4 3 2 2 2 3" xfId="6008" xr:uid="{75E94F50-9860-406E-AB9C-0573F53F0ED1}"/>
    <cellStyle name="Normal 4 4 3 2 2 2 4" xfId="1706" xr:uid="{4F238678-797B-45DF-85A2-10CCB10347C2}"/>
    <cellStyle name="Normal 4 4 3 2 2 3" xfId="2119" xr:uid="{6FE8F994-E7F2-4357-87D0-BC13CFB9D611}"/>
    <cellStyle name="Normal 4 4 3 2 2 3 2" xfId="4348" xr:uid="{B1E53A68-0116-4516-8B46-FDE039FF2243}"/>
    <cellStyle name="Normal 4 4 3 2 2 3 2 2" xfId="8566" xr:uid="{7A364E33-F6B2-4C7A-83E9-1A6F09ACBBD8}"/>
    <cellStyle name="Normal 4 4 3 2 2 3 3" xfId="6421" xr:uid="{AB9FE974-49E9-44F2-9E9F-6206A103584B}"/>
    <cellStyle name="Normal 4 4 3 2 2 4" xfId="2532" xr:uid="{D9E5CCB2-D8AC-424B-8355-E1599C7AAC97}"/>
    <cellStyle name="Normal 4 4 3 2 2 4 2" xfId="4761" xr:uid="{83911CF2-DE35-4534-BFAD-0AB58CAD3461}"/>
    <cellStyle name="Normal 4 4 3 2 2 4 2 2" xfId="8979" xr:uid="{DF7A3466-1B99-4801-A311-040B2EEED14C}"/>
    <cellStyle name="Normal 4 4 3 2 2 4 3" xfId="6834" xr:uid="{2156BF4C-E667-48FA-89E3-937B21306E82}"/>
    <cellStyle name="Normal 4 4 3 2 2 5" xfId="2945" xr:uid="{52885417-FB2F-4E4A-AB07-B1B185253FDB}"/>
    <cellStyle name="Normal 4 4 3 2 2 5 2" xfId="5174" xr:uid="{7F4BAB37-8FAC-48D7-A3E7-F9001025C272}"/>
    <cellStyle name="Normal 4 4 3 2 2 5 2 2" xfId="9392" xr:uid="{DCC59F1C-AA21-4429-8C53-7D906D787F29}"/>
    <cellStyle name="Normal 4 4 3 2 2 5 3" xfId="7247" xr:uid="{ED6DDE96-A39B-4C31-A331-FCA1ECDD8370}"/>
    <cellStyle name="Normal 4 4 3 2 2 6" xfId="3381" xr:uid="{2791F66F-E87E-4D55-AE7E-6392E7703C00}"/>
    <cellStyle name="Normal 4 4 3 2 2 6 2" xfId="7660" xr:uid="{B38E2872-8C9F-4123-97B0-9B821EB2481B}"/>
    <cellStyle name="Normal 4 4 3 2 2 7" xfId="5595" xr:uid="{D50E69B0-731A-40EC-BC5B-2CAB57FF9C60}"/>
    <cellStyle name="Normal 4 4 3 2 2 8" xfId="1291" xr:uid="{3AD1AEBA-0AFA-43A4-842B-92F5FB7E0B03}"/>
    <cellStyle name="Normal 4 4 3 2 3" xfId="871" xr:uid="{00000000-0005-0000-0000-0000B0020000}"/>
    <cellStyle name="Normal 4 4 3 2 3 2" xfId="3934" xr:uid="{77F3E9A4-FF08-4CEC-9F26-7AD733F592E7}"/>
    <cellStyle name="Normal 4 4 3 2 3 2 2" xfId="8152" xr:uid="{6A81D6EA-0A79-41C2-9DE0-8DE81602FA98}"/>
    <cellStyle name="Normal 4 4 3 2 3 3" xfId="6007" xr:uid="{2CBA886D-6B57-4805-8C99-E18E0EED2C9D}"/>
    <cellStyle name="Normal 4 4 3 2 3 4" xfId="1705" xr:uid="{80E2F7F1-8B2A-4C8F-A104-3C8EF7D19ACF}"/>
    <cellStyle name="Normal 4 4 3 2 4" xfId="2118" xr:uid="{28AC31EA-8289-4ABB-A72F-285598FCA228}"/>
    <cellStyle name="Normal 4 4 3 2 4 2" xfId="4347" xr:uid="{E4F47631-C942-463F-B333-48139C60AEF7}"/>
    <cellStyle name="Normal 4 4 3 2 4 2 2" xfId="8565" xr:uid="{C72B5075-50D6-4B94-840D-311ADCEAFFC5}"/>
    <cellStyle name="Normal 4 4 3 2 4 3" xfId="6420" xr:uid="{8A83D8B9-93E2-4898-9EAA-495B863C8286}"/>
    <cellStyle name="Normal 4 4 3 2 5" xfId="2531" xr:uid="{BD135C91-D382-4B64-A3D9-30E6A25FD360}"/>
    <cellStyle name="Normal 4 4 3 2 5 2" xfId="4760" xr:uid="{30298D57-B633-49F2-A80D-67EA7EE2FC4A}"/>
    <cellStyle name="Normal 4 4 3 2 5 2 2" xfId="8978" xr:uid="{270D94D7-2D38-48E3-AF5C-38B983738B04}"/>
    <cellStyle name="Normal 4 4 3 2 5 3" xfId="6833" xr:uid="{CF68500A-3F94-4494-A6F6-9137A60C4D49}"/>
    <cellStyle name="Normal 4 4 3 2 6" xfId="2944" xr:uid="{EEE90F74-AAE3-4DC8-9B50-9EA6B20454CB}"/>
    <cellStyle name="Normal 4 4 3 2 6 2" xfId="5173" xr:uid="{9BA89631-31FF-4F3B-B51A-C1CC0483B556}"/>
    <cellStyle name="Normal 4 4 3 2 6 2 2" xfId="9391" xr:uid="{05DC3A02-C529-4103-B7F0-4BE8CBF948A5}"/>
    <cellStyle name="Normal 4 4 3 2 6 3" xfId="7246" xr:uid="{A48BCD56-4326-4243-96D4-31D0ED01604F}"/>
    <cellStyle name="Normal 4 4 3 2 7" xfId="3380" xr:uid="{A45F6A51-9480-479B-BAED-CDA846523CB3}"/>
    <cellStyle name="Normal 4 4 3 2 7 2" xfId="7659" xr:uid="{7215B19E-BE00-4F82-A33D-E7D7FE2C27F8}"/>
    <cellStyle name="Normal 4 4 3 2 8" xfId="5594" xr:uid="{32D0ACB3-6740-426E-BED8-1A22A15E69D2}"/>
    <cellStyle name="Normal 4 4 3 2 9" xfId="1290" xr:uid="{9985DF11-75FC-4D4F-8012-B2C5E06FD445}"/>
    <cellStyle name="Normal 4 4 3 3" xfId="393" xr:uid="{00000000-0005-0000-0000-0000B1020000}"/>
    <cellStyle name="Normal 4 4 3 3 2" xfId="873" xr:uid="{00000000-0005-0000-0000-0000B2020000}"/>
    <cellStyle name="Normal 4 4 3 3 2 2" xfId="3936" xr:uid="{55F7D47C-41F5-4009-8CDC-BECB42077B53}"/>
    <cellStyle name="Normal 4 4 3 3 2 2 2" xfId="8154" xr:uid="{43342E0F-4943-44D6-827A-ADF54CC94663}"/>
    <cellStyle name="Normal 4 4 3 3 2 3" xfId="6009" xr:uid="{96F166E3-15FD-44B0-AAE8-E3F3FE3825DF}"/>
    <cellStyle name="Normal 4 4 3 3 2 4" xfId="1707" xr:uid="{E1A19C8C-1105-4833-86EC-99080759BEC3}"/>
    <cellStyle name="Normal 4 4 3 3 3" xfId="2120" xr:uid="{A4F59FB1-A5B2-4294-AE63-CF90546FB070}"/>
    <cellStyle name="Normal 4 4 3 3 3 2" xfId="4349" xr:uid="{39DF9F5E-A763-4ABA-BD7F-FE7D9EED43C3}"/>
    <cellStyle name="Normal 4 4 3 3 3 2 2" xfId="8567" xr:uid="{DDD21C6D-039A-48B5-825D-65CECA8E9CB7}"/>
    <cellStyle name="Normal 4 4 3 3 3 3" xfId="6422" xr:uid="{558B1925-8D37-435C-95C7-A4886DAE1224}"/>
    <cellStyle name="Normal 4 4 3 3 4" xfId="2533" xr:uid="{E55A510A-10CE-4FA9-97D2-DE7D8FA72656}"/>
    <cellStyle name="Normal 4 4 3 3 4 2" xfId="4762" xr:uid="{4916B8D9-A058-4D25-AAE9-93CD9392D8F5}"/>
    <cellStyle name="Normal 4 4 3 3 4 2 2" xfId="8980" xr:uid="{9BD13274-6BA9-43DB-8109-8E458FE39E2F}"/>
    <cellStyle name="Normal 4 4 3 3 4 3" xfId="6835" xr:uid="{A34EF57D-0665-4DB9-BB00-A9625E81D4FA}"/>
    <cellStyle name="Normal 4 4 3 3 5" xfId="2946" xr:uid="{E5F7D7E0-B4F2-4EBE-BC5D-7A6873BEE4AB}"/>
    <cellStyle name="Normal 4 4 3 3 5 2" xfId="5175" xr:uid="{8456C144-91CF-4C0F-8D84-305F14FC581F}"/>
    <cellStyle name="Normal 4 4 3 3 5 2 2" xfId="9393" xr:uid="{F780C761-221D-4DB4-923A-DA410007D55B}"/>
    <cellStyle name="Normal 4 4 3 3 5 3" xfId="7248" xr:uid="{1B2DA392-8502-4F93-9EA7-ECE4F8A8C962}"/>
    <cellStyle name="Normal 4 4 3 3 6" xfId="3382" xr:uid="{8736E1F2-4BC7-4D45-85CE-A8AB1DF40EE7}"/>
    <cellStyle name="Normal 4 4 3 3 6 2" xfId="7661" xr:uid="{96D00BE5-FDDF-458B-B049-5CB33FF83340}"/>
    <cellStyle name="Normal 4 4 3 3 7" xfId="5596" xr:uid="{4C734E42-5C81-45C1-9209-17219BDE89BC}"/>
    <cellStyle name="Normal 4 4 3 3 8" xfId="1292" xr:uid="{075BAD6E-E8F3-4266-BC0F-5FE3325E564B}"/>
    <cellStyle name="Normal 4 4 3 4" xfId="870" xr:uid="{00000000-0005-0000-0000-0000B3020000}"/>
    <cellStyle name="Normal 4 4 3 4 2" xfId="3933" xr:uid="{A87497DC-306A-4C7E-83B7-1CC2B2859B40}"/>
    <cellStyle name="Normal 4 4 3 4 2 2" xfId="8151" xr:uid="{E724A8F0-5B16-454B-88C1-92477875BE8F}"/>
    <cellStyle name="Normal 4 4 3 4 3" xfId="6006" xr:uid="{7F9D7595-C306-4C68-99FC-51C719D19007}"/>
    <cellStyle name="Normal 4 4 3 4 4" xfId="1704" xr:uid="{714A1DD5-2C0D-4CAB-893D-F72B297FCBA6}"/>
    <cellStyle name="Normal 4 4 3 5" xfId="2117" xr:uid="{58BA3073-CD26-4961-A2AE-FD5582EEAFC2}"/>
    <cellStyle name="Normal 4 4 3 5 2" xfId="4346" xr:uid="{7902D63D-4CA1-4634-B822-9FF461C78812}"/>
    <cellStyle name="Normal 4 4 3 5 2 2" xfId="8564" xr:uid="{3C515DBA-9E32-4B35-BC09-963F0DF2AF80}"/>
    <cellStyle name="Normal 4 4 3 5 3" xfId="6419" xr:uid="{EC7A5F02-7D27-4D89-BC69-ECE2148FAEAC}"/>
    <cellStyle name="Normal 4 4 3 6" xfId="2530" xr:uid="{58938488-685E-4EC4-9E68-A817877319C5}"/>
    <cellStyle name="Normal 4 4 3 6 2" xfId="4759" xr:uid="{A060494E-20F6-42EE-9BEE-30CFB73B2D0D}"/>
    <cellStyle name="Normal 4 4 3 6 2 2" xfId="8977" xr:uid="{36DFA51B-0155-45B3-9DA9-1BAA53CA1885}"/>
    <cellStyle name="Normal 4 4 3 6 3" xfId="6832" xr:uid="{701A26C7-7114-4957-939B-BB4EEDEA4AAA}"/>
    <cellStyle name="Normal 4 4 3 7" xfId="2943" xr:uid="{1FCCD217-721A-4B76-AB14-456E3505EFD0}"/>
    <cellStyle name="Normal 4 4 3 7 2" xfId="5172" xr:uid="{F3D79FB1-D1E2-4EE3-8216-FD199F52258B}"/>
    <cellStyle name="Normal 4 4 3 7 2 2" xfId="9390" xr:uid="{CE0EDA47-E021-4279-9D84-FBEDD816D753}"/>
    <cellStyle name="Normal 4 4 3 7 3" xfId="7245" xr:uid="{3B566200-1B1C-4756-9263-31F5D7C014D6}"/>
    <cellStyle name="Normal 4 4 3 8" xfId="3379" xr:uid="{42750601-5365-461D-AD87-0B8AF9C02007}"/>
    <cellStyle name="Normal 4 4 3 8 2" xfId="7658" xr:uid="{EF09B180-FE61-4DBC-9EFD-F64B55662A68}"/>
    <cellStyle name="Normal 4 4 3 9" xfId="5593" xr:uid="{CF45F6F1-AC68-4BF4-8859-B090F5722DEC}"/>
    <cellStyle name="Normal 4 4 4" xfId="394" xr:uid="{00000000-0005-0000-0000-0000B4020000}"/>
    <cellStyle name="Normal 4 4 4 2" xfId="395" xr:uid="{00000000-0005-0000-0000-0000B5020000}"/>
    <cellStyle name="Normal 4 4 4 2 2" xfId="875" xr:uid="{00000000-0005-0000-0000-0000B6020000}"/>
    <cellStyle name="Normal 4 4 4 2 2 2" xfId="3938" xr:uid="{FD585C5E-F805-4C08-B260-D9CE27FADAE9}"/>
    <cellStyle name="Normal 4 4 4 2 2 2 2" xfId="8156" xr:uid="{5BD76278-81CB-40BD-8BFF-F8239C0092A9}"/>
    <cellStyle name="Normal 4 4 4 2 2 3" xfId="6011" xr:uid="{7D271629-F031-45DE-BEA5-182A7FB09ECB}"/>
    <cellStyle name="Normal 4 4 4 2 2 4" xfId="1709" xr:uid="{C304BCE4-3EEB-494B-AC9B-CF1F91947240}"/>
    <cellStyle name="Normal 4 4 4 2 3" xfId="2122" xr:uid="{6CCB1E0B-BF2C-4299-BF38-122E717B7EC7}"/>
    <cellStyle name="Normal 4 4 4 2 3 2" xfId="4351" xr:uid="{FCBEDB78-559F-4626-9F00-7C5CC2DBA8F2}"/>
    <cellStyle name="Normal 4 4 4 2 3 2 2" xfId="8569" xr:uid="{E5EAE627-1072-4B54-B2F8-E3FE7BF578C2}"/>
    <cellStyle name="Normal 4 4 4 2 3 3" xfId="6424" xr:uid="{23714323-4B51-440C-8C23-22DA558FE8DC}"/>
    <cellStyle name="Normal 4 4 4 2 4" xfId="2535" xr:uid="{AE8E1109-12C7-46CA-8C6B-6687AB469A6B}"/>
    <cellStyle name="Normal 4 4 4 2 4 2" xfId="4764" xr:uid="{5FC8967F-BBB8-466F-B061-7897A54D375F}"/>
    <cellStyle name="Normal 4 4 4 2 4 2 2" xfId="8982" xr:uid="{2CE12D06-E719-406A-A2FA-4F48E94D6095}"/>
    <cellStyle name="Normal 4 4 4 2 4 3" xfId="6837" xr:uid="{89EC8222-7AD7-48C4-A1C0-12453153C764}"/>
    <cellStyle name="Normal 4 4 4 2 5" xfId="2948" xr:uid="{70044487-F2C6-4889-A500-E65AAA4EBB35}"/>
    <cellStyle name="Normal 4 4 4 2 5 2" xfId="5177" xr:uid="{79855A5A-D52C-42FC-9D21-30FDBC6D05A9}"/>
    <cellStyle name="Normal 4 4 4 2 5 2 2" xfId="9395" xr:uid="{C0BEE588-65F0-4323-BFAD-69D91442F135}"/>
    <cellStyle name="Normal 4 4 4 2 5 3" xfId="7250" xr:uid="{927F3176-C1A0-409D-9896-E2D29000D7F6}"/>
    <cellStyle name="Normal 4 4 4 2 6" xfId="3384" xr:uid="{175C735C-F7E5-4B55-8430-031B4349C6AB}"/>
    <cellStyle name="Normal 4 4 4 2 6 2" xfId="7663" xr:uid="{B3348A6D-03E5-4050-BB9D-F4E4331F84CB}"/>
    <cellStyle name="Normal 4 4 4 2 7" xfId="5598" xr:uid="{9459A890-5ACF-47D7-938A-5D87C69BD4F4}"/>
    <cellStyle name="Normal 4 4 4 2 8" xfId="1294" xr:uid="{27A239AB-2EF5-4A0F-88E7-6FD4E0D70A53}"/>
    <cellStyle name="Normal 4 4 4 3" xfId="874" xr:uid="{00000000-0005-0000-0000-0000B7020000}"/>
    <cellStyle name="Normal 4 4 4 3 2" xfId="3937" xr:uid="{C3B29A01-BC63-4A32-B3A1-470B5DD4A49D}"/>
    <cellStyle name="Normal 4 4 4 3 2 2" xfId="8155" xr:uid="{797DDB46-7CCD-4991-A876-A79EC93D0C51}"/>
    <cellStyle name="Normal 4 4 4 3 3" xfId="6010" xr:uid="{86D25D67-0A50-4231-BBDD-12CC8896AACE}"/>
    <cellStyle name="Normal 4 4 4 3 4" xfId="1708" xr:uid="{C2F1B88B-C949-47DE-8452-77C380D65B63}"/>
    <cellStyle name="Normal 4 4 4 4" xfId="2121" xr:uid="{5D00CCE3-515D-4B08-9D43-9FC3A5C0EFC3}"/>
    <cellStyle name="Normal 4 4 4 4 2" xfId="4350" xr:uid="{BD174558-75E8-4219-AC15-F9D8C9BE3E8B}"/>
    <cellStyle name="Normal 4 4 4 4 2 2" xfId="8568" xr:uid="{F11E5769-771F-41B3-AE1E-A919FE5BC7E1}"/>
    <cellStyle name="Normal 4 4 4 4 3" xfId="6423" xr:uid="{B1EAC7F1-A404-4C66-ABF5-3D92A3A121F4}"/>
    <cellStyle name="Normal 4 4 4 5" xfId="2534" xr:uid="{7BF20058-C22B-440A-948A-B5BB698362A1}"/>
    <cellStyle name="Normal 4 4 4 5 2" xfId="4763" xr:uid="{4FD9C107-7571-4782-84F9-95C5D054A965}"/>
    <cellStyle name="Normal 4 4 4 5 2 2" xfId="8981" xr:uid="{DCEFD5C1-C070-4E88-9868-F7322D7EFE9B}"/>
    <cellStyle name="Normal 4 4 4 5 3" xfId="6836" xr:uid="{790F1E04-6E18-4960-9797-2C729FC39BE5}"/>
    <cellStyle name="Normal 4 4 4 6" xfId="2947" xr:uid="{17F8D792-ABF3-44DA-A535-6D2F2F0D576D}"/>
    <cellStyle name="Normal 4 4 4 6 2" xfId="5176" xr:uid="{66CE848C-4E5A-47A1-8DA1-C35AA3E61ACD}"/>
    <cellStyle name="Normal 4 4 4 6 2 2" xfId="9394" xr:uid="{B0597F8D-704D-4978-A12D-9ED74AB0EFE0}"/>
    <cellStyle name="Normal 4 4 4 6 3" xfId="7249" xr:uid="{53C13699-90B0-46F9-B1B1-CB63D3666396}"/>
    <cellStyle name="Normal 4 4 4 7" xfId="3383" xr:uid="{0D0DCE0F-BC62-4CF8-BF51-FD2227D1BBEF}"/>
    <cellStyle name="Normal 4 4 4 7 2" xfId="7662" xr:uid="{743FD931-1C8A-4056-B170-C1D140FAA6A5}"/>
    <cellStyle name="Normal 4 4 4 8" xfId="5597" xr:uid="{273EB69C-3227-43A7-B54C-9B6BFF9517DC}"/>
    <cellStyle name="Normal 4 4 4 9" xfId="1293" xr:uid="{5692280B-935C-4449-AED5-F133E733F000}"/>
    <cellStyle name="Normal 4 4 5" xfId="396" xr:uid="{00000000-0005-0000-0000-0000B8020000}"/>
    <cellStyle name="Normal 4 4 5 2" xfId="876" xr:uid="{00000000-0005-0000-0000-0000B9020000}"/>
    <cellStyle name="Normal 4 4 5 2 2" xfId="3939" xr:uid="{22EE678D-EAC6-4769-BB8F-F6B417BEC034}"/>
    <cellStyle name="Normal 4 4 5 2 2 2" xfId="8157" xr:uid="{42DBDDF4-123F-4F91-968A-7DC820A25CE2}"/>
    <cellStyle name="Normal 4 4 5 2 3" xfId="6012" xr:uid="{2C853E69-70DC-45BF-9355-01E30FE24F09}"/>
    <cellStyle name="Normal 4 4 5 2 4" xfId="1710" xr:uid="{38BBD5EF-9F47-4F1C-AB1B-61F475472D05}"/>
    <cellStyle name="Normal 4 4 5 3" xfId="2123" xr:uid="{896F744A-5F75-4F19-ACEF-6FF98C038141}"/>
    <cellStyle name="Normal 4 4 5 3 2" xfId="4352" xr:uid="{25FB1A82-67A1-4605-9A17-E6346E863DB3}"/>
    <cellStyle name="Normal 4 4 5 3 2 2" xfId="8570" xr:uid="{D1A6E04B-A9BA-4527-B057-DDCED6BEDF37}"/>
    <cellStyle name="Normal 4 4 5 3 3" xfId="6425" xr:uid="{9B24873E-CFAF-4986-90B5-47F63EFBF862}"/>
    <cellStyle name="Normal 4 4 5 4" xfId="2536" xr:uid="{E7BE92B0-EF64-4C87-9835-37DB5AC65FF2}"/>
    <cellStyle name="Normal 4 4 5 4 2" xfId="4765" xr:uid="{30B6DB58-1FFC-466B-9012-45E910CF675A}"/>
    <cellStyle name="Normal 4 4 5 4 2 2" xfId="8983" xr:uid="{766CF01A-686C-4302-947C-7AB6DCE31227}"/>
    <cellStyle name="Normal 4 4 5 4 3" xfId="6838" xr:uid="{75F7C86B-B200-4676-97BA-068CD29E209F}"/>
    <cellStyle name="Normal 4 4 5 5" xfId="2949" xr:uid="{DECA87B8-DCAF-42CE-974F-73EA4262C801}"/>
    <cellStyle name="Normal 4 4 5 5 2" xfId="5178" xr:uid="{3E48D454-B492-4EB6-AEF0-4286B7740A93}"/>
    <cellStyle name="Normal 4 4 5 5 2 2" xfId="9396" xr:uid="{C2ADE972-5402-4A9A-83C1-048A8178DDFC}"/>
    <cellStyle name="Normal 4 4 5 5 3" xfId="7251" xr:uid="{9F6FEF53-D34D-4FC4-8E97-EF02BE8854C4}"/>
    <cellStyle name="Normal 4 4 5 6" xfId="3385" xr:uid="{2EEBF0AB-37F6-42A6-AE34-482493253E17}"/>
    <cellStyle name="Normal 4 4 5 6 2" xfId="7664" xr:uid="{E5C5EC2F-A6A9-46C9-B28C-89438F5EC3FF}"/>
    <cellStyle name="Normal 4 4 5 7" xfId="5599" xr:uid="{B45EE09A-5A39-4E8C-B7D9-957962487F49}"/>
    <cellStyle name="Normal 4 4 5 8" xfId="1295" xr:uid="{FB88BE44-14E2-4CDA-B210-BCC8C96FCA1A}"/>
    <cellStyle name="Normal 4 4 6" xfId="861" xr:uid="{00000000-0005-0000-0000-0000BA020000}"/>
    <cellStyle name="Normal 4 4 6 2" xfId="3924" xr:uid="{E901B094-EEC9-49F4-9676-B61A73C24751}"/>
    <cellStyle name="Normal 4 4 6 2 2" xfId="8142" xr:uid="{3128DFAD-4401-4E9C-B236-1A1799B9F656}"/>
    <cellStyle name="Normal 4 4 6 3" xfId="5997" xr:uid="{6DE083EE-C48B-4ECB-9465-00BBA378EC96}"/>
    <cellStyle name="Normal 4 4 6 4" xfId="1695" xr:uid="{D9757D43-5DCC-406F-A878-829529174649}"/>
    <cellStyle name="Normal 4 4 7" xfId="2108" xr:uid="{6692C4C6-A437-4041-B425-14BF88DBBD45}"/>
    <cellStyle name="Normal 4 4 7 2" xfId="4337" xr:uid="{E1AA9306-3C0A-4CCA-8934-BC9D81BFA1D8}"/>
    <cellStyle name="Normal 4 4 7 2 2" xfId="8555" xr:uid="{81FAE5EF-FF2B-4700-A07C-DFF28CCF7402}"/>
    <cellStyle name="Normal 4 4 7 3" xfId="6410" xr:uid="{E9E96AD9-DA01-48C3-A2D2-F7A81B8D7CBD}"/>
    <cellStyle name="Normal 4 4 8" xfId="2521" xr:uid="{73DA9037-4C85-4B26-A6BA-F5998849D6C6}"/>
    <cellStyle name="Normal 4 4 8 2" xfId="4750" xr:uid="{9944B1F9-6888-406E-B3EA-1C2F60B3F363}"/>
    <cellStyle name="Normal 4 4 8 2 2" xfId="8968" xr:uid="{70486BD3-3AC3-4273-8FA5-F76986A47538}"/>
    <cellStyle name="Normal 4 4 8 3" xfId="6823" xr:uid="{02147883-54BC-47E2-AB14-5C8A9FCE48DD}"/>
    <cellStyle name="Normal 4 4 9" xfId="2934" xr:uid="{8D72DCEE-09D7-49BF-8877-9D754D8645EF}"/>
    <cellStyle name="Normal 4 4 9 2" xfId="5163" xr:uid="{15312799-F89E-4DEC-A4E9-1FABA61FC02F}"/>
    <cellStyle name="Normal 4 4 9 2 2" xfId="9381" xr:uid="{5419E6D6-FCA4-4852-98B2-0F5C7936FF73}"/>
    <cellStyle name="Normal 4 4 9 3" xfId="7236" xr:uid="{17463937-2F8F-42D9-8B26-0E1E50A0ADA1}"/>
    <cellStyle name="Normal 4 5" xfId="397" xr:uid="{00000000-0005-0000-0000-0000BB020000}"/>
    <cellStyle name="Normal 4 6" xfId="398" xr:uid="{00000000-0005-0000-0000-0000BC020000}"/>
    <cellStyle name="Normal 4 6 10" xfId="5600" xr:uid="{927F76DA-2D42-481E-94E8-43E9B7AAFB36}"/>
    <cellStyle name="Normal 4 6 11" xfId="1296" xr:uid="{A47AC61E-FD1D-480F-AF84-1B7E3772F987}"/>
    <cellStyle name="Normal 4 6 2" xfId="399" xr:uid="{00000000-0005-0000-0000-0000BD020000}"/>
    <cellStyle name="Normal 4 6 2 10" xfId="1297" xr:uid="{84B90DF4-6CAA-4FD2-BF41-2E3A240ABFB3}"/>
    <cellStyle name="Normal 4 6 2 2" xfId="400" xr:uid="{00000000-0005-0000-0000-0000BE020000}"/>
    <cellStyle name="Normal 4 6 2 2 2" xfId="401" xr:uid="{00000000-0005-0000-0000-0000BF020000}"/>
    <cellStyle name="Normal 4 6 2 2 2 2" xfId="880" xr:uid="{00000000-0005-0000-0000-0000C0020000}"/>
    <cellStyle name="Normal 4 6 2 2 2 2 2" xfId="3943" xr:uid="{78BD693A-123A-4828-9E3E-10A37B2B4051}"/>
    <cellStyle name="Normal 4 6 2 2 2 2 2 2" xfId="8161" xr:uid="{DC36B12E-543B-4A0B-B78A-D6F3AEE8476B}"/>
    <cellStyle name="Normal 4 6 2 2 2 2 3" xfId="6016" xr:uid="{CB658A88-6A5D-4B72-8ECF-542F399857C4}"/>
    <cellStyle name="Normal 4 6 2 2 2 2 4" xfId="1714" xr:uid="{C1EEE1E8-1170-4CFE-857E-2FED789C3688}"/>
    <cellStyle name="Normal 4 6 2 2 2 3" xfId="2127" xr:uid="{F8FD46CB-CF26-4C8C-9D8E-F1BBD8FAEBB0}"/>
    <cellStyle name="Normal 4 6 2 2 2 3 2" xfId="4356" xr:uid="{A45814F1-6B68-4BAC-8F0E-C8A18211F9D7}"/>
    <cellStyle name="Normal 4 6 2 2 2 3 2 2" xfId="8574" xr:uid="{3A572298-D394-4B2D-B452-F327B9CC8012}"/>
    <cellStyle name="Normal 4 6 2 2 2 3 3" xfId="6429" xr:uid="{5E2B708B-F704-4B98-A22A-32B218C2FBCF}"/>
    <cellStyle name="Normal 4 6 2 2 2 4" xfId="2540" xr:uid="{88C6DA06-56A1-4228-A4C7-317EA4BD5C46}"/>
    <cellStyle name="Normal 4 6 2 2 2 4 2" xfId="4769" xr:uid="{D54FC9C9-80BE-48D5-A6B4-792202178ED2}"/>
    <cellStyle name="Normal 4 6 2 2 2 4 2 2" xfId="8987" xr:uid="{299D470A-691B-4429-874B-15F3495000BE}"/>
    <cellStyle name="Normal 4 6 2 2 2 4 3" xfId="6842" xr:uid="{6CE5C2E3-F7F9-4BD7-B0D2-94161435AB88}"/>
    <cellStyle name="Normal 4 6 2 2 2 5" xfId="2953" xr:uid="{F5DB8813-CC24-4925-82BA-008FB0857BA8}"/>
    <cellStyle name="Normal 4 6 2 2 2 5 2" xfId="5182" xr:uid="{3777A3C7-18C7-4FB0-90D4-C2561D158E4E}"/>
    <cellStyle name="Normal 4 6 2 2 2 5 2 2" xfId="9400" xr:uid="{23DE7A17-1A49-48A8-A154-4D1B45242BB4}"/>
    <cellStyle name="Normal 4 6 2 2 2 5 3" xfId="7255" xr:uid="{B5A6DBAD-4F95-44E1-8822-DB6BCFD75F13}"/>
    <cellStyle name="Normal 4 6 2 2 2 6" xfId="3389" xr:uid="{3F4D422B-8E39-45FB-9B9F-69CCE8A7E9AA}"/>
    <cellStyle name="Normal 4 6 2 2 2 6 2" xfId="7668" xr:uid="{54BC188F-B13D-4D30-9972-6C5B2B4A72D9}"/>
    <cellStyle name="Normal 4 6 2 2 2 7" xfId="5603" xr:uid="{19EA53D6-0061-45DB-A73A-F17968CC48C2}"/>
    <cellStyle name="Normal 4 6 2 2 2 8" xfId="1299" xr:uid="{0398539B-2EA1-4511-999E-0A1BB723066A}"/>
    <cellStyle name="Normal 4 6 2 2 3" xfId="879" xr:uid="{00000000-0005-0000-0000-0000C1020000}"/>
    <cellStyle name="Normal 4 6 2 2 3 2" xfId="3942" xr:uid="{4FC5C745-A57A-4CEB-80F4-289E37DD2232}"/>
    <cellStyle name="Normal 4 6 2 2 3 2 2" xfId="8160" xr:uid="{8A9EE324-2FE9-47EF-9E4F-9DDEA6155DAA}"/>
    <cellStyle name="Normal 4 6 2 2 3 3" xfId="6015" xr:uid="{3BEBEA1C-3831-4EDA-8120-A00141E21436}"/>
    <cellStyle name="Normal 4 6 2 2 3 4" xfId="1713" xr:uid="{778900DC-A784-40FE-83E7-E821B44D1F97}"/>
    <cellStyle name="Normal 4 6 2 2 4" xfId="2126" xr:uid="{B3228608-C066-4EE6-8B7D-1380A0C8F3FC}"/>
    <cellStyle name="Normal 4 6 2 2 4 2" xfId="4355" xr:uid="{F35015E2-19D4-48CB-9B2B-90604A5CDBF3}"/>
    <cellStyle name="Normal 4 6 2 2 4 2 2" xfId="8573" xr:uid="{96BB0760-7FDA-473D-B78E-FF28DDA14D01}"/>
    <cellStyle name="Normal 4 6 2 2 4 3" xfId="6428" xr:uid="{05F13968-B0D9-473D-A24C-40505F5B8367}"/>
    <cellStyle name="Normal 4 6 2 2 5" xfId="2539" xr:uid="{59BCBD0C-B4C5-470F-B4E8-EA2F6413E6FB}"/>
    <cellStyle name="Normal 4 6 2 2 5 2" xfId="4768" xr:uid="{527CCAF1-7693-4CAA-B7D5-F6369C3811E5}"/>
    <cellStyle name="Normal 4 6 2 2 5 2 2" xfId="8986" xr:uid="{22415DF2-5F2A-49E9-A17C-32654011CE05}"/>
    <cellStyle name="Normal 4 6 2 2 5 3" xfId="6841" xr:uid="{0FD11389-F0BC-4F23-BDAF-0C0FADDBF0C9}"/>
    <cellStyle name="Normal 4 6 2 2 6" xfId="2952" xr:uid="{98B74C52-4555-4FD6-95F7-66270A8E2B08}"/>
    <cellStyle name="Normal 4 6 2 2 6 2" xfId="5181" xr:uid="{64C0805C-5848-4C42-998C-FC694201DE01}"/>
    <cellStyle name="Normal 4 6 2 2 6 2 2" xfId="9399" xr:uid="{98D2FEFA-AE67-4195-AEFE-BABD916E21D0}"/>
    <cellStyle name="Normal 4 6 2 2 6 3" xfId="7254" xr:uid="{2B16782D-80D2-418A-AA1C-1F3B8E5F024F}"/>
    <cellStyle name="Normal 4 6 2 2 7" xfId="3388" xr:uid="{F1C2815B-F2F5-48ED-A2B6-7A6518028BD3}"/>
    <cellStyle name="Normal 4 6 2 2 7 2" xfId="7667" xr:uid="{76CCC2B3-A89E-4AE1-8BB0-C641851A4063}"/>
    <cellStyle name="Normal 4 6 2 2 8" xfId="5602" xr:uid="{44ABFED1-DBA4-47B9-B16F-0DA7BF8067A9}"/>
    <cellStyle name="Normal 4 6 2 2 9" xfId="1298" xr:uid="{3ECB43B4-9CC8-4FC8-B1DF-247D968EC91E}"/>
    <cellStyle name="Normal 4 6 2 3" xfId="402" xr:uid="{00000000-0005-0000-0000-0000C2020000}"/>
    <cellStyle name="Normal 4 6 2 3 2" xfId="881" xr:uid="{00000000-0005-0000-0000-0000C3020000}"/>
    <cellStyle name="Normal 4 6 2 3 2 2" xfId="3944" xr:uid="{2E903347-7145-4CEF-AF78-6A97283824F3}"/>
    <cellStyle name="Normal 4 6 2 3 2 2 2" xfId="8162" xr:uid="{293A309B-1D8A-4AE3-8526-F343816D92FD}"/>
    <cellStyle name="Normal 4 6 2 3 2 3" xfId="6017" xr:uid="{0FEA3F83-81BA-4600-AF31-72357929CDCB}"/>
    <cellStyle name="Normal 4 6 2 3 2 4" xfId="1715" xr:uid="{029482C3-4B67-4646-9026-01C08B7CAE1E}"/>
    <cellStyle name="Normal 4 6 2 3 3" xfId="2128" xr:uid="{88A21CD1-D2BE-4F28-9AB9-51EE9754B4DF}"/>
    <cellStyle name="Normal 4 6 2 3 3 2" xfId="4357" xr:uid="{396F4058-4DA3-4E8F-98B0-A5173DE98D92}"/>
    <cellStyle name="Normal 4 6 2 3 3 2 2" xfId="8575" xr:uid="{9C072BCF-FF20-457B-834A-CA9ED98505E9}"/>
    <cellStyle name="Normal 4 6 2 3 3 3" xfId="6430" xr:uid="{4644A02F-9C2C-4E96-A506-AB2359D90B73}"/>
    <cellStyle name="Normal 4 6 2 3 4" xfId="2541" xr:uid="{C0CEB30B-8712-4F7E-81DC-6254A0282E88}"/>
    <cellStyle name="Normal 4 6 2 3 4 2" xfId="4770" xr:uid="{AED07C92-96F5-4E54-AFA7-6BFE68CE6096}"/>
    <cellStyle name="Normal 4 6 2 3 4 2 2" xfId="8988" xr:uid="{24E48DB5-71F6-42BA-8AC7-204453463B01}"/>
    <cellStyle name="Normal 4 6 2 3 4 3" xfId="6843" xr:uid="{ED9FC264-E8A6-49B9-B7C6-C6613F08E1AE}"/>
    <cellStyle name="Normal 4 6 2 3 5" xfId="2954" xr:uid="{A69F794D-28AF-4C46-BBF2-9AF0FB41603B}"/>
    <cellStyle name="Normal 4 6 2 3 5 2" xfId="5183" xr:uid="{9F3EC26E-E143-4E87-844D-947E3E2794D5}"/>
    <cellStyle name="Normal 4 6 2 3 5 2 2" xfId="9401" xr:uid="{870FCBC5-9987-4376-AB01-EFCD6E64B15A}"/>
    <cellStyle name="Normal 4 6 2 3 5 3" xfId="7256" xr:uid="{63C9EF41-7690-44F6-9029-94D9781A0BD3}"/>
    <cellStyle name="Normal 4 6 2 3 6" xfId="3390" xr:uid="{DD14239C-4C60-4FF5-A918-7E69242537B0}"/>
    <cellStyle name="Normal 4 6 2 3 6 2" xfId="7669" xr:uid="{B353C8A1-5AB1-4555-9449-46F858B9889F}"/>
    <cellStyle name="Normal 4 6 2 3 7" xfId="5604" xr:uid="{00227C8B-874F-4D04-9307-74154E5061CD}"/>
    <cellStyle name="Normal 4 6 2 3 8" xfId="1300" xr:uid="{CD010E49-B6FA-4A66-BB82-ECB98B6142CA}"/>
    <cellStyle name="Normal 4 6 2 4" xfId="878" xr:uid="{00000000-0005-0000-0000-0000C4020000}"/>
    <cellStyle name="Normal 4 6 2 4 2" xfId="3941" xr:uid="{3694A2B3-56B6-478F-99B2-394A960ABDE3}"/>
    <cellStyle name="Normal 4 6 2 4 2 2" xfId="8159" xr:uid="{9B056E5D-E2F9-40CB-9C16-5A2AB68093C7}"/>
    <cellStyle name="Normal 4 6 2 4 3" xfId="6014" xr:uid="{1DC2860A-D678-47C8-814D-2E00929B6EAD}"/>
    <cellStyle name="Normal 4 6 2 4 4" xfId="1712" xr:uid="{DEE9B788-4837-4B7F-AC9D-07037F3FA162}"/>
    <cellStyle name="Normal 4 6 2 5" xfId="2125" xr:uid="{F920EF50-5E09-45B7-B34E-08DA9D2FD343}"/>
    <cellStyle name="Normal 4 6 2 5 2" xfId="4354" xr:uid="{0781F678-AA04-45CF-B4B5-6C1FBFA308D8}"/>
    <cellStyle name="Normal 4 6 2 5 2 2" xfId="8572" xr:uid="{DAF694C3-A04A-48A4-A6A5-2B71106F046B}"/>
    <cellStyle name="Normal 4 6 2 5 3" xfId="6427" xr:uid="{9737D9BC-997E-4F5D-97D7-C3713B9EEC5B}"/>
    <cellStyle name="Normal 4 6 2 6" xfId="2538" xr:uid="{3FDBEE64-2BE6-4C4F-8D2A-74C39A15882B}"/>
    <cellStyle name="Normal 4 6 2 6 2" xfId="4767" xr:uid="{E28F0678-B921-4611-B820-365D1AB6998C}"/>
    <cellStyle name="Normal 4 6 2 6 2 2" xfId="8985" xr:uid="{D04496E8-4319-4E76-A7F7-3D0ED373ECD3}"/>
    <cellStyle name="Normal 4 6 2 6 3" xfId="6840" xr:uid="{F116F367-7A4E-4B83-A183-84ED93AFB059}"/>
    <cellStyle name="Normal 4 6 2 7" xfId="2951" xr:uid="{5FC59E3A-3986-4493-948C-D24BA3F5A3BC}"/>
    <cellStyle name="Normal 4 6 2 7 2" xfId="5180" xr:uid="{E84E3036-AF6F-496C-8960-71B99BE9EA27}"/>
    <cellStyle name="Normal 4 6 2 7 2 2" xfId="9398" xr:uid="{299F2463-E6EA-4AA8-9AD9-2E5007019580}"/>
    <cellStyle name="Normal 4 6 2 7 3" xfId="7253" xr:uid="{0B7A29CB-AAA1-42A9-A49E-A6554C03B8B6}"/>
    <cellStyle name="Normal 4 6 2 8" xfId="3387" xr:uid="{6A645DC2-5FFF-44FD-AC94-B7F1612349AB}"/>
    <cellStyle name="Normal 4 6 2 8 2" xfId="7666" xr:uid="{7A0D7B4B-123C-4729-A774-E596D9E0DA5E}"/>
    <cellStyle name="Normal 4 6 2 9" xfId="5601" xr:uid="{70F030EE-0286-4FC5-B7F7-450500E3E729}"/>
    <cellStyle name="Normal 4 6 3" xfId="403" xr:uid="{00000000-0005-0000-0000-0000C5020000}"/>
    <cellStyle name="Normal 4 6 3 2" xfId="404" xr:uid="{00000000-0005-0000-0000-0000C6020000}"/>
    <cellStyle name="Normal 4 6 3 2 2" xfId="883" xr:uid="{00000000-0005-0000-0000-0000C7020000}"/>
    <cellStyle name="Normal 4 6 3 2 2 2" xfId="3946" xr:uid="{B9048974-8AE2-4600-8824-84E7B626DD71}"/>
    <cellStyle name="Normal 4 6 3 2 2 2 2" xfId="8164" xr:uid="{989C45A9-4DAF-44FD-962F-EFE082F057BA}"/>
    <cellStyle name="Normal 4 6 3 2 2 3" xfId="6019" xr:uid="{EB67EDA8-8FD9-4C49-9E91-9592DA4B59AA}"/>
    <cellStyle name="Normal 4 6 3 2 2 4" xfId="1717" xr:uid="{5CA804F1-8C38-4527-AFB1-786BC6B67536}"/>
    <cellStyle name="Normal 4 6 3 2 3" xfId="2130" xr:uid="{F87B727D-9685-417C-ADD9-665A0902C853}"/>
    <cellStyle name="Normal 4 6 3 2 3 2" xfId="4359" xr:uid="{9F7D1C5E-624D-44FB-8687-92F7597A1CC8}"/>
    <cellStyle name="Normal 4 6 3 2 3 2 2" xfId="8577" xr:uid="{FE7372B2-38F4-4052-B577-5A072B4FF9AE}"/>
    <cellStyle name="Normal 4 6 3 2 3 3" xfId="6432" xr:uid="{B7E64323-8B7D-46D8-A2A6-6BF0CAD85D0A}"/>
    <cellStyle name="Normal 4 6 3 2 4" xfId="2543" xr:uid="{4BBF33DB-A1AF-4982-96CD-E7997473BFD6}"/>
    <cellStyle name="Normal 4 6 3 2 4 2" xfId="4772" xr:uid="{9C105833-0B65-4746-950C-76FC1B81F5D6}"/>
    <cellStyle name="Normal 4 6 3 2 4 2 2" xfId="8990" xr:uid="{62923CA1-626C-4404-BE0A-4B76665A3F25}"/>
    <cellStyle name="Normal 4 6 3 2 4 3" xfId="6845" xr:uid="{1DB7E8C3-4235-4ACC-BAB0-26AF1D5F9BB8}"/>
    <cellStyle name="Normal 4 6 3 2 5" xfId="2956" xr:uid="{C72A16A0-204A-4E82-847A-D670D4EE3146}"/>
    <cellStyle name="Normal 4 6 3 2 5 2" xfId="5185" xr:uid="{6E9F09FE-B861-40FD-A2C6-498B91BC6989}"/>
    <cellStyle name="Normal 4 6 3 2 5 2 2" xfId="9403" xr:uid="{76D06B4C-25A9-48B3-A1E4-A7050843C988}"/>
    <cellStyle name="Normal 4 6 3 2 5 3" xfId="7258" xr:uid="{7AE2F6DA-0D71-43E3-99A6-A863A29E43B3}"/>
    <cellStyle name="Normal 4 6 3 2 6" xfId="3392" xr:uid="{2433A0A0-2608-46DF-BF38-E2B9B0FA4D17}"/>
    <cellStyle name="Normal 4 6 3 2 6 2" xfId="7671" xr:uid="{963AFA35-3FF0-4A5F-8C8A-C3FA0CD38931}"/>
    <cellStyle name="Normal 4 6 3 2 7" xfId="5606" xr:uid="{0EB6243D-A7E9-4319-94C7-9174AFA9EBDD}"/>
    <cellStyle name="Normal 4 6 3 2 8" xfId="1302" xr:uid="{6ADA246C-7824-4C61-93F4-2CE8C776955D}"/>
    <cellStyle name="Normal 4 6 3 3" xfId="882" xr:uid="{00000000-0005-0000-0000-0000C8020000}"/>
    <cellStyle name="Normal 4 6 3 3 2" xfId="3945" xr:uid="{4BC8890D-EABC-4310-93E7-D11A724F38EC}"/>
    <cellStyle name="Normal 4 6 3 3 2 2" xfId="8163" xr:uid="{B3D85EC4-B3A2-4EAF-9AB9-87E6605F4CDA}"/>
    <cellStyle name="Normal 4 6 3 3 3" xfId="6018" xr:uid="{1C9C8C74-4B4C-4937-8CED-FFDB37C7B627}"/>
    <cellStyle name="Normal 4 6 3 3 4" xfId="1716" xr:uid="{FF793310-9770-4557-AE82-23B69A81C014}"/>
    <cellStyle name="Normal 4 6 3 4" xfId="2129" xr:uid="{6F00B64E-E6CC-4777-B1E6-CA9A4C65A406}"/>
    <cellStyle name="Normal 4 6 3 4 2" xfId="4358" xr:uid="{F7C5E7F1-4F30-4EAB-9D45-987735E09B7F}"/>
    <cellStyle name="Normal 4 6 3 4 2 2" xfId="8576" xr:uid="{36A22A17-AA66-472E-BB1F-39C180CFBA0D}"/>
    <cellStyle name="Normal 4 6 3 4 3" xfId="6431" xr:uid="{006E53FE-6A99-4C67-92C5-A2676220BEE9}"/>
    <cellStyle name="Normal 4 6 3 5" xfId="2542" xr:uid="{4D69DA25-DD83-4D28-96D3-5843580D7E26}"/>
    <cellStyle name="Normal 4 6 3 5 2" xfId="4771" xr:uid="{5152D1EA-5818-4155-8632-E33C62796AA6}"/>
    <cellStyle name="Normal 4 6 3 5 2 2" xfId="8989" xr:uid="{B99A5562-C9C2-417D-9527-D6AB1848412A}"/>
    <cellStyle name="Normal 4 6 3 5 3" xfId="6844" xr:uid="{D5F8CAF1-6408-4C02-A447-4C4929D1FD32}"/>
    <cellStyle name="Normal 4 6 3 6" xfId="2955" xr:uid="{F2F6D264-8F60-4E9E-8467-57DE47739F22}"/>
    <cellStyle name="Normal 4 6 3 6 2" xfId="5184" xr:uid="{5A909B45-4BBB-4E4D-90D2-B5F9CDC1C9FB}"/>
    <cellStyle name="Normal 4 6 3 6 2 2" xfId="9402" xr:uid="{1FD88B40-6486-4B00-A88F-67F809C5ACD7}"/>
    <cellStyle name="Normal 4 6 3 6 3" xfId="7257" xr:uid="{9C3BEA39-C272-4168-8F20-51E18CEECF11}"/>
    <cellStyle name="Normal 4 6 3 7" xfId="3391" xr:uid="{7B390D12-B454-42E9-A04E-B363847592DD}"/>
    <cellStyle name="Normal 4 6 3 7 2" xfId="7670" xr:uid="{48F3D982-7BE0-445F-AEC1-D78B4CED9469}"/>
    <cellStyle name="Normal 4 6 3 8" xfId="5605" xr:uid="{E746EB3C-B281-4ED9-9DD0-3C02131598FC}"/>
    <cellStyle name="Normal 4 6 3 9" xfId="1301" xr:uid="{001B3774-33DF-4120-ADD2-817474BD74EC}"/>
    <cellStyle name="Normal 4 6 4" xfId="405" xr:uid="{00000000-0005-0000-0000-0000C9020000}"/>
    <cellStyle name="Normal 4 6 4 2" xfId="884" xr:uid="{00000000-0005-0000-0000-0000CA020000}"/>
    <cellStyle name="Normal 4 6 4 2 2" xfId="3947" xr:uid="{1929C4AB-A9F1-4610-B592-CCF51DF2534E}"/>
    <cellStyle name="Normal 4 6 4 2 2 2" xfId="8165" xr:uid="{75B58E67-A8CB-4206-A73E-F4A39E1EA0EB}"/>
    <cellStyle name="Normal 4 6 4 2 3" xfId="6020" xr:uid="{AD87697D-E404-4B72-9464-7D653BCE45D5}"/>
    <cellStyle name="Normal 4 6 4 2 4" xfId="1718" xr:uid="{A8A6AA7D-2FC9-4347-9261-028AED37D156}"/>
    <cellStyle name="Normal 4 6 4 3" xfId="2131" xr:uid="{41DBE9A8-18EC-42B9-8A61-55BA462A7203}"/>
    <cellStyle name="Normal 4 6 4 3 2" xfId="4360" xr:uid="{A3ECDE19-0F40-4C05-977C-C75CAA39BADE}"/>
    <cellStyle name="Normal 4 6 4 3 2 2" xfId="8578" xr:uid="{F9376885-78B5-4623-AB41-025F72229DE4}"/>
    <cellStyle name="Normal 4 6 4 3 3" xfId="6433" xr:uid="{E55237E9-B3A7-4FDD-89CC-244106B401D9}"/>
    <cellStyle name="Normal 4 6 4 4" xfId="2544" xr:uid="{72721394-490D-4083-86AA-D53BAAC36CB6}"/>
    <cellStyle name="Normal 4 6 4 4 2" xfId="4773" xr:uid="{F0FE88CC-01CF-4308-9B5D-0A9B06063E3A}"/>
    <cellStyle name="Normal 4 6 4 4 2 2" xfId="8991" xr:uid="{A58B5CD4-36DA-4FBA-A683-7CD5C4F9E69D}"/>
    <cellStyle name="Normal 4 6 4 4 3" xfId="6846" xr:uid="{7BA0BA72-BCDF-4E1B-9473-BCB66896F5E1}"/>
    <cellStyle name="Normal 4 6 4 5" xfId="2957" xr:uid="{F4965011-A537-41F7-BEDE-2CF082154001}"/>
    <cellStyle name="Normal 4 6 4 5 2" xfId="5186" xr:uid="{FA87EED4-30BE-4765-9C2F-E90AD2C6F17E}"/>
    <cellStyle name="Normal 4 6 4 5 2 2" xfId="9404" xr:uid="{AA06B372-B4EB-42AA-8EF3-0ACC1D24EE34}"/>
    <cellStyle name="Normal 4 6 4 5 3" xfId="7259" xr:uid="{B4A41D23-FEC3-4FE9-8404-09454B2B5C66}"/>
    <cellStyle name="Normal 4 6 4 6" xfId="3393" xr:uid="{089CA14A-8C3D-4DCF-81C2-A50A4AD3FA7D}"/>
    <cellStyle name="Normal 4 6 4 6 2" xfId="7672" xr:uid="{283DBA0D-FBC0-453A-B6EF-F10332ED6DB7}"/>
    <cellStyle name="Normal 4 6 4 7" xfId="5607" xr:uid="{B9B4AAD1-8950-40B3-A715-1D93255B0C95}"/>
    <cellStyle name="Normal 4 6 4 8" xfId="1303" xr:uid="{F8324BA3-707F-4577-B0FA-1E785D7A7C9A}"/>
    <cellStyle name="Normal 4 6 5" xfId="877" xr:uid="{00000000-0005-0000-0000-0000CB020000}"/>
    <cellStyle name="Normal 4 6 5 2" xfId="3940" xr:uid="{44C5D408-05B6-4C5A-8E4B-3BE46C99381C}"/>
    <cellStyle name="Normal 4 6 5 2 2" xfId="8158" xr:uid="{BA41AC41-F760-48D1-BCFF-F8ABBFE2563E}"/>
    <cellStyle name="Normal 4 6 5 3" xfId="6013" xr:uid="{397EC482-08B0-4659-B986-404F0BDFABF3}"/>
    <cellStyle name="Normal 4 6 5 4" xfId="1711" xr:uid="{6BE4C28D-569B-480C-8D0D-6A42BBC2E7DE}"/>
    <cellStyle name="Normal 4 6 6" xfId="2124" xr:uid="{10A6E9A4-AE6A-4172-94ED-4E9D62B8AD8E}"/>
    <cellStyle name="Normal 4 6 6 2" xfId="4353" xr:uid="{EDB2A076-B79B-48EE-A7C9-11D0298D13ED}"/>
    <cellStyle name="Normal 4 6 6 2 2" xfId="8571" xr:uid="{74AC9EDC-3B11-4FF3-8CCC-C52DAA01F9AD}"/>
    <cellStyle name="Normal 4 6 6 3" xfId="6426" xr:uid="{1A87DF65-E8FE-4677-9166-39AEFEE4FB33}"/>
    <cellStyle name="Normal 4 6 7" xfId="2537" xr:uid="{4980DBBA-5D94-4EEB-9FDD-63300B3318D1}"/>
    <cellStyle name="Normal 4 6 7 2" xfId="4766" xr:uid="{0B493798-6813-4386-A119-3AD9F345A314}"/>
    <cellStyle name="Normal 4 6 7 2 2" xfId="8984" xr:uid="{B42E58D6-EB87-430A-B69D-91BB2A90F1C2}"/>
    <cellStyle name="Normal 4 6 7 3" xfId="6839" xr:uid="{97CAEC35-AD15-4155-B5F4-E1AC1719D62F}"/>
    <cellStyle name="Normal 4 6 8" xfId="2950" xr:uid="{F29DB7C4-D918-460B-8D38-FF554C1D1D98}"/>
    <cellStyle name="Normal 4 6 8 2" xfId="5179" xr:uid="{DD9628FE-81C1-4DF7-B857-C6A1A0279590}"/>
    <cellStyle name="Normal 4 6 8 2 2" xfId="9397" xr:uid="{AFF21F81-AEF4-4458-A706-EA312F06FE41}"/>
    <cellStyle name="Normal 4 6 8 3" xfId="7252" xr:uid="{610BD2A2-9328-4706-82F0-B5D1767C5894}"/>
    <cellStyle name="Normal 4 6 9" xfId="3386" xr:uid="{9BD9CEC1-875F-4886-A716-4EA4C85AAE8F}"/>
    <cellStyle name="Normal 4 6 9 2" xfId="7665" xr:uid="{4CB4C09B-B84D-4AF7-88C7-5551D583165A}"/>
    <cellStyle name="Normal 4 7" xfId="406" xr:uid="{00000000-0005-0000-0000-0000CC020000}"/>
    <cellStyle name="Normal 4 7 2" xfId="407" xr:uid="{00000000-0005-0000-0000-0000CD020000}"/>
    <cellStyle name="Normal 4 7 2 2" xfId="886" xr:uid="{00000000-0005-0000-0000-0000CE020000}"/>
    <cellStyle name="Normal 4 7 2 2 2" xfId="3949" xr:uid="{6300FEE2-EEBC-44A1-9A0D-A2B6E5802DE4}"/>
    <cellStyle name="Normal 4 7 2 2 2 2" xfId="8167" xr:uid="{6589AB62-8DD8-43B0-A65A-DEE711A0C8F2}"/>
    <cellStyle name="Normal 4 7 2 2 3" xfId="6022" xr:uid="{F9EE194F-F419-488A-B764-E7D7045CB3FC}"/>
    <cellStyle name="Normal 4 7 2 2 4" xfId="1720" xr:uid="{65548A85-4CA0-4CFD-9531-EBA2222BEAA0}"/>
    <cellStyle name="Normal 4 7 2 3" xfId="2133" xr:uid="{DB205E94-60C7-4068-B68E-DE35FF13D1CC}"/>
    <cellStyle name="Normal 4 7 2 3 2" xfId="4362" xr:uid="{08189B3E-2540-4308-9CCB-C6AB33A5DEF3}"/>
    <cellStyle name="Normal 4 7 2 3 2 2" xfId="8580" xr:uid="{78E1257F-35FA-4ED2-A17E-FFA19D322118}"/>
    <cellStyle name="Normal 4 7 2 3 3" xfId="6435" xr:uid="{93D2B0E3-A31D-4E1E-9CDA-0B78385342C1}"/>
    <cellStyle name="Normal 4 7 2 4" xfId="2546" xr:uid="{038B5C02-6CCF-4E1E-92DB-CB4A156963A0}"/>
    <cellStyle name="Normal 4 7 2 4 2" xfId="4775" xr:uid="{AA026DC6-3722-4E38-8746-2CE8AA058973}"/>
    <cellStyle name="Normal 4 7 2 4 2 2" xfId="8993" xr:uid="{2D8412D0-6EE9-42A6-9E88-F0C4FF3C373D}"/>
    <cellStyle name="Normal 4 7 2 4 3" xfId="6848" xr:uid="{AB7F653A-61FC-4CB6-BE9E-7558A8FA7DD4}"/>
    <cellStyle name="Normal 4 7 2 5" xfId="2959" xr:uid="{B6B899E5-5CD9-4435-86DD-08E87A572164}"/>
    <cellStyle name="Normal 4 7 2 5 2" xfId="5188" xr:uid="{8605C959-B8CC-4AC3-9E81-0C7E2F71FD69}"/>
    <cellStyle name="Normal 4 7 2 5 2 2" xfId="9406" xr:uid="{4CE5C100-5CFC-402B-94D6-7DFBD12E7934}"/>
    <cellStyle name="Normal 4 7 2 5 3" xfId="7261" xr:uid="{1C41FF3E-824D-4D1E-A10E-292C29F1B42C}"/>
    <cellStyle name="Normal 4 7 2 6" xfId="3395" xr:uid="{83FD75D5-38CA-4CA0-BE6B-3D7B347E98A6}"/>
    <cellStyle name="Normal 4 7 2 6 2" xfId="7674" xr:uid="{9672B335-81DF-43AE-A093-11A0F92AC048}"/>
    <cellStyle name="Normal 4 7 2 7" xfId="5609" xr:uid="{3B6935C7-6E77-4A23-8327-630D8F457A12}"/>
    <cellStyle name="Normal 4 7 2 8" xfId="1305" xr:uid="{20F5A69C-680B-4859-805A-003EF10DD68E}"/>
    <cellStyle name="Normal 4 7 3" xfId="885" xr:uid="{00000000-0005-0000-0000-0000CF020000}"/>
    <cellStyle name="Normal 4 7 3 2" xfId="3948" xr:uid="{41B2987A-B501-4559-8C82-07E673B8DD6C}"/>
    <cellStyle name="Normal 4 7 3 2 2" xfId="8166" xr:uid="{B1313E34-0C00-4877-ACBC-0A727B4080A1}"/>
    <cellStyle name="Normal 4 7 3 3" xfId="6021" xr:uid="{E9398127-4BF0-4BAB-A0EB-1918D6B130A7}"/>
    <cellStyle name="Normal 4 7 3 4" xfId="1719" xr:uid="{D9ABFE56-9D3C-4FEC-9FDB-27ECE9B7920B}"/>
    <cellStyle name="Normal 4 7 4" xfId="2132" xr:uid="{2B83BFD7-7AE3-47E1-8BAB-B10C85AB3E3D}"/>
    <cellStyle name="Normal 4 7 4 2" xfId="4361" xr:uid="{2AAD65AF-8EFE-41D3-BC01-EE0207196BDD}"/>
    <cellStyle name="Normal 4 7 4 2 2" xfId="8579" xr:uid="{9952E1C2-1046-4336-8A9D-54E380B513AE}"/>
    <cellStyle name="Normal 4 7 4 3" xfId="6434" xr:uid="{C907DD49-4E36-4B56-85CD-69981FC28BDA}"/>
    <cellStyle name="Normal 4 7 5" xfId="2545" xr:uid="{263C8AEA-36C4-4795-9F99-884F56E78793}"/>
    <cellStyle name="Normal 4 7 5 2" xfId="4774" xr:uid="{09EDD851-945D-4C8E-9AF7-B0151DEBB396}"/>
    <cellStyle name="Normal 4 7 5 2 2" xfId="8992" xr:uid="{2CB43737-B3F0-4790-8351-580A9489BB17}"/>
    <cellStyle name="Normal 4 7 5 3" xfId="6847" xr:uid="{561AC3FC-5C2E-45DA-9F20-C73F5B9CD3BC}"/>
    <cellStyle name="Normal 4 7 6" xfId="2958" xr:uid="{8642A793-CD44-40EF-A2F8-BCB866BED32E}"/>
    <cellStyle name="Normal 4 7 6 2" xfId="5187" xr:uid="{1DC81B78-C9E8-46AA-A63B-A44A2DFE3258}"/>
    <cellStyle name="Normal 4 7 6 2 2" xfId="9405" xr:uid="{5590DA3B-8C43-4A67-ABE3-F761576AFE9D}"/>
    <cellStyle name="Normal 4 7 6 3" xfId="7260" xr:uid="{F9F3DB50-5E0E-4E76-B3FC-727D19009ACC}"/>
    <cellStyle name="Normal 4 7 7" xfId="3394" xr:uid="{5CF5FFB8-651B-4C53-9010-98B78CC8B3B2}"/>
    <cellStyle name="Normal 4 7 7 2" xfId="7673" xr:uid="{F0F088E6-CB07-4AC0-AC79-998E1C55FC60}"/>
    <cellStyle name="Normal 4 7 8" xfId="5608" xr:uid="{53DE7F66-00A6-4180-B218-0EA4E3159376}"/>
    <cellStyle name="Normal 4 7 9" xfId="1304" xr:uid="{B4728288-31B0-455A-B303-B6CCF5E4B8FB}"/>
    <cellStyle name="Normal 4 8" xfId="408" xr:uid="{00000000-0005-0000-0000-0000D0020000}"/>
    <cellStyle name="Normal 4 8 2" xfId="887" xr:uid="{00000000-0005-0000-0000-0000D1020000}"/>
    <cellStyle name="Normal 4 8 2 2" xfId="3950" xr:uid="{E931CD6D-A388-41F7-9716-32F61F4887E4}"/>
    <cellStyle name="Normal 4 8 2 2 2" xfId="8168" xr:uid="{90477F3C-28AF-48E4-BBC2-845628B0E73C}"/>
    <cellStyle name="Normal 4 8 2 3" xfId="6023" xr:uid="{381C8F81-2BEC-42DF-A06E-65E6AC041625}"/>
    <cellStyle name="Normal 4 8 2 4" xfId="1721" xr:uid="{61A83502-C82E-4FC3-BA2C-2FA5137AE4E6}"/>
    <cellStyle name="Normal 4 8 3" xfId="2134" xr:uid="{7BDA2BC6-BC32-4A36-AD14-451026383144}"/>
    <cellStyle name="Normal 4 8 3 2" xfId="4363" xr:uid="{92317EBE-D476-4602-8DE2-8BCB529501CB}"/>
    <cellStyle name="Normal 4 8 3 2 2" xfId="8581" xr:uid="{A25532E8-0C33-4246-83A6-41186580011B}"/>
    <cellStyle name="Normal 4 8 3 3" xfId="6436" xr:uid="{98F1A8CE-C5D8-4B89-9D8B-2109ACBA3665}"/>
    <cellStyle name="Normal 4 8 4" xfId="2547" xr:uid="{5BC53BA0-34C5-4069-B715-CFDD6ED330E8}"/>
    <cellStyle name="Normal 4 8 4 2" xfId="4776" xr:uid="{8F4C1F17-AA79-4105-A656-037A245B87F1}"/>
    <cellStyle name="Normal 4 8 4 2 2" xfId="8994" xr:uid="{DEE71848-5BE8-42AE-A51B-98D55CDB8D79}"/>
    <cellStyle name="Normal 4 8 4 3" xfId="6849" xr:uid="{3F202A6E-7B97-42EB-BF7C-3D9C6C7E5577}"/>
    <cellStyle name="Normal 4 8 5" xfId="2960" xr:uid="{BF0EFB65-1C95-4626-BE64-397745943EAA}"/>
    <cellStyle name="Normal 4 8 5 2" xfId="5189" xr:uid="{7BDDD18A-F37E-44D1-AA6A-2F58CC9EBD0C}"/>
    <cellStyle name="Normal 4 8 5 2 2" xfId="9407" xr:uid="{3D11C962-937A-4F1D-8705-B2E91E0EDF4C}"/>
    <cellStyle name="Normal 4 8 5 3" xfId="7262" xr:uid="{91B4003E-EAE6-4F93-8608-3C1320CBAE79}"/>
    <cellStyle name="Normal 4 8 6" xfId="3396" xr:uid="{F75C1338-3C55-4CF3-8F04-C1AB90552128}"/>
    <cellStyle name="Normal 4 8 6 2" xfId="7675" xr:uid="{68041704-EF94-4F37-A5EC-AEE32FAF5745}"/>
    <cellStyle name="Normal 4 8 7" xfId="5610" xr:uid="{F11ECEDE-8B1C-4FD7-A97B-4B3CAC419609}"/>
    <cellStyle name="Normal 4 8 8" xfId="1306" xr:uid="{FEE49523-66B8-419E-947D-0D3C72B55A87}"/>
    <cellStyle name="Normal 4 9" xfId="5547" xr:uid="{3F9F4C9D-C72E-4EBE-BF66-8F0F284586F8}"/>
    <cellStyle name="Normal 5" xfId="409" xr:uid="{00000000-0005-0000-0000-0000D2020000}"/>
    <cellStyle name="Normal 5 10" xfId="2548" xr:uid="{679AAFAA-42E5-41C6-A4E0-0AC3C64FF183}"/>
    <cellStyle name="Normal 5 10 2" xfId="4777" xr:uid="{E5B5BA0A-F703-431F-927F-220C57D14D8C}"/>
    <cellStyle name="Normal 5 10 2 2" xfId="8995" xr:uid="{CE637AB0-C6FA-4394-89F9-DD6AD325DF10}"/>
    <cellStyle name="Normal 5 10 3" xfId="6850" xr:uid="{68296454-524B-452E-A974-29E5C51561C1}"/>
    <cellStyle name="Normal 5 11" xfId="2961" xr:uid="{EE2FF788-39EF-4C53-B0D4-C44E923EB411}"/>
    <cellStyle name="Normal 5 11 2" xfId="5190" xr:uid="{21AB700B-0224-4E87-88B2-3B6A7772F9BA}"/>
    <cellStyle name="Normal 5 11 2 2" xfId="9408" xr:uid="{FA275444-E486-42F1-9076-62B6CD9A9DD0}"/>
    <cellStyle name="Normal 5 11 3" xfId="7263" xr:uid="{09F3B6AA-3B8D-47A6-B114-09C166EEF5E8}"/>
    <cellStyle name="Normal 5 12" xfId="3397" xr:uid="{3481D5A1-95E9-4BEA-9829-1E0E4D05B226}"/>
    <cellStyle name="Normal 5 12 2" xfId="7676" xr:uid="{3E8C96C5-DBE8-42C1-8B76-C11D90F4A1C2}"/>
    <cellStyle name="Normal 5 13" xfId="5611" xr:uid="{4D2CBA9D-FD40-4C0D-8D8F-5476B5DC4402}"/>
    <cellStyle name="Normal 5 14" xfId="1307" xr:uid="{971E53F7-C168-4C87-AF01-D1E5C568DC45}"/>
    <cellStyle name="Normal 5 2" xfId="410" xr:uid="{00000000-0005-0000-0000-0000D3020000}"/>
    <cellStyle name="Normal 5 2 10" xfId="2962" xr:uid="{0B7F6E48-5467-416B-B70D-8210528E9312}"/>
    <cellStyle name="Normal 5 2 10 2" xfId="5191" xr:uid="{561876FA-D272-4FBB-B79C-3E8AA8F50103}"/>
    <cellStyle name="Normal 5 2 10 2 2" xfId="9409" xr:uid="{BC8143BC-9163-451C-8DB7-BFD81FA00AD6}"/>
    <cellStyle name="Normal 5 2 10 3" xfId="7264" xr:uid="{8483AA0D-C121-403B-8630-CDF14207C3FB}"/>
    <cellStyle name="Normal 5 2 11" xfId="3398" xr:uid="{60765CBC-F6C9-41F0-B6E9-1FEA31AD0B24}"/>
    <cellStyle name="Normal 5 2 11 2" xfId="7677" xr:uid="{30B7B8CD-4D3C-4765-B1C1-F7A11381AD4C}"/>
    <cellStyle name="Normal 5 2 12" xfId="5612" xr:uid="{62FD0AC4-7BD5-46EE-8C27-DE1C22703598}"/>
    <cellStyle name="Normal 5 2 13" xfId="1308" xr:uid="{652876DE-A480-4E22-BC66-1952FA3BB52C}"/>
    <cellStyle name="Normal 5 2 2" xfId="411" xr:uid="{00000000-0005-0000-0000-0000D4020000}"/>
    <cellStyle name="Normal 5 2 2 10" xfId="3399" xr:uid="{0F2B68D5-E750-4A3D-B5B6-127869A9D87C}"/>
    <cellStyle name="Normal 5 2 2 10 2" xfId="7678" xr:uid="{A2C8727C-8CC6-463A-BAE9-F2828FD75687}"/>
    <cellStyle name="Normal 5 2 2 11" xfId="5613" xr:uid="{BCAD71F0-DF2B-41FE-9405-7DE36BA86C16}"/>
    <cellStyle name="Normal 5 2 2 12" xfId="1309" xr:uid="{60E154EE-3211-4537-A7CB-8F817B33C5D1}"/>
    <cellStyle name="Normal 5 2 2 2" xfId="412" xr:uid="{00000000-0005-0000-0000-0000D5020000}"/>
    <cellStyle name="Normal 5 2 2 2 10" xfId="5614" xr:uid="{DDB8624D-4EEC-4F44-A4EE-41894B16215E}"/>
    <cellStyle name="Normal 5 2 2 2 11" xfId="1310" xr:uid="{7F53D319-E467-4EF1-ACB5-573BDE3EA1A2}"/>
    <cellStyle name="Normal 5 2 2 2 2" xfId="413" xr:uid="{00000000-0005-0000-0000-0000D6020000}"/>
    <cellStyle name="Normal 5 2 2 2 2 10" xfId="1311" xr:uid="{09CFC42A-7637-40BA-9BFB-B04C2D687A9A}"/>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3957" xr:uid="{E65D324A-A1D0-41E0-8A00-D549E4B93324}"/>
    <cellStyle name="Normal 5 2 2 2 2 2 2 2 2 2" xfId="8175" xr:uid="{0F865373-2FD8-4C32-9244-715413AEE62F}"/>
    <cellStyle name="Normal 5 2 2 2 2 2 2 2 3" xfId="6030" xr:uid="{181D13A5-6602-49AE-9163-B6F5E78CC825}"/>
    <cellStyle name="Normal 5 2 2 2 2 2 2 2 4" xfId="1728" xr:uid="{0D7908FB-23A3-4A04-A994-5FCEBC58955C}"/>
    <cellStyle name="Normal 5 2 2 2 2 2 2 3" xfId="2141" xr:uid="{7BE62287-E9A6-42A6-B26E-ED7687DEC331}"/>
    <cellStyle name="Normal 5 2 2 2 2 2 2 3 2" xfId="4370" xr:uid="{5100031A-1648-41AA-84D6-69B5625DE220}"/>
    <cellStyle name="Normal 5 2 2 2 2 2 2 3 2 2" xfId="8588" xr:uid="{096441E0-4CAF-493A-BB36-D90DAD19ADC3}"/>
    <cellStyle name="Normal 5 2 2 2 2 2 2 3 3" xfId="6443" xr:uid="{D61D273C-D3C1-4673-AFA2-FFA02850AB5D}"/>
    <cellStyle name="Normal 5 2 2 2 2 2 2 4" xfId="2554" xr:uid="{F6AFCA8E-7A46-4E70-AF13-707449F8D741}"/>
    <cellStyle name="Normal 5 2 2 2 2 2 2 4 2" xfId="4783" xr:uid="{FB11B637-EBCD-4CC2-BA64-7A17B2F1F671}"/>
    <cellStyle name="Normal 5 2 2 2 2 2 2 4 2 2" xfId="9001" xr:uid="{D601757F-7846-4692-AF2B-57E3E7060B5A}"/>
    <cellStyle name="Normal 5 2 2 2 2 2 2 4 3" xfId="6856" xr:uid="{9D269241-01ED-4B51-8753-A41FF48327A4}"/>
    <cellStyle name="Normal 5 2 2 2 2 2 2 5" xfId="2967" xr:uid="{81B3AF00-6ACE-4034-9097-B475836D3848}"/>
    <cellStyle name="Normal 5 2 2 2 2 2 2 5 2" xfId="5196" xr:uid="{036A5E51-437F-4B9D-A94C-1A7196355D4D}"/>
    <cellStyle name="Normal 5 2 2 2 2 2 2 5 2 2" xfId="9414" xr:uid="{42843CBF-FDEC-4ED4-8511-8D37901CC547}"/>
    <cellStyle name="Normal 5 2 2 2 2 2 2 5 3" xfId="7269" xr:uid="{D3BD2AFB-D7A5-4C97-8C24-9EB67DEA96D8}"/>
    <cellStyle name="Normal 5 2 2 2 2 2 2 6" xfId="3403" xr:uid="{6877E2A5-B6A8-4383-99A5-5CB29E534C90}"/>
    <cellStyle name="Normal 5 2 2 2 2 2 2 6 2" xfId="7682" xr:uid="{34C2E1B9-F7DC-400E-BFFE-35E2D921FEE1}"/>
    <cellStyle name="Normal 5 2 2 2 2 2 2 7" xfId="5617" xr:uid="{E9BB3BD4-B368-4B35-8303-E8D1B0A586C3}"/>
    <cellStyle name="Normal 5 2 2 2 2 2 2 8" xfId="1313" xr:uid="{BCD7C781-F6A3-466D-9943-30734FF0E48B}"/>
    <cellStyle name="Normal 5 2 2 2 2 2 3" xfId="893" xr:uid="{00000000-0005-0000-0000-0000DA020000}"/>
    <cellStyle name="Normal 5 2 2 2 2 2 3 2" xfId="3956" xr:uid="{E0498A29-DA6C-496B-8B56-8083B7E5EC65}"/>
    <cellStyle name="Normal 5 2 2 2 2 2 3 2 2" xfId="8174" xr:uid="{D4D4310C-C391-48F3-AA47-9D06B136251C}"/>
    <cellStyle name="Normal 5 2 2 2 2 2 3 3" xfId="6029" xr:uid="{18D3C1E9-08AB-4AD1-9836-D5E9BE9FE498}"/>
    <cellStyle name="Normal 5 2 2 2 2 2 3 4" xfId="1727" xr:uid="{EEE88E53-E1CE-46B5-BC9C-471F8E220EA0}"/>
    <cellStyle name="Normal 5 2 2 2 2 2 4" xfId="2140" xr:uid="{28D54782-C26D-4B45-9606-33A1C39706DA}"/>
    <cellStyle name="Normal 5 2 2 2 2 2 4 2" xfId="4369" xr:uid="{4320775D-0AE6-4104-A269-401B866AF0F7}"/>
    <cellStyle name="Normal 5 2 2 2 2 2 4 2 2" xfId="8587" xr:uid="{55A474A2-BA70-4DC4-9390-158CD1358F74}"/>
    <cellStyle name="Normal 5 2 2 2 2 2 4 3" xfId="6442" xr:uid="{C33ADEED-4C21-45F6-AD65-0D941105AE85}"/>
    <cellStyle name="Normal 5 2 2 2 2 2 5" xfId="2553" xr:uid="{DE2D6C92-FFE5-4CF2-8256-30963956BA73}"/>
    <cellStyle name="Normal 5 2 2 2 2 2 5 2" xfId="4782" xr:uid="{F52A9631-5B31-43EE-9D80-1D2D94EB4041}"/>
    <cellStyle name="Normal 5 2 2 2 2 2 5 2 2" xfId="9000" xr:uid="{2892A4B3-5E68-4E89-9572-3CCC021DD121}"/>
    <cellStyle name="Normal 5 2 2 2 2 2 5 3" xfId="6855" xr:uid="{A4EEE920-B027-4B7F-84E2-964B03578F60}"/>
    <cellStyle name="Normal 5 2 2 2 2 2 6" xfId="2966" xr:uid="{870CE67D-11C4-4417-9F96-6AF4257A3D74}"/>
    <cellStyle name="Normal 5 2 2 2 2 2 6 2" xfId="5195" xr:uid="{718C7A02-F7AC-40CF-BD00-C85C468C5016}"/>
    <cellStyle name="Normal 5 2 2 2 2 2 6 2 2" xfId="9413" xr:uid="{B1E3E663-9C21-4BC2-8CE9-7CC861D5495B}"/>
    <cellStyle name="Normal 5 2 2 2 2 2 6 3" xfId="7268" xr:uid="{0BB08388-A917-45B7-91D2-EC6BE3E62A2B}"/>
    <cellStyle name="Normal 5 2 2 2 2 2 7" xfId="3402" xr:uid="{75113B94-2047-487F-A1FC-A8B003073E6F}"/>
    <cellStyle name="Normal 5 2 2 2 2 2 7 2" xfId="7681" xr:uid="{0F2DA1E4-D1E3-4455-A5A1-3B030C07E3F9}"/>
    <cellStyle name="Normal 5 2 2 2 2 2 8" xfId="5616" xr:uid="{4D517AEA-DF5E-47A5-B70C-649FD6BF851C}"/>
    <cellStyle name="Normal 5 2 2 2 2 2 9" xfId="1312" xr:uid="{BA6E567C-BADD-4F67-86F1-0CE994AAB91C}"/>
    <cellStyle name="Normal 5 2 2 2 2 3" xfId="416" xr:uid="{00000000-0005-0000-0000-0000DB020000}"/>
    <cellStyle name="Normal 5 2 2 2 2 3 2" xfId="895" xr:uid="{00000000-0005-0000-0000-0000DC020000}"/>
    <cellStyle name="Normal 5 2 2 2 2 3 2 2" xfId="3958" xr:uid="{EA486C0A-DD00-45AC-849A-4F333CBEAD76}"/>
    <cellStyle name="Normal 5 2 2 2 2 3 2 2 2" xfId="8176" xr:uid="{157A7174-33CE-4C93-8581-C7FD4BFA5218}"/>
    <cellStyle name="Normal 5 2 2 2 2 3 2 3" xfId="6031" xr:uid="{9CC12424-3D25-4E4B-8187-E099AAEA69D0}"/>
    <cellStyle name="Normal 5 2 2 2 2 3 2 4" xfId="1729" xr:uid="{5E059B68-55FA-494F-B529-0835FECDE5C1}"/>
    <cellStyle name="Normal 5 2 2 2 2 3 3" xfId="2142" xr:uid="{ED8A051F-9D25-4BD0-955C-4410FE119615}"/>
    <cellStyle name="Normal 5 2 2 2 2 3 3 2" xfId="4371" xr:uid="{9D0AD3E7-6BCD-4756-AC13-9FBD37510762}"/>
    <cellStyle name="Normal 5 2 2 2 2 3 3 2 2" xfId="8589" xr:uid="{34FAF170-85D9-404F-9D14-6F2392A09E7A}"/>
    <cellStyle name="Normal 5 2 2 2 2 3 3 3" xfId="6444" xr:uid="{2ADF8CFF-5C4F-4C26-87B7-B7707E4F5444}"/>
    <cellStyle name="Normal 5 2 2 2 2 3 4" xfId="2555" xr:uid="{7CB584B4-F94C-4F49-A89B-3C4365C00BFE}"/>
    <cellStyle name="Normal 5 2 2 2 2 3 4 2" xfId="4784" xr:uid="{4F996909-586F-47FA-9274-BB7946812F22}"/>
    <cellStyle name="Normal 5 2 2 2 2 3 4 2 2" xfId="9002" xr:uid="{1841E340-6488-489F-A4FA-A0D5E8EB45E6}"/>
    <cellStyle name="Normal 5 2 2 2 2 3 4 3" xfId="6857" xr:uid="{4A1CAF33-6BAA-4D5E-9DBF-FD3902132A18}"/>
    <cellStyle name="Normal 5 2 2 2 2 3 5" xfId="2968" xr:uid="{69F3BFDA-AD18-40E3-8731-8017F5625C94}"/>
    <cellStyle name="Normal 5 2 2 2 2 3 5 2" xfId="5197" xr:uid="{7F8F4CCF-58AD-4003-ADB7-7219E81E5212}"/>
    <cellStyle name="Normal 5 2 2 2 2 3 5 2 2" xfId="9415" xr:uid="{AF6D8A65-D028-4158-BBC7-2CF9D3824C03}"/>
    <cellStyle name="Normal 5 2 2 2 2 3 5 3" xfId="7270" xr:uid="{7AFC0DE7-DDBE-4F43-82D6-84CE29A173B0}"/>
    <cellStyle name="Normal 5 2 2 2 2 3 6" xfId="3404" xr:uid="{6B5F87F8-275D-4AE4-A488-7B30D87D66FC}"/>
    <cellStyle name="Normal 5 2 2 2 2 3 6 2" xfId="7683" xr:uid="{DCD77347-020A-459B-85AD-37A992F719CB}"/>
    <cellStyle name="Normal 5 2 2 2 2 3 7" xfId="5618" xr:uid="{79C319E9-5DC0-4FE4-9276-8E11B893A54D}"/>
    <cellStyle name="Normal 5 2 2 2 2 3 8" xfId="1314" xr:uid="{E5B3F055-55CA-4AE3-A8F6-3AF131EB80A2}"/>
    <cellStyle name="Normal 5 2 2 2 2 4" xfId="892" xr:uid="{00000000-0005-0000-0000-0000DD020000}"/>
    <cellStyle name="Normal 5 2 2 2 2 4 2" xfId="3955" xr:uid="{F3EEE1DF-6026-4CF1-91FD-FE2B182F9857}"/>
    <cellStyle name="Normal 5 2 2 2 2 4 2 2" xfId="8173" xr:uid="{938059B2-2CC8-4396-BD03-E7036A508AA0}"/>
    <cellStyle name="Normal 5 2 2 2 2 4 3" xfId="6028" xr:uid="{CAE5FDEE-78E9-4726-ADDC-8421D9C5E904}"/>
    <cellStyle name="Normal 5 2 2 2 2 4 4" xfId="1726" xr:uid="{75AC5410-C2DE-4057-B3A2-312BD9172B01}"/>
    <cellStyle name="Normal 5 2 2 2 2 5" xfId="2139" xr:uid="{27B8AE6D-FC2E-48DF-9459-703B21781082}"/>
    <cellStyle name="Normal 5 2 2 2 2 5 2" xfId="4368" xr:uid="{0C151417-A003-40C7-B7DA-C79117C21521}"/>
    <cellStyle name="Normal 5 2 2 2 2 5 2 2" xfId="8586" xr:uid="{FA319F7D-52F0-4D38-A852-21A2AEDC1527}"/>
    <cellStyle name="Normal 5 2 2 2 2 5 3" xfId="6441" xr:uid="{90019D2B-9C4D-45EB-8DB6-36EE893C7629}"/>
    <cellStyle name="Normal 5 2 2 2 2 6" xfId="2552" xr:uid="{8ADBE152-7917-438E-93E6-26043AC0F18E}"/>
    <cellStyle name="Normal 5 2 2 2 2 6 2" xfId="4781" xr:uid="{AE1F186B-6044-4EA9-A56F-EAC0A7D3AF9B}"/>
    <cellStyle name="Normal 5 2 2 2 2 6 2 2" xfId="8999" xr:uid="{E76234E8-EFDE-44D2-A336-9B3CAF31BC0E}"/>
    <cellStyle name="Normal 5 2 2 2 2 6 3" xfId="6854" xr:uid="{62FA55F2-3975-4E16-A4DA-1B25E847EE0B}"/>
    <cellStyle name="Normal 5 2 2 2 2 7" xfId="2965" xr:uid="{24FABC39-4E79-4DFF-9362-25FEC416D1EB}"/>
    <cellStyle name="Normal 5 2 2 2 2 7 2" xfId="5194" xr:uid="{F3076736-9122-45BD-B3BB-F3E353A4A3E7}"/>
    <cellStyle name="Normal 5 2 2 2 2 7 2 2" xfId="9412" xr:uid="{080132D9-7B4E-4558-8CFA-D49B7AE56732}"/>
    <cellStyle name="Normal 5 2 2 2 2 7 3" xfId="7267" xr:uid="{3ADACC46-E840-4E88-96EF-FCA1D7D18FFB}"/>
    <cellStyle name="Normal 5 2 2 2 2 8" xfId="3401" xr:uid="{23C5D51E-DE92-4F90-AB15-FBDFBAE0FAC8}"/>
    <cellStyle name="Normal 5 2 2 2 2 8 2" xfId="7680" xr:uid="{9AE4841F-3EFF-463D-A813-87E905216167}"/>
    <cellStyle name="Normal 5 2 2 2 2 9" xfId="5615" xr:uid="{9BF70CC1-E5F2-4C7D-BE91-382A7C6A02C2}"/>
    <cellStyle name="Normal 5 2 2 2 3" xfId="417" xr:uid="{00000000-0005-0000-0000-0000DE020000}"/>
    <cellStyle name="Normal 5 2 2 2 3 2" xfId="418" xr:uid="{00000000-0005-0000-0000-0000DF020000}"/>
    <cellStyle name="Normal 5 2 2 2 3 2 2" xfId="897" xr:uid="{00000000-0005-0000-0000-0000E0020000}"/>
    <cellStyle name="Normal 5 2 2 2 3 2 2 2" xfId="3960" xr:uid="{1F3C1ADC-FB65-4AA2-AE81-7609741827A3}"/>
    <cellStyle name="Normal 5 2 2 2 3 2 2 2 2" xfId="8178" xr:uid="{2ED30EB0-C24E-49D1-B254-1AFBF10F576A}"/>
    <cellStyle name="Normal 5 2 2 2 3 2 2 3" xfId="6033" xr:uid="{6B49D7B1-417A-41CE-9992-AFC0B1C41589}"/>
    <cellStyle name="Normal 5 2 2 2 3 2 2 4" xfId="1731" xr:uid="{7B4D56BB-7497-4406-868D-AAC4C5881BF3}"/>
    <cellStyle name="Normal 5 2 2 2 3 2 3" xfId="2144" xr:uid="{D1ED1072-84EA-48BA-BFC5-C2F5A7CA6907}"/>
    <cellStyle name="Normal 5 2 2 2 3 2 3 2" xfId="4373" xr:uid="{86B5F0E6-AD9E-485F-A6C8-BA2899DC46EE}"/>
    <cellStyle name="Normal 5 2 2 2 3 2 3 2 2" xfId="8591" xr:uid="{C129F24A-3C62-44B7-9129-9FEEE9CB26C1}"/>
    <cellStyle name="Normal 5 2 2 2 3 2 3 3" xfId="6446" xr:uid="{92DDF4A1-E1C9-46EB-B27B-29D8B148F116}"/>
    <cellStyle name="Normal 5 2 2 2 3 2 4" xfId="2557" xr:uid="{D4D2EABE-EE01-4464-B8BF-B87C51DDB396}"/>
    <cellStyle name="Normal 5 2 2 2 3 2 4 2" xfId="4786" xr:uid="{2F20B852-8D6D-4096-AF32-108F3F458C63}"/>
    <cellStyle name="Normal 5 2 2 2 3 2 4 2 2" xfId="9004" xr:uid="{650FD9A9-12D1-4D5D-BD12-BBB8EFA867C6}"/>
    <cellStyle name="Normal 5 2 2 2 3 2 4 3" xfId="6859" xr:uid="{A38AEF24-5CD3-4FB0-AFD2-433AAB252396}"/>
    <cellStyle name="Normal 5 2 2 2 3 2 5" xfId="2970" xr:uid="{7D4DC733-34E4-49AD-9318-30393A4E87FD}"/>
    <cellStyle name="Normal 5 2 2 2 3 2 5 2" xfId="5199" xr:uid="{3199B104-C6DC-49D7-B445-9A34CE447B57}"/>
    <cellStyle name="Normal 5 2 2 2 3 2 5 2 2" xfId="9417" xr:uid="{BD5153BB-613E-4DAF-8EFA-2E3F8BA7E88C}"/>
    <cellStyle name="Normal 5 2 2 2 3 2 5 3" xfId="7272" xr:uid="{0BC1C905-B93D-42E9-B38C-595E13844C21}"/>
    <cellStyle name="Normal 5 2 2 2 3 2 6" xfId="3406" xr:uid="{7C683690-A900-419D-8D0F-2C73E40A6A53}"/>
    <cellStyle name="Normal 5 2 2 2 3 2 6 2" xfId="7685" xr:uid="{C605A6FA-1F91-4087-A5A0-2DF92F4066F1}"/>
    <cellStyle name="Normal 5 2 2 2 3 2 7" xfId="5620" xr:uid="{2008AECE-F68D-4AE9-8278-859F99BC0168}"/>
    <cellStyle name="Normal 5 2 2 2 3 2 8" xfId="1316" xr:uid="{D356EF64-3A25-48EB-9DA7-FBA1FA166B84}"/>
    <cellStyle name="Normal 5 2 2 2 3 3" xfId="896" xr:uid="{00000000-0005-0000-0000-0000E1020000}"/>
    <cellStyle name="Normal 5 2 2 2 3 3 2" xfId="3959" xr:uid="{5F6B3FD7-39DC-45E5-AA74-1AC5B40E1EA1}"/>
    <cellStyle name="Normal 5 2 2 2 3 3 2 2" xfId="8177" xr:uid="{B651366B-2D9F-4189-9BB4-E3E06945C5E7}"/>
    <cellStyle name="Normal 5 2 2 2 3 3 3" xfId="6032" xr:uid="{2343309B-A132-43E7-9101-2D5C15D638A8}"/>
    <cellStyle name="Normal 5 2 2 2 3 3 4" xfId="1730" xr:uid="{EF5F372F-25B8-4FFB-B6C1-8639618C8994}"/>
    <cellStyle name="Normal 5 2 2 2 3 4" xfId="2143" xr:uid="{58C6CC77-D141-486E-A114-D17728DC52F7}"/>
    <cellStyle name="Normal 5 2 2 2 3 4 2" xfId="4372" xr:uid="{D115A85C-55B6-4DAF-9A0D-FEEE6F248EA5}"/>
    <cellStyle name="Normal 5 2 2 2 3 4 2 2" xfId="8590" xr:uid="{8B759F8C-6973-4C38-B6C7-0F25676D5C21}"/>
    <cellStyle name="Normal 5 2 2 2 3 4 3" xfId="6445" xr:uid="{3D3DE69A-6C41-4B0D-A80E-0D107BC21918}"/>
    <cellStyle name="Normal 5 2 2 2 3 5" xfId="2556" xr:uid="{A91FE2A9-C802-48CC-B9EB-A093180F73ED}"/>
    <cellStyle name="Normal 5 2 2 2 3 5 2" xfId="4785" xr:uid="{BB916B5E-1F8C-496B-9373-9F1F5782E0E1}"/>
    <cellStyle name="Normal 5 2 2 2 3 5 2 2" xfId="9003" xr:uid="{66DAFE7C-F904-4128-8D99-BDEDEF994ACE}"/>
    <cellStyle name="Normal 5 2 2 2 3 5 3" xfId="6858" xr:uid="{22CA8EF3-42C1-43CC-BC8C-A4A9B4A57C69}"/>
    <cellStyle name="Normal 5 2 2 2 3 6" xfId="2969" xr:uid="{80971A3E-A424-4063-A6C7-F10BAAE30401}"/>
    <cellStyle name="Normal 5 2 2 2 3 6 2" xfId="5198" xr:uid="{A98BA4E0-36C3-42F7-A6D4-C3EB88C2A2E5}"/>
    <cellStyle name="Normal 5 2 2 2 3 6 2 2" xfId="9416" xr:uid="{1D02058E-6F3F-48DD-BB74-639388A15000}"/>
    <cellStyle name="Normal 5 2 2 2 3 6 3" xfId="7271" xr:uid="{F81E1A81-81BE-475C-A99C-2E245DD202B6}"/>
    <cellStyle name="Normal 5 2 2 2 3 7" xfId="3405" xr:uid="{0566089D-5053-48B3-851E-DF63F7532A19}"/>
    <cellStyle name="Normal 5 2 2 2 3 7 2" xfId="7684" xr:uid="{3BB0CD3A-FAF5-426B-A54A-E36B9691D82D}"/>
    <cellStyle name="Normal 5 2 2 2 3 8" xfId="5619" xr:uid="{98D4BFC0-8E71-4ED9-9056-A623ACB19B47}"/>
    <cellStyle name="Normal 5 2 2 2 3 9" xfId="1315" xr:uid="{84692DE5-A2B5-4F7A-8928-E315A7CE6A00}"/>
    <cellStyle name="Normal 5 2 2 2 4" xfId="419" xr:uid="{00000000-0005-0000-0000-0000E2020000}"/>
    <cellStyle name="Normal 5 2 2 2 4 2" xfId="898" xr:uid="{00000000-0005-0000-0000-0000E3020000}"/>
    <cellStyle name="Normal 5 2 2 2 4 2 2" xfId="3961" xr:uid="{9772A169-7AA6-4CA4-9845-0DDCD818B388}"/>
    <cellStyle name="Normal 5 2 2 2 4 2 2 2" xfId="8179" xr:uid="{03836F67-A1AA-4E96-AC6A-0AD7B1EE188E}"/>
    <cellStyle name="Normal 5 2 2 2 4 2 3" xfId="6034" xr:uid="{0303D575-2404-4117-AC7F-AFF60DF22473}"/>
    <cellStyle name="Normal 5 2 2 2 4 2 4" xfId="1732" xr:uid="{58A331BA-C850-483B-B279-DA67A13E860C}"/>
    <cellStyle name="Normal 5 2 2 2 4 3" xfId="2145" xr:uid="{100F778B-8740-435B-85BF-41D0C01F81E1}"/>
    <cellStyle name="Normal 5 2 2 2 4 3 2" xfId="4374" xr:uid="{A6B1C783-1CAF-4A47-B96F-65A0D7369A70}"/>
    <cellStyle name="Normal 5 2 2 2 4 3 2 2" xfId="8592" xr:uid="{DEEE2259-96BF-4127-B5E7-EDD3E8A78128}"/>
    <cellStyle name="Normal 5 2 2 2 4 3 3" xfId="6447" xr:uid="{174329B0-4CCC-4DB7-A202-18F64334FB10}"/>
    <cellStyle name="Normal 5 2 2 2 4 4" xfId="2558" xr:uid="{80E2E0FB-FAF6-4811-A39B-B12477712620}"/>
    <cellStyle name="Normal 5 2 2 2 4 4 2" xfId="4787" xr:uid="{216525D6-28EB-42E9-ABBF-43BBB7F0EB97}"/>
    <cellStyle name="Normal 5 2 2 2 4 4 2 2" xfId="9005" xr:uid="{4D38C957-1AE2-4D09-A8EC-27904DDD91C9}"/>
    <cellStyle name="Normal 5 2 2 2 4 4 3" xfId="6860" xr:uid="{EEDD4E10-08C3-4860-99FD-D0681EFED233}"/>
    <cellStyle name="Normal 5 2 2 2 4 5" xfId="2971" xr:uid="{6E9A2855-7C85-427E-8418-586592BA7150}"/>
    <cellStyle name="Normal 5 2 2 2 4 5 2" xfId="5200" xr:uid="{7630C4BB-842C-4425-809A-80EE739EF15D}"/>
    <cellStyle name="Normal 5 2 2 2 4 5 2 2" xfId="9418" xr:uid="{F0CE8F4D-713E-4985-B51E-0A535738F5BC}"/>
    <cellStyle name="Normal 5 2 2 2 4 5 3" xfId="7273" xr:uid="{F7148A51-3DDD-4BA3-A948-9ED66E18CBCE}"/>
    <cellStyle name="Normal 5 2 2 2 4 6" xfId="3407" xr:uid="{BAFB48E1-4936-4BF9-A416-C6D32FA66B29}"/>
    <cellStyle name="Normal 5 2 2 2 4 6 2" xfId="7686" xr:uid="{F293E5FF-0B11-41C8-8F91-FDC3620D8E52}"/>
    <cellStyle name="Normal 5 2 2 2 4 7" xfId="5621" xr:uid="{99F2BFF5-92A3-4412-8C4C-F2D06ADA5641}"/>
    <cellStyle name="Normal 5 2 2 2 4 8" xfId="1317" xr:uid="{6052A7F2-866F-48E5-8FC7-9B20C67BBB0B}"/>
    <cellStyle name="Normal 5 2 2 2 5" xfId="891" xr:uid="{00000000-0005-0000-0000-0000E4020000}"/>
    <cellStyle name="Normal 5 2 2 2 5 2" xfId="3954" xr:uid="{250FD10B-3391-4B3F-A3F8-D43473AF0F87}"/>
    <cellStyle name="Normal 5 2 2 2 5 2 2" xfId="8172" xr:uid="{C5EF74F8-17D5-49AD-B851-895DA9FF8249}"/>
    <cellStyle name="Normal 5 2 2 2 5 3" xfId="6027" xr:uid="{726D748C-60A2-455C-AA55-FB887FBB0E09}"/>
    <cellStyle name="Normal 5 2 2 2 5 4" xfId="1725" xr:uid="{A3F933FD-37D4-418C-95D7-77883C1A2651}"/>
    <cellStyle name="Normal 5 2 2 2 6" xfId="2138" xr:uid="{DD8567EF-0EFD-48C2-B9C5-3C8587039237}"/>
    <cellStyle name="Normal 5 2 2 2 6 2" xfId="4367" xr:uid="{33567FE3-BAE3-4659-96C3-96C9DF0813FA}"/>
    <cellStyle name="Normal 5 2 2 2 6 2 2" xfId="8585" xr:uid="{1A8644E8-3DF2-4251-BD94-A6804BA56FF4}"/>
    <cellStyle name="Normal 5 2 2 2 6 3" xfId="6440" xr:uid="{5CF266E8-E8B9-4D57-9F49-DDC6FDCF43CA}"/>
    <cellStyle name="Normal 5 2 2 2 7" xfId="2551" xr:uid="{E7F32490-B854-4283-88C1-BFA8521A2E0C}"/>
    <cellStyle name="Normal 5 2 2 2 7 2" xfId="4780" xr:uid="{BAA8FF3E-96B8-400F-98BF-27791D2A2F70}"/>
    <cellStyle name="Normal 5 2 2 2 7 2 2" xfId="8998" xr:uid="{FC787120-050F-492E-A3DE-E413F1A12039}"/>
    <cellStyle name="Normal 5 2 2 2 7 3" xfId="6853" xr:uid="{94B5BF0E-4AF6-420B-A51F-386A1718FDD2}"/>
    <cellStyle name="Normal 5 2 2 2 8" xfId="2964" xr:uid="{5187ADF4-1CC0-4415-9A09-65F5617AA569}"/>
    <cellStyle name="Normal 5 2 2 2 8 2" xfId="5193" xr:uid="{76D16A8C-0253-4E86-8A31-3609433D34DE}"/>
    <cellStyle name="Normal 5 2 2 2 8 2 2" xfId="9411" xr:uid="{F0FB98A4-9545-40DA-9C9A-E9732A3EA942}"/>
    <cellStyle name="Normal 5 2 2 2 8 3" xfId="7266" xr:uid="{C6411647-3FCA-4BC4-BD13-37E2E53D1773}"/>
    <cellStyle name="Normal 5 2 2 2 9" xfId="3400" xr:uid="{BA6AD872-6F35-4EB3-BD8B-6AEE58FCCCDE}"/>
    <cellStyle name="Normal 5 2 2 2 9 2" xfId="7679" xr:uid="{24A6C4E3-1DE1-4D70-912F-2A010BC09658}"/>
    <cellStyle name="Normal 5 2 2 3" xfId="420" xr:uid="{00000000-0005-0000-0000-0000E5020000}"/>
    <cellStyle name="Normal 5 2 2 3 10" xfId="1318" xr:uid="{6F60440B-E6E6-495D-9F3F-6B75FAC41E4E}"/>
    <cellStyle name="Normal 5 2 2 3 2" xfId="421" xr:uid="{00000000-0005-0000-0000-0000E6020000}"/>
    <cellStyle name="Normal 5 2 2 3 2 2" xfId="422" xr:uid="{00000000-0005-0000-0000-0000E7020000}"/>
    <cellStyle name="Normal 5 2 2 3 2 2 2" xfId="901" xr:uid="{00000000-0005-0000-0000-0000E8020000}"/>
    <cellStyle name="Normal 5 2 2 3 2 2 2 2" xfId="3964" xr:uid="{6DD0E8E9-2530-40EE-B210-03BC2B0462DC}"/>
    <cellStyle name="Normal 5 2 2 3 2 2 2 2 2" xfId="8182" xr:uid="{8448B80B-945B-45C5-866A-A35196A50F95}"/>
    <cellStyle name="Normal 5 2 2 3 2 2 2 3" xfId="6037" xr:uid="{3A63EF99-5D06-4C86-833A-9B40161A880D}"/>
    <cellStyle name="Normal 5 2 2 3 2 2 2 4" xfId="1735" xr:uid="{0F49360C-A776-40F8-9E8A-80153C5BBB1E}"/>
    <cellStyle name="Normal 5 2 2 3 2 2 3" xfId="2148" xr:uid="{EDEB2CF3-F20E-4D49-B38F-B5E823D9D2C1}"/>
    <cellStyle name="Normal 5 2 2 3 2 2 3 2" xfId="4377" xr:uid="{C566F8BE-3788-4F08-91A3-488B3F6112FD}"/>
    <cellStyle name="Normal 5 2 2 3 2 2 3 2 2" xfId="8595" xr:uid="{5E1344C6-0EFD-4DB4-8EAA-37811FBE83C4}"/>
    <cellStyle name="Normal 5 2 2 3 2 2 3 3" xfId="6450" xr:uid="{14A94F04-AF2D-43A9-936A-C62DD421CE10}"/>
    <cellStyle name="Normal 5 2 2 3 2 2 4" xfId="2561" xr:uid="{151AC114-B752-45AA-9779-305C6445C757}"/>
    <cellStyle name="Normal 5 2 2 3 2 2 4 2" xfId="4790" xr:uid="{6BBF7201-7F88-4C07-BDD4-5A7E5973A192}"/>
    <cellStyle name="Normal 5 2 2 3 2 2 4 2 2" xfId="9008" xr:uid="{07350D81-5E80-49FF-B870-11C7B40FA1D0}"/>
    <cellStyle name="Normal 5 2 2 3 2 2 4 3" xfId="6863" xr:uid="{18894896-4A18-455E-89F0-E291D80B366C}"/>
    <cellStyle name="Normal 5 2 2 3 2 2 5" xfId="2974" xr:uid="{FE4D5A9B-EA4B-405F-AD39-A65731DB5A7B}"/>
    <cellStyle name="Normal 5 2 2 3 2 2 5 2" xfId="5203" xr:uid="{522A7A2B-2CE1-4844-B356-768199E21EEE}"/>
    <cellStyle name="Normal 5 2 2 3 2 2 5 2 2" xfId="9421" xr:uid="{92D77183-ECB4-4D4E-921B-BFA30D340019}"/>
    <cellStyle name="Normal 5 2 2 3 2 2 5 3" xfId="7276" xr:uid="{41C486CD-F808-4F39-8D39-C00365FD15DB}"/>
    <cellStyle name="Normal 5 2 2 3 2 2 6" xfId="3410" xr:uid="{BDEAD282-EAA1-4F1A-887A-290D792E9B65}"/>
    <cellStyle name="Normal 5 2 2 3 2 2 6 2" xfId="7689" xr:uid="{8585090A-F89E-4ADB-962E-B5A5ACEC74C2}"/>
    <cellStyle name="Normal 5 2 2 3 2 2 7" xfId="5624" xr:uid="{29D4DCC0-527F-4F9A-BBB7-825E311B0DDB}"/>
    <cellStyle name="Normal 5 2 2 3 2 2 8" xfId="1320" xr:uid="{BB054A0C-83FD-45BA-B3E0-6CD7D7D8A78A}"/>
    <cellStyle name="Normal 5 2 2 3 2 3" xfId="900" xr:uid="{00000000-0005-0000-0000-0000E9020000}"/>
    <cellStyle name="Normal 5 2 2 3 2 3 2" xfId="3963" xr:uid="{81F65C51-AEBC-45E5-99F5-46971AAFEC36}"/>
    <cellStyle name="Normal 5 2 2 3 2 3 2 2" xfId="8181" xr:uid="{98233C2B-4F53-4E84-BA59-647FE493B007}"/>
    <cellStyle name="Normal 5 2 2 3 2 3 3" xfId="6036" xr:uid="{B1B90AFA-830A-4153-8E98-62456F30651F}"/>
    <cellStyle name="Normal 5 2 2 3 2 3 4" xfId="1734" xr:uid="{327D5D85-DA58-4604-BCD9-5B8AC73AD650}"/>
    <cellStyle name="Normal 5 2 2 3 2 4" xfId="2147" xr:uid="{914C50CC-8C2F-4190-86D7-CCFCCB09DAF6}"/>
    <cellStyle name="Normal 5 2 2 3 2 4 2" xfId="4376" xr:uid="{76EC3405-CB5D-4F90-9575-019B0D8913EF}"/>
    <cellStyle name="Normal 5 2 2 3 2 4 2 2" xfId="8594" xr:uid="{5B5034D0-7951-4532-94D0-ECCE93B3D2C8}"/>
    <cellStyle name="Normal 5 2 2 3 2 4 3" xfId="6449" xr:uid="{1FA28E2D-18EA-451E-8E3B-C64BE9628B71}"/>
    <cellStyle name="Normal 5 2 2 3 2 5" xfId="2560" xr:uid="{C58F5F64-B6C1-4944-A353-955CDCE484FA}"/>
    <cellStyle name="Normal 5 2 2 3 2 5 2" xfId="4789" xr:uid="{464EB8AA-EB2C-4ED2-8756-B04FD605586D}"/>
    <cellStyle name="Normal 5 2 2 3 2 5 2 2" xfId="9007" xr:uid="{C9B04216-DF0D-4F2B-B2F4-E8182DAD5620}"/>
    <cellStyle name="Normal 5 2 2 3 2 5 3" xfId="6862" xr:uid="{0A2BD6BC-5A22-414C-AC97-418975E61E96}"/>
    <cellStyle name="Normal 5 2 2 3 2 6" xfId="2973" xr:uid="{EDB6B627-F1C5-47FC-BC1F-57C18EBB2ABF}"/>
    <cellStyle name="Normal 5 2 2 3 2 6 2" xfId="5202" xr:uid="{E2226CEA-9335-4AB1-BD40-9438A8DA24A7}"/>
    <cellStyle name="Normal 5 2 2 3 2 6 2 2" xfId="9420" xr:uid="{1F41BB21-B2A1-4E4C-8707-F9D57485A53E}"/>
    <cellStyle name="Normal 5 2 2 3 2 6 3" xfId="7275" xr:uid="{FAC6B36F-6388-4EEA-B732-BF77A535CAC9}"/>
    <cellStyle name="Normal 5 2 2 3 2 7" xfId="3409" xr:uid="{FD0606E5-C875-4811-82FB-54F21265FB58}"/>
    <cellStyle name="Normal 5 2 2 3 2 7 2" xfId="7688" xr:uid="{8D41FBCC-0090-4340-B3F3-60D08541B2DA}"/>
    <cellStyle name="Normal 5 2 2 3 2 8" xfId="5623" xr:uid="{BB6B152E-F488-43D1-810C-0CFC47E88C11}"/>
    <cellStyle name="Normal 5 2 2 3 2 9" xfId="1319" xr:uid="{A33C29D8-2396-48B4-9B88-8785EB886856}"/>
    <cellStyle name="Normal 5 2 2 3 3" xfId="423" xr:uid="{00000000-0005-0000-0000-0000EA020000}"/>
    <cellStyle name="Normal 5 2 2 3 3 2" xfId="902" xr:uid="{00000000-0005-0000-0000-0000EB020000}"/>
    <cellStyle name="Normal 5 2 2 3 3 2 2" xfId="3965" xr:uid="{618A07B6-BCC5-43E1-861A-5826892E505A}"/>
    <cellStyle name="Normal 5 2 2 3 3 2 2 2" xfId="8183" xr:uid="{46166B9B-B147-4C77-8F58-012571DD5E96}"/>
    <cellStyle name="Normal 5 2 2 3 3 2 3" xfId="6038" xr:uid="{19A7322F-D7BA-4861-B305-370C9FFC2EB3}"/>
    <cellStyle name="Normal 5 2 2 3 3 2 4" xfId="1736" xr:uid="{3E452C8E-F282-46FB-8E37-6231039EE3FA}"/>
    <cellStyle name="Normal 5 2 2 3 3 3" xfId="2149" xr:uid="{76DFD67A-E87C-4887-ADE3-B838086478F1}"/>
    <cellStyle name="Normal 5 2 2 3 3 3 2" xfId="4378" xr:uid="{162C6578-205C-40B3-9F62-6455684250E7}"/>
    <cellStyle name="Normal 5 2 2 3 3 3 2 2" xfId="8596" xr:uid="{E46D45E6-D746-43D0-AB2B-190170DB975F}"/>
    <cellStyle name="Normal 5 2 2 3 3 3 3" xfId="6451" xr:uid="{E1D47A8A-65EC-4D22-9D3F-505537C74BBB}"/>
    <cellStyle name="Normal 5 2 2 3 3 4" xfId="2562" xr:uid="{4372D2D9-695E-4485-95C2-F989C4454FFD}"/>
    <cellStyle name="Normal 5 2 2 3 3 4 2" xfId="4791" xr:uid="{BE0D4C96-D507-47AC-95FF-18AF99F3CE98}"/>
    <cellStyle name="Normal 5 2 2 3 3 4 2 2" xfId="9009" xr:uid="{C5BD340E-E3DD-4250-BADF-839427BAC0C1}"/>
    <cellStyle name="Normal 5 2 2 3 3 4 3" xfId="6864" xr:uid="{E645CD59-A45C-48C3-A2DF-44C76E048FC9}"/>
    <cellStyle name="Normal 5 2 2 3 3 5" xfId="2975" xr:uid="{82BD8910-AFA1-4803-ADD3-8022A939888A}"/>
    <cellStyle name="Normal 5 2 2 3 3 5 2" xfId="5204" xr:uid="{CE717E34-A47A-4BE7-B470-569182FD87E1}"/>
    <cellStyle name="Normal 5 2 2 3 3 5 2 2" xfId="9422" xr:uid="{CA8F9B41-433D-4D5A-AA34-35D6E468CC38}"/>
    <cellStyle name="Normal 5 2 2 3 3 5 3" xfId="7277" xr:uid="{EE0740C6-8C16-4E71-87E5-551B1AA91890}"/>
    <cellStyle name="Normal 5 2 2 3 3 6" xfId="3411" xr:uid="{7755584C-0174-4385-9CC0-DBE57DF2E7A5}"/>
    <cellStyle name="Normal 5 2 2 3 3 6 2" xfId="7690" xr:uid="{50ECDA41-2A6A-4084-B019-5D8B302BBEE7}"/>
    <cellStyle name="Normal 5 2 2 3 3 7" xfId="5625" xr:uid="{0674466F-BF89-4040-9B61-EFA45A63867E}"/>
    <cellStyle name="Normal 5 2 2 3 3 8" xfId="1321" xr:uid="{555160A7-E57D-4AD5-B401-A2286F86A695}"/>
    <cellStyle name="Normal 5 2 2 3 4" xfId="899" xr:uid="{00000000-0005-0000-0000-0000EC020000}"/>
    <cellStyle name="Normal 5 2 2 3 4 2" xfId="3962" xr:uid="{313B0167-7A11-481D-A3CA-A1090EA8D8C0}"/>
    <cellStyle name="Normal 5 2 2 3 4 2 2" xfId="8180" xr:uid="{5C0A562A-6616-43BE-8673-584D3E79626A}"/>
    <cellStyle name="Normal 5 2 2 3 4 3" xfId="6035" xr:uid="{51375730-C1D8-44A6-B0C7-5B63A94C2089}"/>
    <cellStyle name="Normal 5 2 2 3 4 4" xfId="1733" xr:uid="{5295F54D-0A3E-4CC8-93C6-09A20888BD25}"/>
    <cellStyle name="Normal 5 2 2 3 5" xfId="2146" xr:uid="{FF5B7020-BD24-4578-ADB3-978D9FC2E0C8}"/>
    <cellStyle name="Normal 5 2 2 3 5 2" xfId="4375" xr:uid="{B52A431E-5438-4F37-8273-06F13EEF9AD5}"/>
    <cellStyle name="Normal 5 2 2 3 5 2 2" xfId="8593" xr:uid="{5E4EF95B-0A98-4567-8771-B5FBFB118B83}"/>
    <cellStyle name="Normal 5 2 2 3 5 3" xfId="6448" xr:uid="{F5351085-686F-47D2-85EE-D81322417C64}"/>
    <cellStyle name="Normal 5 2 2 3 6" xfId="2559" xr:uid="{3E7B0885-7439-46F2-A469-930800C61B66}"/>
    <cellStyle name="Normal 5 2 2 3 6 2" xfId="4788" xr:uid="{17CD0742-DB72-4B33-AAD1-7F5B55E96FD1}"/>
    <cellStyle name="Normal 5 2 2 3 6 2 2" xfId="9006" xr:uid="{22A1F62A-2C1C-4490-A0DE-5466997AD0C3}"/>
    <cellStyle name="Normal 5 2 2 3 6 3" xfId="6861" xr:uid="{C894F452-3EEF-49E1-A15C-41EEDAE1FB02}"/>
    <cellStyle name="Normal 5 2 2 3 7" xfId="2972" xr:uid="{7CCE6B17-9840-4855-BF81-3A9B68E030F4}"/>
    <cellStyle name="Normal 5 2 2 3 7 2" xfId="5201" xr:uid="{B96D234A-630F-441C-B3A5-DF8212186C04}"/>
    <cellStyle name="Normal 5 2 2 3 7 2 2" xfId="9419" xr:uid="{1C4A4292-F546-4EA3-B704-04EBA34C0F96}"/>
    <cellStyle name="Normal 5 2 2 3 7 3" xfId="7274" xr:uid="{EB8A988F-6B8B-4A60-8B2F-DCA24DCDE7B5}"/>
    <cellStyle name="Normal 5 2 2 3 8" xfId="3408" xr:uid="{1689C5D6-A1C5-4496-8B25-8F7B9CF29663}"/>
    <cellStyle name="Normal 5 2 2 3 8 2" xfId="7687" xr:uid="{F1D0101F-D8F5-47E8-A006-50709574D4AE}"/>
    <cellStyle name="Normal 5 2 2 3 9" xfId="5622" xr:uid="{173C37F2-1F76-41D4-A8C9-C37E05D6175A}"/>
    <cellStyle name="Normal 5 2 2 4" xfId="424" xr:uid="{00000000-0005-0000-0000-0000ED020000}"/>
    <cellStyle name="Normal 5 2 2 4 2" xfId="425" xr:uid="{00000000-0005-0000-0000-0000EE020000}"/>
    <cellStyle name="Normal 5 2 2 4 2 2" xfId="904" xr:uid="{00000000-0005-0000-0000-0000EF020000}"/>
    <cellStyle name="Normal 5 2 2 4 2 2 2" xfId="3967" xr:uid="{1FA6A280-8EC8-474E-B2B7-339FDE0FE371}"/>
    <cellStyle name="Normal 5 2 2 4 2 2 2 2" xfId="8185" xr:uid="{1C479B54-7274-4605-B2A6-964833A00D2C}"/>
    <cellStyle name="Normal 5 2 2 4 2 2 3" xfId="6040" xr:uid="{4674788F-2F4B-4281-BC88-107C3302B08A}"/>
    <cellStyle name="Normal 5 2 2 4 2 2 4" xfId="1738" xr:uid="{C409D55D-7C9A-4BD4-A93C-DE4AF6435791}"/>
    <cellStyle name="Normal 5 2 2 4 2 3" xfId="2151" xr:uid="{72C8B144-16EA-4661-A486-7A0D7D0BC1E9}"/>
    <cellStyle name="Normal 5 2 2 4 2 3 2" xfId="4380" xr:uid="{3BA17907-FAC0-49AC-A97A-1B2075089780}"/>
    <cellStyle name="Normal 5 2 2 4 2 3 2 2" xfId="8598" xr:uid="{86A48D0E-FDA4-42B9-8D98-D32BBB407DA4}"/>
    <cellStyle name="Normal 5 2 2 4 2 3 3" xfId="6453" xr:uid="{B50643B9-F18B-42BD-8469-3662B4C0EC22}"/>
    <cellStyle name="Normal 5 2 2 4 2 4" xfId="2564" xr:uid="{76FCA130-23B1-4B4E-9685-B44BEA60022D}"/>
    <cellStyle name="Normal 5 2 2 4 2 4 2" xfId="4793" xr:uid="{A5F09376-8177-475B-9A93-8614DB8E2DDD}"/>
    <cellStyle name="Normal 5 2 2 4 2 4 2 2" xfId="9011" xr:uid="{D64CA579-5A9E-401A-B365-25A7167259C6}"/>
    <cellStyle name="Normal 5 2 2 4 2 4 3" xfId="6866" xr:uid="{EDC2D9B7-B845-4132-948D-73D5BFD72545}"/>
    <cellStyle name="Normal 5 2 2 4 2 5" xfId="2977" xr:uid="{8A532425-018A-48F8-98AD-9DBDFF8F89A3}"/>
    <cellStyle name="Normal 5 2 2 4 2 5 2" xfId="5206" xr:uid="{251918F9-EC88-4221-A7E2-4CAB430DFA1D}"/>
    <cellStyle name="Normal 5 2 2 4 2 5 2 2" xfId="9424" xr:uid="{E63AA9A1-AF8D-45BD-947C-CD722AD2EDF8}"/>
    <cellStyle name="Normal 5 2 2 4 2 5 3" xfId="7279" xr:uid="{3035FE56-80A0-4527-935E-3E9572D411A4}"/>
    <cellStyle name="Normal 5 2 2 4 2 6" xfId="3413" xr:uid="{18816866-F323-437E-B9EB-802415345B73}"/>
    <cellStyle name="Normal 5 2 2 4 2 6 2" xfId="7692" xr:uid="{6E672711-A3E7-47ED-859F-6FB9E34D39CE}"/>
    <cellStyle name="Normal 5 2 2 4 2 7" xfId="5627" xr:uid="{ECD46050-9E43-4649-B8BC-AB3F54326BAD}"/>
    <cellStyle name="Normal 5 2 2 4 2 8" xfId="1323" xr:uid="{7EA0F5A7-6E9C-4AE5-B9AB-6709A5DBF190}"/>
    <cellStyle name="Normal 5 2 2 4 3" xfId="903" xr:uid="{00000000-0005-0000-0000-0000F0020000}"/>
    <cellStyle name="Normal 5 2 2 4 3 2" xfId="3966" xr:uid="{FE02B067-D794-400F-9457-0780F3C7DD4E}"/>
    <cellStyle name="Normal 5 2 2 4 3 2 2" xfId="8184" xr:uid="{DD47B627-63C5-450C-97F6-1AA1645B854A}"/>
    <cellStyle name="Normal 5 2 2 4 3 3" xfId="6039" xr:uid="{CAEBB3EC-5303-4869-B05E-1816DBA6AC71}"/>
    <cellStyle name="Normal 5 2 2 4 3 4" xfId="1737" xr:uid="{81C44C47-8BB3-4E1B-9139-3C43B0F89204}"/>
    <cellStyle name="Normal 5 2 2 4 4" xfId="2150" xr:uid="{4C297D24-4536-4CA4-9F88-1D055AACB4E2}"/>
    <cellStyle name="Normal 5 2 2 4 4 2" xfId="4379" xr:uid="{F2A62D7B-7050-4C0B-A0B1-63EC7D308C26}"/>
    <cellStyle name="Normal 5 2 2 4 4 2 2" xfId="8597" xr:uid="{55D421CA-6CA8-4D15-BC81-7417880A2253}"/>
    <cellStyle name="Normal 5 2 2 4 4 3" xfId="6452" xr:uid="{EA447597-C1A8-4877-8BD2-5C4E187864CC}"/>
    <cellStyle name="Normal 5 2 2 4 5" xfId="2563" xr:uid="{FBF2E7E3-CB7B-44AF-A465-91480A6846A0}"/>
    <cellStyle name="Normal 5 2 2 4 5 2" xfId="4792" xr:uid="{38A53F23-A023-4C96-995D-0506820EBF5D}"/>
    <cellStyle name="Normal 5 2 2 4 5 2 2" xfId="9010" xr:uid="{8701FA5C-5712-45C5-B389-F59EBB0EE421}"/>
    <cellStyle name="Normal 5 2 2 4 5 3" xfId="6865" xr:uid="{6D1F3619-0F5F-463E-A20F-37E2B3336C89}"/>
    <cellStyle name="Normal 5 2 2 4 6" xfId="2976" xr:uid="{3F3BA4CF-61FC-4FCC-B26F-7F12E1CF0808}"/>
    <cellStyle name="Normal 5 2 2 4 6 2" xfId="5205" xr:uid="{3E996D92-1686-4449-BEFA-2B502C5F9B14}"/>
    <cellStyle name="Normal 5 2 2 4 6 2 2" xfId="9423" xr:uid="{C50DE0DA-D2C7-4434-A319-78E77CF8D4E3}"/>
    <cellStyle name="Normal 5 2 2 4 6 3" xfId="7278" xr:uid="{015AFAD4-851A-4648-AEE5-F6F974355C06}"/>
    <cellStyle name="Normal 5 2 2 4 7" xfId="3412" xr:uid="{61AB3DEB-2800-45E4-8554-095BF34FBB3A}"/>
    <cellStyle name="Normal 5 2 2 4 7 2" xfId="7691" xr:uid="{52055B91-3648-4820-9D97-12C4BA3C39EA}"/>
    <cellStyle name="Normal 5 2 2 4 8" xfId="5626" xr:uid="{A77AF977-50BB-437F-9CD9-479DB73F33D2}"/>
    <cellStyle name="Normal 5 2 2 4 9" xfId="1322" xr:uid="{44D65DEE-E91F-4382-A0EB-DC0FCB2FA727}"/>
    <cellStyle name="Normal 5 2 2 5" xfId="426" xr:uid="{00000000-0005-0000-0000-0000F1020000}"/>
    <cellStyle name="Normal 5 2 2 5 2" xfId="905" xr:uid="{00000000-0005-0000-0000-0000F2020000}"/>
    <cellStyle name="Normal 5 2 2 5 2 2" xfId="3968" xr:uid="{CAF38221-50B4-44CF-A0CF-33C8DB06C7BC}"/>
    <cellStyle name="Normal 5 2 2 5 2 2 2" xfId="8186" xr:uid="{A2C271F9-35C2-45DB-B119-0CAA8C18C8D8}"/>
    <cellStyle name="Normal 5 2 2 5 2 3" xfId="6041" xr:uid="{92997329-7E8A-4852-9558-27B366903D2A}"/>
    <cellStyle name="Normal 5 2 2 5 2 4" xfId="1739" xr:uid="{3E3C58A6-ED5E-4C26-9763-E65084F628C1}"/>
    <cellStyle name="Normal 5 2 2 5 3" xfId="2152" xr:uid="{0FAA3BC2-B371-4967-A766-A028DDB4980A}"/>
    <cellStyle name="Normal 5 2 2 5 3 2" xfId="4381" xr:uid="{74327587-130E-477F-8ACF-9411F97BD6EB}"/>
    <cellStyle name="Normal 5 2 2 5 3 2 2" xfId="8599" xr:uid="{EF665A51-83DC-4572-9293-D1D48FF5AEDD}"/>
    <cellStyle name="Normal 5 2 2 5 3 3" xfId="6454" xr:uid="{E6410121-47FD-44B9-86D6-0FD74D51E624}"/>
    <cellStyle name="Normal 5 2 2 5 4" xfId="2565" xr:uid="{99A2A4C1-5A46-449B-8EE0-EA587433971A}"/>
    <cellStyle name="Normal 5 2 2 5 4 2" xfId="4794" xr:uid="{80CD7BF0-F204-4D50-BA3D-2CD2B65F84EC}"/>
    <cellStyle name="Normal 5 2 2 5 4 2 2" xfId="9012" xr:uid="{75C447D6-C4AF-4061-BC2E-1CA133C700CE}"/>
    <cellStyle name="Normal 5 2 2 5 4 3" xfId="6867" xr:uid="{2C25ADE4-950D-48DF-9A28-C22A53FAF220}"/>
    <cellStyle name="Normal 5 2 2 5 5" xfId="2978" xr:uid="{0EB42899-F645-4ED0-AF1C-4537054374F6}"/>
    <cellStyle name="Normal 5 2 2 5 5 2" xfId="5207" xr:uid="{AD961778-016E-41F1-9FA3-438ACF81C7DC}"/>
    <cellStyle name="Normal 5 2 2 5 5 2 2" xfId="9425" xr:uid="{A78B4252-25B3-4355-B794-3897989C5AE9}"/>
    <cellStyle name="Normal 5 2 2 5 5 3" xfId="7280" xr:uid="{A97611E8-65C4-4877-9CF9-DCDC595933F2}"/>
    <cellStyle name="Normal 5 2 2 5 6" xfId="3414" xr:uid="{7DA8A38D-01BC-4503-84D6-1447D243386A}"/>
    <cellStyle name="Normal 5 2 2 5 6 2" xfId="7693" xr:uid="{96F0C4C3-3BA5-4ABF-AD85-5CCAE337E135}"/>
    <cellStyle name="Normal 5 2 2 5 7" xfId="5628" xr:uid="{F0A26453-90AC-450C-8CC4-D7585B232A6D}"/>
    <cellStyle name="Normal 5 2 2 5 8" xfId="1324" xr:uid="{D93A0DDC-F8CF-4FF7-9AF1-5CF3CC5E8333}"/>
    <cellStyle name="Normal 5 2 2 6" xfId="890" xr:uid="{00000000-0005-0000-0000-0000F3020000}"/>
    <cellStyle name="Normal 5 2 2 6 2" xfId="3953" xr:uid="{A93BABCC-69EF-453C-8814-8A496969D127}"/>
    <cellStyle name="Normal 5 2 2 6 2 2" xfId="8171" xr:uid="{FC23D0F1-BA7F-4C47-9F1C-B1D15EE8EC85}"/>
    <cellStyle name="Normal 5 2 2 6 3" xfId="6026" xr:uid="{4929F492-C7DA-4716-8711-21C3681C8B9C}"/>
    <cellStyle name="Normal 5 2 2 6 4" xfId="1724" xr:uid="{0A188F86-A2EE-430E-814D-9D7FB7A38241}"/>
    <cellStyle name="Normal 5 2 2 7" xfId="2137" xr:uid="{BEE20978-C7EA-4A79-991A-284D4D5B4F6E}"/>
    <cellStyle name="Normal 5 2 2 7 2" xfId="4366" xr:uid="{5A641A26-DFC9-4983-AFCA-3D68E299C882}"/>
    <cellStyle name="Normal 5 2 2 7 2 2" xfId="8584" xr:uid="{92A39047-EC98-4DFF-AADA-8BD9FDB5668E}"/>
    <cellStyle name="Normal 5 2 2 7 3" xfId="6439" xr:uid="{19EE444F-C2DB-4A51-9F7E-5BB375A17985}"/>
    <cellStyle name="Normal 5 2 2 8" xfId="2550" xr:uid="{ED6BBB45-6061-4880-88F6-C1D90D8AD183}"/>
    <cellStyle name="Normal 5 2 2 8 2" xfId="4779" xr:uid="{03BD8A3A-A3C5-4E38-8C66-FF9E5B8323AD}"/>
    <cellStyle name="Normal 5 2 2 8 2 2" xfId="8997" xr:uid="{8A387518-C54D-484F-A629-99785DFBA85E}"/>
    <cellStyle name="Normal 5 2 2 8 3" xfId="6852" xr:uid="{5CAC47D3-EC5B-4E22-B2D6-6D20841B32C9}"/>
    <cellStyle name="Normal 5 2 2 9" xfId="2963" xr:uid="{6B12F8E4-FB27-4A83-A2DA-46538CF70D23}"/>
    <cellStyle name="Normal 5 2 2 9 2" xfId="5192" xr:uid="{9C6E4DB3-8675-4503-8AF0-325B289F0B69}"/>
    <cellStyle name="Normal 5 2 2 9 2 2" xfId="9410" xr:uid="{499C7830-876A-4D22-BAD8-87A5ED1E8FA2}"/>
    <cellStyle name="Normal 5 2 2 9 3" xfId="7265" xr:uid="{6F5BBC19-0949-428F-AEC6-58F7AAD1E540}"/>
    <cellStyle name="Normal 5 2 3" xfId="427" xr:uid="{00000000-0005-0000-0000-0000F4020000}"/>
    <cellStyle name="Normal 5 2 3 10" xfId="5629" xr:uid="{D7B2EA42-AE50-4518-B320-5C987DB3906B}"/>
    <cellStyle name="Normal 5 2 3 11" xfId="1325" xr:uid="{0D5A1B3F-7ED5-4F37-8BEB-18F152499DF2}"/>
    <cellStyle name="Normal 5 2 3 2" xfId="428" xr:uid="{00000000-0005-0000-0000-0000F5020000}"/>
    <cellStyle name="Normal 5 2 3 2 10" xfId="1326" xr:uid="{207D9221-8AFF-4D77-8A1B-A459D0AA2E5C}"/>
    <cellStyle name="Normal 5 2 3 2 2" xfId="429" xr:uid="{00000000-0005-0000-0000-0000F6020000}"/>
    <cellStyle name="Normal 5 2 3 2 2 2" xfId="430" xr:uid="{00000000-0005-0000-0000-0000F7020000}"/>
    <cellStyle name="Normal 5 2 3 2 2 2 2" xfId="909" xr:uid="{00000000-0005-0000-0000-0000F8020000}"/>
    <cellStyle name="Normal 5 2 3 2 2 2 2 2" xfId="3972" xr:uid="{332DDC63-3652-4D3B-9955-889308172F69}"/>
    <cellStyle name="Normal 5 2 3 2 2 2 2 2 2" xfId="8190" xr:uid="{4E698B57-3CD8-4DA6-AE40-FAC7EB1B33A7}"/>
    <cellStyle name="Normal 5 2 3 2 2 2 2 3" xfId="6045" xr:uid="{48343059-2C86-4B4F-99E5-659C4ED14BC2}"/>
    <cellStyle name="Normal 5 2 3 2 2 2 2 4" xfId="1743" xr:uid="{068D7906-06F1-46FD-ACF1-E433272174E6}"/>
    <cellStyle name="Normal 5 2 3 2 2 2 3" xfId="2156" xr:uid="{49901304-3817-444C-A47D-7E5CAEAE3D78}"/>
    <cellStyle name="Normal 5 2 3 2 2 2 3 2" xfId="4385" xr:uid="{1EE6BDAF-11D4-4FB6-B6A3-A6957E7B1DC3}"/>
    <cellStyle name="Normal 5 2 3 2 2 2 3 2 2" xfId="8603" xr:uid="{CFC3FE37-7B3D-4AFD-BC83-FD8DFBD45AE7}"/>
    <cellStyle name="Normal 5 2 3 2 2 2 3 3" xfId="6458" xr:uid="{2CF14790-D076-4C72-98F8-76D67A2A69D8}"/>
    <cellStyle name="Normal 5 2 3 2 2 2 4" xfId="2569" xr:uid="{044A2E83-0408-46F8-BD3A-954E83C55356}"/>
    <cellStyle name="Normal 5 2 3 2 2 2 4 2" xfId="4798" xr:uid="{95726515-A726-4F9C-ACCC-AC16ED0A1F53}"/>
    <cellStyle name="Normal 5 2 3 2 2 2 4 2 2" xfId="9016" xr:uid="{A6489A97-5B03-4D5E-9EF6-74C58B4E7051}"/>
    <cellStyle name="Normal 5 2 3 2 2 2 4 3" xfId="6871" xr:uid="{14318F83-7867-4C15-A770-8194FF0DB381}"/>
    <cellStyle name="Normal 5 2 3 2 2 2 5" xfId="2982" xr:uid="{C027B77E-F5BB-4FF0-9E31-0662168B733A}"/>
    <cellStyle name="Normal 5 2 3 2 2 2 5 2" xfId="5211" xr:uid="{CB121818-936D-4044-BE5A-6B8AA2E6DEA1}"/>
    <cellStyle name="Normal 5 2 3 2 2 2 5 2 2" xfId="9429" xr:uid="{E6C09B9D-0AF6-4AE6-B980-A9D6A2F4050C}"/>
    <cellStyle name="Normal 5 2 3 2 2 2 5 3" xfId="7284" xr:uid="{DF4CE6F1-8EAC-45EC-BAE9-1C94BD69DDCE}"/>
    <cellStyle name="Normal 5 2 3 2 2 2 6" xfId="3418" xr:uid="{9C6A788D-0BB9-46BF-9CE6-65C1F96F5992}"/>
    <cellStyle name="Normal 5 2 3 2 2 2 6 2" xfId="7697" xr:uid="{CF975D4E-6F8F-4693-B31E-BDB8AECEDF6A}"/>
    <cellStyle name="Normal 5 2 3 2 2 2 7" xfId="5632" xr:uid="{5CC66456-6A96-44A4-B3D8-FEEE72805547}"/>
    <cellStyle name="Normal 5 2 3 2 2 2 8" xfId="1328" xr:uid="{9A222F37-48FA-4A7F-849E-D03937D62A53}"/>
    <cellStyle name="Normal 5 2 3 2 2 3" xfId="908" xr:uid="{00000000-0005-0000-0000-0000F9020000}"/>
    <cellStyle name="Normal 5 2 3 2 2 3 2" xfId="3971" xr:uid="{C6BADFD2-9039-4430-8850-8626AA73C57E}"/>
    <cellStyle name="Normal 5 2 3 2 2 3 2 2" xfId="8189" xr:uid="{A0C8B108-AAB5-45A3-A64D-D58FC9897881}"/>
    <cellStyle name="Normal 5 2 3 2 2 3 3" xfId="6044" xr:uid="{BD83DE3B-2F96-497D-88EE-F0AC64488005}"/>
    <cellStyle name="Normal 5 2 3 2 2 3 4" xfId="1742" xr:uid="{FBE31AB5-4F01-4D07-9577-122E31152DCA}"/>
    <cellStyle name="Normal 5 2 3 2 2 4" xfId="2155" xr:uid="{BD63A4D0-6755-46CB-AB28-EC09D7C2E08D}"/>
    <cellStyle name="Normal 5 2 3 2 2 4 2" xfId="4384" xr:uid="{6BE22864-5328-4B23-8726-EC6E84269A32}"/>
    <cellStyle name="Normal 5 2 3 2 2 4 2 2" xfId="8602" xr:uid="{847EB61D-0DDE-420D-966C-5EE2B57E10FF}"/>
    <cellStyle name="Normal 5 2 3 2 2 4 3" xfId="6457" xr:uid="{7201F1A3-42CB-4A8D-BABB-6ADDB9C804D0}"/>
    <cellStyle name="Normal 5 2 3 2 2 5" xfId="2568" xr:uid="{5A0C529C-EE8E-47BF-971A-8384E08D5A29}"/>
    <cellStyle name="Normal 5 2 3 2 2 5 2" xfId="4797" xr:uid="{C9CFDEF2-2A79-4046-9E9D-AA1E1E44B9BC}"/>
    <cellStyle name="Normal 5 2 3 2 2 5 2 2" xfId="9015" xr:uid="{921EE168-6E27-4410-BAFE-9F2DABE4D7B9}"/>
    <cellStyle name="Normal 5 2 3 2 2 5 3" xfId="6870" xr:uid="{1A54EFE3-0009-4546-9E29-7BF623964213}"/>
    <cellStyle name="Normal 5 2 3 2 2 6" xfId="2981" xr:uid="{FB913E9B-9470-48DA-9019-BB14E905AF6F}"/>
    <cellStyle name="Normal 5 2 3 2 2 6 2" xfId="5210" xr:uid="{F1F71947-76A1-4343-B6F9-61FBDDBDF83F}"/>
    <cellStyle name="Normal 5 2 3 2 2 6 2 2" xfId="9428" xr:uid="{E8E971C0-11F6-4EB2-95B0-F9590830D909}"/>
    <cellStyle name="Normal 5 2 3 2 2 6 3" xfId="7283" xr:uid="{76FE2C77-F7E7-4905-9E6C-C2818506A6D7}"/>
    <cellStyle name="Normal 5 2 3 2 2 7" xfId="3417" xr:uid="{2B893190-0699-42C5-8082-808E578F6A07}"/>
    <cellStyle name="Normal 5 2 3 2 2 7 2" xfId="7696" xr:uid="{227BB2C6-4B31-4F84-9F7F-78FEB99AB27A}"/>
    <cellStyle name="Normal 5 2 3 2 2 8" xfId="5631" xr:uid="{ECBD10E5-F3DD-46DA-8BD2-3B7DCF11D337}"/>
    <cellStyle name="Normal 5 2 3 2 2 9" xfId="1327" xr:uid="{6659D4A8-189D-4557-900B-5B124D6D4D68}"/>
    <cellStyle name="Normal 5 2 3 2 3" xfId="431" xr:uid="{00000000-0005-0000-0000-0000FA020000}"/>
    <cellStyle name="Normal 5 2 3 2 3 2" xfId="910" xr:uid="{00000000-0005-0000-0000-0000FB020000}"/>
    <cellStyle name="Normal 5 2 3 2 3 2 2" xfId="3973" xr:uid="{F3DEDDC7-8FBC-445F-B026-035D16192DBA}"/>
    <cellStyle name="Normal 5 2 3 2 3 2 2 2" xfId="8191" xr:uid="{38EEB8CE-CEB2-47A5-A046-878DEC91A001}"/>
    <cellStyle name="Normal 5 2 3 2 3 2 3" xfId="6046" xr:uid="{44C225F6-E4A4-4A0C-9622-4686D636D3D0}"/>
    <cellStyle name="Normal 5 2 3 2 3 2 4" xfId="1744" xr:uid="{FAF1E909-0BE3-4D64-A644-C31A206B68CC}"/>
    <cellStyle name="Normal 5 2 3 2 3 3" xfId="2157" xr:uid="{D30552D4-8253-434B-B4EF-E37257A59D57}"/>
    <cellStyle name="Normal 5 2 3 2 3 3 2" xfId="4386" xr:uid="{11C7314C-4589-4A73-9393-D0282B607852}"/>
    <cellStyle name="Normal 5 2 3 2 3 3 2 2" xfId="8604" xr:uid="{0FB7D527-DA91-4D22-9A5E-DFD1B4304C0B}"/>
    <cellStyle name="Normal 5 2 3 2 3 3 3" xfId="6459" xr:uid="{F5059510-6FAF-4653-B3D3-8EB5A5770AC0}"/>
    <cellStyle name="Normal 5 2 3 2 3 4" xfId="2570" xr:uid="{CABFEF01-2F2F-4D56-93C4-3B07ED61A783}"/>
    <cellStyle name="Normal 5 2 3 2 3 4 2" xfId="4799" xr:uid="{A8112FA0-2C87-466F-8380-4D69F14F3068}"/>
    <cellStyle name="Normal 5 2 3 2 3 4 2 2" xfId="9017" xr:uid="{D7802CF2-AA08-4E02-A3BB-3346B16A8081}"/>
    <cellStyle name="Normal 5 2 3 2 3 4 3" xfId="6872" xr:uid="{60CF4937-29E1-4E71-A89D-54E176ED85DC}"/>
    <cellStyle name="Normal 5 2 3 2 3 5" xfId="2983" xr:uid="{C0A324CE-7AF6-429F-9C74-3126479C4F5F}"/>
    <cellStyle name="Normal 5 2 3 2 3 5 2" xfId="5212" xr:uid="{EDD731F9-C7D2-420F-BAC1-5ECA997240FC}"/>
    <cellStyle name="Normal 5 2 3 2 3 5 2 2" xfId="9430" xr:uid="{08EECC20-08F7-4D01-825E-DD44209ED181}"/>
    <cellStyle name="Normal 5 2 3 2 3 5 3" xfId="7285" xr:uid="{D4E7DE0B-C007-4B9C-94B3-21BE7ADF6BA7}"/>
    <cellStyle name="Normal 5 2 3 2 3 6" xfId="3419" xr:uid="{5E760584-C00F-470E-8BF0-C320021D243E}"/>
    <cellStyle name="Normal 5 2 3 2 3 6 2" xfId="7698" xr:uid="{3163CD7F-B71B-46DA-B079-5EC3439A2889}"/>
    <cellStyle name="Normal 5 2 3 2 3 7" xfId="5633" xr:uid="{09DC80DC-2B8A-4A79-A0DA-E7CD239F7F53}"/>
    <cellStyle name="Normal 5 2 3 2 3 8" xfId="1329" xr:uid="{4DFB1410-0573-4149-BAC8-66F8B499DCF5}"/>
    <cellStyle name="Normal 5 2 3 2 4" xfId="907" xr:uid="{00000000-0005-0000-0000-0000FC020000}"/>
    <cellStyle name="Normal 5 2 3 2 4 2" xfId="3970" xr:uid="{39E3ACDF-495F-4B47-9CFF-DD1577E03D7F}"/>
    <cellStyle name="Normal 5 2 3 2 4 2 2" xfId="8188" xr:uid="{B081FD7D-0A0D-4277-9F8C-6861A4DC3258}"/>
    <cellStyle name="Normal 5 2 3 2 4 3" xfId="6043" xr:uid="{517C579E-B80F-4BB2-887D-CE1570EBD7E0}"/>
    <cellStyle name="Normal 5 2 3 2 4 4" xfId="1741" xr:uid="{76EF637C-146C-4F36-98F6-816DF2EAC4A4}"/>
    <cellStyle name="Normal 5 2 3 2 5" xfId="2154" xr:uid="{48E7865D-B330-4ACB-851F-3E8BE7995085}"/>
    <cellStyle name="Normal 5 2 3 2 5 2" xfId="4383" xr:uid="{48D6537F-9C51-41C1-87B4-BAD67FF01EAC}"/>
    <cellStyle name="Normal 5 2 3 2 5 2 2" xfId="8601" xr:uid="{05D52405-2176-4DC4-AEB7-3C59538D5C98}"/>
    <cellStyle name="Normal 5 2 3 2 5 3" xfId="6456" xr:uid="{E2FFF6F4-1B08-47CB-8D77-02AE65D76ADA}"/>
    <cellStyle name="Normal 5 2 3 2 6" xfId="2567" xr:uid="{5A95DF2A-1447-4A0E-A22E-D3D86FDFDF3D}"/>
    <cellStyle name="Normal 5 2 3 2 6 2" xfId="4796" xr:uid="{0BCFCA7B-C7D8-465B-8A64-49E1D5B96941}"/>
    <cellStyle name="Normal 5 2 3 2 6 2 2" xfId="9014" xr:uid="{D68D819F-7010-440F-873B-B46566048C6F}"/>
    <cellStyle name="Normal 5 2 3 2 6 3" xfId="6869" xr:uid="{D3391B93-C634-4D59-B09D-BB6A175EA385}"/>
    <cellStyle name="Normal 5 2 3 2 7" xfId="2980" xr:uid="{80999341-7549-4BC6-A826-1385E760693D}"/>
    <cellStyle name="Normal 5 2 3 2 7 2" xfId="5209" xr:uid="{3172CE2B-6337-4CAC-81EA-EF019ADC7F29}"/>
    <cellStyle name="Normal 5 2 3 2 7 2 2" xfId="9427" xr:uid="{A37B98AE-F438-4D6B-9A14-F3FE779C0F0A}"/>
    <cellStyle name="Normal 5 2 3 2 7 3" xfId="7282" xr:uid="{340E2B31-C163-44C6-94D1-2F3D02B52C2F}"/>
    <cellStyle name="Normal 5 2 3 2 8" xfId="3416" xr:uid="{A325376A-DCC2-4274-84E3-61EC0FB5EDBD}"/>
    <cellStyle name="Normal 5 2 3 2 8 2" xfId="7695" xr:uid="{A1155091-5003-47E2-A926-BEC8C1049E1E}"/>
    <cellStyle name="Normal 5 2 3 2 9" xfId="5630" xr:uid="{30ADE188-6F80-42E7-A094-CD968A814BAF}"/>
    <cellStyle name="Normal 5 2 3 3" xfId="432" xr:uid="{00000000-0005-0000-0000-0000FD020000}"/>
    <cellStyle name="Normal 5 2 3 3 2" xfId="433" xr:uid="{00000000-0005-0000-0000-0000FE020000}"/>
    <cellStyle name="Normal 5 2 3 3 2 2" xfId="912" xr:uid="{00000000-0005-0000-0000-0000FF020000}"/>
    <cellStyle name="Normal 5 2 3 3 2 2 2" xfId="3975" xr:uid="{C3A82618-1541-40D8-9A15-755EB764632B}"/>
    <cellStyle name="Normal 5 2 3 3 2 2 2 2" xfId="8193" xr:uid="{AB8EBCB0-4609-4D2B-A88A-E8A60A3DD46B}"/>
    <cellStyle name="Normal 5 2 3 3 2 2 3" xfId="6048" xr:uid="{DABDAF09-B890-41A4-BC87-47AE9F06236B}"/>
    <cellStyle name="Normal 5 2 3 3 2 2 4" xfId="1746" xr:uid="{885FE14B-4837-495E-B894-4B60878042EA}"/>
    <cellStyle name="Normal 5 2 3 3 2 3" xfId="2159" xr:uid="{68405E59-9885-4BB3-9540-00E0940C99A0}"/>
    <cellStyle name="Normal 5 2 3 3 2 3 2" xfId="4388" xr:uid="{759245A6-2475-4791-9448-377B927872A2}"/>
    <cellStyle name="Normal 5 2 3 3 2 3 2 2" xfId="8606" xr:uid="{5F79D48C-A335-47A6-96EA-5EA987787779}"/>
    <cellStyle name="Normal 5 2 3 3 2 3 3" xfId="6461" xr:uid="{F12051BD-11BC-44DE-BD4F-9D44234D984D}"/>
    <cellStyle name="Normal 5 2 3 3 2 4" xfId="2572" xr:uid="{33E74FC8-D8CA-4EED-87FB-9D4A029008A1}"/>
    <cellStyle name="Normal 5 2 3 3 2 4 2" xfId="4801" xr:uid="{E1D0BFD4-46A4-4B4E-A6F9-571B22215E84}"/>
    <cellStyle name="Normal 5 2 3 3 2 4 2 2" xfId="9019" xr:uid="{2DAD196A-7089-49BD-8A07-49B750409B53}"/>
    <cellStyle name="Normal 5 2 3 3 2 4 3" xfId="6874" xr:uid="{17D7EB7E-A7AF-4203-8C54-A11DB17E184F}"/>
    <cellStyle name="Normal 5 2 3 3 2 5" xfId="2985" xr:uid="{9DAFD7AF-64E1-43B5-92DC-445D8574BDA8}"/>
    <cellStyle name="Normal 5 2 3 3 2 5 2" xfId="5214" xr:uid="{8A3EE7B3-AFC1-4B69-98B9-641E3FC534D2}"/>
    <cellStyle name="Normal 5 2 3 3 2 5 2 2" xfId="9432" xr:uid="{558AC84B-AC07-4222-9E32-4ADA297409B9}"/>
    <cellStyle name="Normal 5 2 3 3 2 5 3" xfId="7287" xr:uid="{DCE86B96-812E-43D5-A6C0-D5FB0DD05B7B}"/>
    <cellStyle name="Normal 5 2 3 3 2 6" xfId="3421" xr:uid="{E5B0203F-06DE-49D3-81E1-EDFBFD5472DA}"/>
    <cellStyle name="Normal 5 2 3 3 2 6 2" xfId="7700" xr:uid="{184766D6-BC59-4105-8899-7FFB6739BBF3}"/>
    <cellStyle name="Normal 5 2 3 3 2 7" xfId="5635" xr:uid="{D26146DC-EBA7-49B2-AB49-CBF8EFE8D181}"/>
    <cellStyle name="Normal 5 2 3 3 2 8" xfId="1331" xr:uid="{5024DFE6-7DDB-4F38-87F0-F052A0CE20A0}"/>
    <cellStyle name="Normal 5 2 3 3 3" xfId="911" xr:uid="{00000000-0005-0000-0000-000000030000}"/>
    <cellStyle name="Normal 5 2 3 3 3 2" xfId="3974" xr:uid="{5C8B9977-ED64-43A0-991A-DE14C4609409}"/>
    <cellStyle name="Normal 5 2 3 3 3 2 2" xfId="8192" xr:uid="{10E97B9E-2DC2-4169-A752-E35CAE0AE2C9}"/>
    <cellStyle name="Normal 5 2 3 3 3 3" xfId="6047" xr:uid="{31707AB4-8037-4D28-9B3C-E084C0ADEBB5}"/>
    <cellStyle name="Normal 5 2 3 3 3 4" xfId="1745" xr:uid="{7C1B399C-F654-411D-8511-E5A6B10C38C5}"/>
    <cellStyle name="Normal 5 2 3 3 4" xfId="2158" xr:uid="{AF07210A-AF23-45AD-B4CA-E042C6D1F919}"/>
    <cellStyle name="Normal 5 2 3 3 4 2" xfId="4387" xr:uid="{7407AA48-F09C-41B8-82D0-8BBDE7642924}"/>
    <cellStyle name="Normal 5 2 3 3 4 2 2" xfId="8605" xr:uid="{6F95AC88-426D-4355-9E67-4613BE10453B}"/>
    <cellStyle name="Normal 5 2 3 3 4 3" xfId="6460" xr:uid="{0D4F9C8D-851C-40C8-9545-A86535EAF679}"/>
    <cellStyle name="Normal 5 2 3 3 5" xfId="2571" xr:uid="{6CD50811-E961-49EE-AABC-25DE7C8BFAAC}"/>
    <cellStyle name="Normal 5 2 3 3 5 2" xfId="4800" xr:uid="{8ECEEF74-38BD-4404-838B-97A0B8817F23}"/>
    <cellStyle name="Normal 5 2 3 3 5 2 2" xfId="9018" xr:uid="{D208D2BB-AB9C-4706-BA6E-A9F1CB887F93}"/>
    <cellStyle name="Normal 5 2 3 3 5 3" xfId="6873" xr:uid="{0506DB9C-BC0B-4AEC-A30E-9E0FB3BA9B90}"/>
    <cellStyle name="Normal 5 2 3 3 6" xfId="2984" xr:uid="{0147529E-0462-451E-9790-0A7FA00CF787}"/>
    <cellStyle name="Normal 5 2 3 3 6 2" xfId="5213" xr:uid="{73C3F9BF-CACC-4968-95C8-FE87D1838F6E}"/>
    <cellStyle name="Normal 5 2 3 3 6 2 2" xfId="9431" xr:uid="{D68CFEA6-09BA-4119-A501-7AB765E46A95}"/>
    <cellStyle name="Normal 5 2 3 3 6 3" xfId="7286" xr:uid="{5AB13A17-829B-4F92-91B0-B6B2F2CA79A2}"/>
    <cellStyle name="Normal 5 2 3 3 7" xfId="3420" xr:uid="{1FCFE536-7B8C-4A8F-8B87-17A755E82E9B}"/>
    <cellStyle name="Normal 5 2 3 3 7 2" xfId="7699" xr:uid="{759600DA-CC86-405C-92BD-6D61412B3AD1}"/>
    <cellStyle name="Normal 5 2 3 3 8" xfId="5634" xr:uid="{1AF80577-6DEB-4B26-A883-5600BFACEAB1}"/>
    <cellStyle name="Normal 5 2 3 3 9" xfId="1330" xr:uid="{9F94DEC7-6178-4B66-9F45-9A1596D1A49F}"/>
    <cellStyle name="Normal 5 2 3 4" xfId="434" xr:uid="{00000000-0005-0000-0000-000001030000}"/>
    <cellStyle name="Normal 5 2 3 4 2" xfId="913" xr:uid="{00000000-0005-0000-0000-000002030000}"/>
    <cellStyle name="Normal 5 2 3 4 2 2" xfId="3976" xr:uid="{9E00CBEF-0726-45A4-A0AF-47CF1B1ECC50}"/>
    <cellStyle name="Normal 5 2 3 4 2 2 2" xfId="8194" xr:uid="{B8EE0268-A450-4AA3-BC00-8BCA0839D2C1}"/>
    <cellStyle name="Normal 5 2 3 4 2 3" xfId="6049" xr:uid="{EC995887-6120-4FAC-83B4-BD5071B81012}"/>
    <cellStyle name="Normal 5 2 3 4 2 4" xfId="1747" xr:uid="{68B7EC41-4E65-40B2-8E20-EAEE94AA5D2A}"/>
    <cellStyle name="Normal 5 2 3 4 3" xfId="2160" xr:uid="{C5ACD674-4286-456D-8CBD-4357EC20F3CC}"/>
    <cellStyle name="Normal 5 2 3 4 3 2" xfId="4389" xr:uid="{1FE7600C-4ADC-423C-B98C-610EB434A123}"/>
    <cellStyle name="Normal 5 2 3 4 3 2 2" xfId="8607" xr:uid="{5FED13F8-FBE0-4F69-BE6E-9C838A844C67}"/>
    <cellStyle name="Normal 5 2 3 4 3 3" xfId="6462" xr:uid="{25BE2CAC-D242-4C06-B2D1-E2503CA455F0}"/>
    <cellStyle name="Normal 5 2 3 4 4" xfId="2573" xr:uid="{9007D5F1-4D89-4A2E-9DCA-692FD1987F63}"/>
    <cellStyle name="Normal 5 2 3 4 4 2" xfId="4802" xr:uid="{CD03DB5E-D230-47BE-9697-53200B1970A8}"/>
    <cellStyle name="Normal 5 2 3 4 4 2 2" xfId="9020" xr:uid="{DF43304A-34ED-4B6B-B30F-49AE72AAC825}"/>
    <cellStyle name="Normal 5 2 3 4 4 3" xfId="6875" xr:uid="{3721A599-D623-402D-9EF6-4D18EFFDC3C7}"/>
    <cellStyle name="Normal 5 2 3 4 5" xfId="2986" xr:uid="{396EF3A0-6766-4643-A8C6-FC24154008FD}"/>
    <cellStyle name="Normal 5 2 3 4 5 2" xfId="5215" xr:uid="{29314D6E-62B2-443C-8A21-B9A37FD9FF89}"/>
    <cellStyle name="Normal 5 2 3 4 5 2 2" xfId="9433" xr:uid="{254BCB53-8B8A-40DF-9ACB-19C8F272798A}"/>
    <cellStyle name="Normal 5 2 3 4 5 3" xfId="7288" xr:uid="{F692D97F-B047-45F4-82CB-9FF56134DBA2}"/>
    <cellStyle name="Normal 5 2 3 4 6" xfId="3422" xr:uid="{701B1006-2D45-41E9-A242-FFE780227930}"/>
    <cellStyle name="Normal 5 2 3 4 6 2" xfId="7701" xr:uid="{81FA553C-4266-4695-B9E0-A4F62D689D9E}"/>
    <cellStyle name="Normal 5 2 3 4 7" xfId="5636" xr:uid="{03675AF8-2318-4A54-94CA-73CB5661ADE9}"/>
    <cellStyle name="Normal 5 2 3 4 8" xfId="1332" xr:uid="{0A61E059-6CE5-426D-88FD-F1FF52BF7B6B}"/>
    <cellStyle name="Normal 5 2 3 5" xfId="906" xr:uid="{00000000-0005-0000-0000-000003030000}"/>
    <cellStyle name="Normal 5 2 3 5 2" xfId="3969" xr:uid="{DE91ABC6-8E2F-4F04-AA63-9DB019E01326}"/>
    <cellStyle name="Normal 5 2 3 5 2 2" xfId="8187" xr:uid="{6FCDF79D-FFF9-46EF-AAC4-842F9E791A19}"/>
    <cellStyle name="Normal 5 2 3 5 3" xfId="6042" xr:uid="{7A90BDC6-A09C-4964-9239-5C3C34086365}"/>
    <cellStyle name="Normal 5 2 3 5 4" xfId="1740" xr:uid="{74D7BCF7-319C-46A7-B029-698CDC02DF72}"/>
    <cellStyle name="Normal 5 2 3 6" xfId="2153" xr:uid="{5A7059A2-E921-428E-8BC9-888A294C474C}"/>
    <cellStyle name="Normal 5 2 3 6 2" xfId="4382" xr:uid="{59A21231-5AC8-460F-AFC5-7C5F787B8361}"/>
    <cellStyle name="Normal 5 2 3 6 2 2" xfId="8600" xr:uid="{2B31607E-8D04-4334-BD75-46140CE058B1}"/>
    <cellStyle name="Normal 5 2 3 6 3" xfId="6455" xr:uid="{06BE4396-D562-4235-95AE-6777E08624FC}"/>
    <cellStyle name="Normal 5 2 3 7" xfId="2566" xr:uid="{69928D28-ABA5-4067-815A-E22F05697D91}"/>
    <cellStyle name="Normal 5 2 3 7 2" xfId="4795" xr:uid="{E96D5113-D802-48AF-A787-014ECC9C40A4}"/>
    <cellStyle name="Normal 5 2 3 7 2 2" xfId="9013" xr:uid="{6C339979-6DC9-4653-B4FF-9F7D39D84C1A}"/>
    <cellStyle name="Normal 5 2 3 7 3" xfId="6868" xr:uid="{C2D928A7-D83B-4A7A-9A52-81CC2CCD9359}"/>
    <cellStyle name="Normal 5 2 3 8" xfId="2979" xr:uid="{CF3C8DA8-B3EE-44CB-A685-A587AC424A8B}"/>
    <cellStyle name="Normal 5 2 3 8 2" xfId="5208" xr:uid="{BE92EDCF-F222-47A1-BB97-C24BF103066B}"/>
    <cellStyle name="Normal 5 2 3 8 2 2" xfId="9426" xr:uid="{311E15F9-7618-4EBE-ABEA-F94FF9A20C8C}"/>
    <cellStyle name="Normal 5 2 3 8 3" xfId="7281" xr:uid="{4874F2DC-623A-453E-9175-BA2DEDAA3CC8}"/>
    <cellStyle name="Normal 5 2 3 9" xfId="3415" xr:uid="{5201B266-18AD-439A-815B-0BB322AEDDFB}"/>
    <cellStyle name="Normal 5 2 3 9 2" xfId="7694" xr:uid="{80236566-EEC1-4970-95A9-1603175F929F}"/>
    <cellStyle name="Normal 5 2 4" xfId="435" xr:uid="{00000000-0005-0000-0000-000004030000}"/>
    <cellStyle name="Normal 5 2 4 10" xfId="1333" xr:uid="{37B695C8-EC1B-45DE-B095-7BAADA65E990}"/>
    <cellStyle name="Normal 5 2 4 2" xfId="436" xr:uid="{00000000-0005-0000-0000-000005030000}"/>
    <cellStyle name="Normal 5 2 4 2 2" xfId="437" xr:uid="{00000000-0005-0000-0000-000006030000}"/>
    <cellStyle name="Normal 5 2 4 2 2 2" xfId="916" xr:uid="{00000000-0005-0000-0000-000007030000}"/>
    <cellStyle name="Normal 5 2 4 2 2 2 2" xfId="3979" xr:uid="{0524B61C-9884-493F-9491-1A94069328C1}"/>
    <cellStyle name="Normal 5 2 4 2 2 2 2 2" xfId="8197" xr:uid="{030AFEDD-11B7-457A-9B22-BB5038B628A1}"/>
    <cellStyle name="Normal 5 2 4 2 2 2 3" xfId="6052" xr:uid="{2E878C34-A314-4ED5-9878-68817BCD3A2C}"/>
    <cellStyle name="Normal 5 2 4 2 2 2 4" xfId="1750" xr:uid="{E724B2B4-D700-444B-AFC8-05CE902F4DA0}"/>
    <cellStyle name="Normal 5 2 4 2 2 3" xfId="2163" xr:uid="{CC21F471-8975-47B3-B2F4-F497ECD7B4CB}"/>
    <cellStyle name="Normal 5 2 4 2 2 3 2" xfId="4392" xr:uid="{CC317C64-F8E5-4AE1-B460-1B9E07A63640}"/>
    <cellStyle name="Normal 5 2 4 2 2 3 2 2" xfId="8610" xr:uid="{D694E0AA-DE0C-4DB4-AEB6-80616495532D}"/>
    <cellStyle name="Normal 5 2 4 2 2 3 3" xfId="6465" xr:uid="{956B7B5D-BDA2-45E2-9CE5-540C54E8CA65}"/>
    <cellStyle name="Normal 5 2 4 2 2 4" xfId="2576" xr:uid="{3123A913-38F9-4A14-97C3-1B325BB6F4C7}"/>
    <cellStyle name="Normal 5 2 4 2 2 4 2" xfId="4805" xr:uid="{9D99A11A-B2F3-4C85-A105-E0578B8CB96C}"/>
    <cellStyle name="Normal 5 2 4 2 2 4 2 2" xfId="9023" xr:uid="{6ABAEEF9-9E04-48AF-A9A1-2FD1709AA897}"/>
    <cellStyle name="Normal 5 2 4 2 2 4 3" xfId="6878" xr:uid="{5FFE915D-10AC-412B-A133-5EB9615E2507}"/>
    <cellStyle name="Normal 5 2 4 2 2 5" xfId="2989" xr:uid="{A77F6DCA-BD97-4D77-905E-4992E407EC3D}"/>
    <cellStyle name="Normal 5 2 4 2 2 5 2" xfId="5218" xr:uid="{738F2071-0FBC-4AA9-95C2-F0833254B8B5}"/>
    <cellStyle name="Normal 5 2 4 2 2 5 2 2" xfId="9436" xr:uid="{4FCE77D1-8ED5-4A74-B5B1-788C84358AD6}"/>
    <cellStyle name="Normal 5 2 4 2 2 5 3" xfId="7291" xr:uid="{26A0A98C-5F08-4CCE-ADDD-E62ECB947099}"/>
    <cellStyle name="Normal 5 2 4 2 2 6" xfId="3425" xr:uid="{A5FA3A94-3FFE-4D2B-B337-146818AB7068}"/>
    <cellStyle name="Normal 5 2 4 2 2 6 2" xfId="7704" xr:uid="{AC808B4F-664D-4A2C-8F46-62C87FF5F957}"/>
    <cellStyle name="Normal 5 2 4 2 2 7" xfId="5639" xr:uid="{4B803964-F9D9-4A9A-970F-AE53E66CFC05}"/>
    <cellStyle name="Normal 5 2 4 2 2 8" xfId="1335" xr:uid="{AAFC718C-13AD-44E9-9984-66D59D2BA762}"/>
    <cellStyle name="Normal 5 2 4 2 3" xfId="915" xr:uid="{00000000-0005-0000-0000-000008030000}"/>
    <cellStyle name="Normal 5 2 4 2 3 2" xfId="3978" xr:uid="{D52D3160-EBBC-4F33-B185-C7B6C293D22B}"/>
    <cellStyle name="Normal 5 2 4 2 3 2 2" xfId="8196" xr:uid="{119F099A-0735-4945-B5B1-AF42B4B9A663}"/>
    <cellStyle name="Normal 5 2 4 2 3 3" xfId="6051" xr:uid="{D452602C-0C28-41EC-ADA3-2A0984E0CA27}"/>
    <cellStyle name="Normal 5 2 4 2 3 4" xfId="1749" xr:uid="{49588B41-5D44-4E5F-91E8-F588D4C1EDD6}"/>
    <cellStyle name="Normal 5 2 4 2 4" xfId="2162" xr:uid="{3C361F18-396D-4522-8835-8F674DDC1DAA}"/>
    <cellStyle name="Normal 5 2 4 2 4 2" xfId="4391" xr:uid="{E0A594CB-535E-4975-B597-20F111E19F17}"/>
    <cellStyle name="Normal 5 2 4 2 4 2 2" xfId="8609" xr:uid="{0FF9A8FC-D622-409D-8F05-BA97DA3167C9}"/>
    <cellStyle name="Normal 5 2 4 2 4 3" xfId="6464" xr:uid="{9679A0D2-5298-4A22-A598-A69BF6118E1D}"/>
    <cellStyle name="Normal 5 2 4 2 5" xfId="2575" xr:uid="{C4336056-1A36-4F98-8237-2889E89981D1}"/>
    <cellStyle name="Normal 5 2 4 2 5 2" xfId="4804" xr:uid="{8BCA7FBB-1A6F-4B56-95F2-F145CBB72A8B}"/>
    <cellStyle name="Normal 5 2 4 2 5 2 2" xfId="9022" xr:uid="{268B5623-9AD7-45FF-BFEA-76B3CD9F5A7A}"/>
    <cellStyle name="Normal 5 2 4 2 5 3" xfId="6877" xr:uid="{044B2791-0289-457F-AD05-C99AB0459E8E}"/>
    <cellStyle name="Normal 5 2 4 2 6" xfId="2988" xr:uid="{87DBFE15-DB0F-4CBC-8894-4EBD8278F8F0}"/>
    <cellStyle name="Normal 5 2 4 2 6 2" xfId="5217" xr:uid="{55D18D89-9564-4E28-B6BB-9996A56A8792}"/>
    <cellStyle name="Normal 5 2 4 2 6 2 2" xfId="9435" xr:uid="{0EC5443D-AA5F-454E-B2F1-BAED5C656634}"/>
    <cellStyle name="Normal 5 2 4 2 6 3" xfId="7290" xr:uid="{C6063BB2-8BAA-45CB-BF20-A801E6DD0D1F}"/>
    <cellStyle name="Normal 5 2 4 2 7" xfId="3424" xr:uid="{FF762750-C9CC-4E78-83A1-52DD5B69DAB8}"/>
    <cellStyle name="Normal 5 2 4 2 7 2" xfId="7703" xr:uid="{2F8C3A4E-924E-445B-910A-663434057538}"/>
    <cellStyle name="Normal 5 2 4 2 8" xfId="5638" xr:uid="{54DDCDE4-E5E2-4EE3-A844-E362C79B284B}"/>
    <cellStyle name="Normal 5 2 4 2 9" xfId="1334" xr:uid="{06D33299-F6ED-4A11-9E7F-05C4FA4C3464}"/>
    <cellStyle name="Normal 5 2 4 3" xfId="438" xr:uid="{00000000-0005-0000-0000-000009030000}"/>
    <cellStyle name="Normal 5 2 4 3 2" xfId="917" xr:uid="{00000000-0005-0000-0000-00000A030000}"/>
    <cellStyle name="Normal 5 2 4 3 2 2" xfId="3980" xr:uid="{BA9D8D1E-294E-4368-8E7A-34D7C187C273}"/>
    <cellStyle name="Normal 5 2 4 3 2 2 2" xfId="8198" xr:uid="{1C26EAB6-D57B-4B76-B32C-7F5B43CACA11}"/>
    <cellStyle name="Normal 5 2 4 3 2 3" xfId="6053" xr:uid="{422A525E-8D07-4960-AC23-808D418B894B}"/>
    <cellStyle name="Normal 5 2 4 3 2 4" xfId="1751" xr:uid="{ABEF9330-B03E-40C9-ACE9-541564D92B8A}"/>
    <cellStyle name="Normal 5 2 4 3 3" xfId="2164" xr:uid="{9CC66374-1591-4C96-AE21-53F5E2110A8A}"/>
    <cellStyle name="Normal 5 2 4 3 3 2" xfId="4393" xr:uid="{FAC6722B-A61A-4928-BA5B-CA1B33DB6BBD}"/>
    <cellStyle name="Normal 5 2 4 3 3 2 2" xfId="8611" xr:uid="{F8F2F2DF-3375-4576-BB6E-7B27C76AEDA2}"/>
    <cellStyle name="Normal 5 2 4 3 3 3" xfId="6466" xr:uid="{D56FF518-54A0-4507-960F-520003F111C8}"/>
    <cellStyle name="Normal 5 2 4 3 4" xfId="2577" xr:uid="{54886EE1-A722-468B-832A-26763E37B592}"/>
    <cellStyle name="Normal 5 2 4 3 4 2" xfId="4806" xr:uid="{03DF7F84-ADCB-48F5-BBE8-2ED7FE2FB43F}"/>
    <cellStyle name="Normal 5 2 4 3 4 2 2" xfId="9024" xr:uid="{0F3935EF-98EB-43C7-8434-275C5DD8F521}"/>
    <cellStyle name="Normal 5 2 4 3 4 3" xfId="6879" xr:uid="{13F54885-9497-4BCF-9296-CD5A3C838FCD}"/>
    <cellStyle name="Normal 5 2 4 3 5" xfId="2990" xr:uid="{915A5C29-BCC2-49D2-B042-465916CC2338}"/>
    <cellStyle name="Normal 5 2 4 3 5 2" xfId="5219" xr:uid="{118A4BBD-DD07-48CC-94D3-07E0F7285D4F}"/>
    <cellStyle name="Normal 5 2 4 3 5 2 2" xfId="9437" xr:uid="{EC44E41F-A6B4-4C40-94A0-E5EF2DC40B73}"/>
    <cellStyle name="Normal 5 2 4 3 5 3" xfId="7292" xr:uid="{8EF5CE39-AE07-4EED-B1CC-7D7CB86AAB80}"/>
    <cellStyle name="Normal 5 2 4 3 6" xfId="3426" xr:uid="{2AABABC8-DA90-4EE0-9541-057CCDFB2EFE}"/>
    <cellStyle name="Normal 5 2 4 3 6 2" xfId="7705" xr:uid="{CBC6A91F-0DC3-4457-B54D-ED7B3AD76E0E}"/>
    <cellStyle name="Normal 5 2 4 3 7" xfId="5640" xr:uid="{92ABAF4C-8636-4AD8-B8A3-63DE012FB3A6}"/>
    <cellStyle name="Normal 5 2 4 3 8" xfId="1336" xr:uid="{7977B951-4D16-4F1C-8D44-E8BA436CA4C4}"/>
    <cellStyle name="Normal 5 2 4 4" xfId="914" xr:uid="{00000000-0005-0000-0000-00000B030000}"/>
    <cellStyle name="Normal 5 2 4 4 2" xfId="3977" xr:uid="{655D00B1-E1C2-44C2-9744-1F176306412A}"/>
    <cellStyle name="Normal 5 2 4 4 2 2" xfId="8195" xr:uid="{4182473A-CFC1-4500-A71D-520F1F6469A9}"/>
    <cellStyle name="Normal 5 2 4 4 3" xfId="6050" xr:uid="{F0DA31A3-1ADF-4740-A8B8-AA7B944B8404}"/>
    <cellStyle name="Normal 5 2 4 4 4" xfId="1748" xr:uid="{827E4C16-B6CD-4D2F-B6D3-32414141EB55}"/>
    <cellStyle name="Normal 5 2 4 5" xfId="2161" xr:uid="{89B27A4E-E5F2-40E2-9C63-43846F3B203A}"/>
    <cellStyle name="Normal 5 2 4 5 2" xfId="4390" xr:uid="{ACBF4A08-0DE6-48AE-964E-F3DFA0E28214}"/>
    <cellStyle name="Normal 5 2 4 5 2 2" xfId="8608" xr:uid="{7D298732-52E4-4D6F-BEBA-CD5470FC17A9}"/>
    <cellStyle name="Normal 5 2 4 5 3" xfId="6463" xr:uid="{22B1A792-AFD2-4DAB-A3E1-D407178644AD}"/>
    <cellStyle name="Normal 5 2 4 6" xfId="2574" xr:uid="{70AE5D96-B21F-4789-8A20-1C0E1C811C09}"/>
    <cellStyle name="Normal 5 2 4 6 2" xfId="4803" xr:uid="{C1094C1E-14CA-43AF-9A08-1D77CB63B74A}"/>
    <cellStyle name="Normal 5 2 4 6 2 2" xfId="9021" xr:uid="{6D1ECD35-B483-4504-AAB4-FB4E3ACA1054}"/>
    <cellStyle name="Normal 5 2 4 6 3" xfId="6876" xr:uid="{926BC44B-4A1A-4328-9410-A1582C5D339F}"/>
    <cellStyle name="Normal 5 2 4 7" xfId="2987" xr:uid="{33496F5E-3D09-4E56-8ADC-A6DFBC68F556}"/>
    <cellStyle name="Normal 5 2 4 7 2" xfId="5216" xr:uid="{059D390E-5BAF-4003-B21F-082681E9C21F}"/>
    <cellStyle name="Normal 5 2 4 7 2 2" xfId="9434" xr:uid="{A548AAC9-BC42-4F54-AB65-56B16490A525}"/>
    <cellStyle name="Normal 5 2 4 7 3" xfId="7289" xr:uid="{BD4415B9-4917-4381-8D1C-2E9E3897256F}"/>
    <cellStyle name="Normal 5 2 4 8" xfId="3423" xr:uid="{BFDEE8C2-6747-475D-8267-4BAF27D32780}"/>
    <cellStyle name="Normal 5 2 4 8 2" xfId="7702" xr:uid="{901F8E76-6893-4A9D-B77B-88CD04D9144E}"/>
    <cellStyle name="Normal 5 2 4 9" xfId="5637" xr:uid="{E647F72A-7B41-4B16-AC94-ABD4E21A06BA}"/>
    <cellStyle name="Normal 5 2 5" xfId="439" xr:uid="{00000000-0005-0000-0000-00000C030000}"/>
    <cellStyle name="Normal 5 2 5 2" xfId="440" xr:uid="{00000000-0005-0000-0000-00000D030000}"/>
    <cellStyle name="Normal 5 2 5 2 2" xfId="919" xr:uid="{00000000-0005-0000-0000-00000E030000}"/>
    <cellStyle name="Normal 5 2 5 2 2 2" xfId="3982" xr:uid="{4D7DC73C-DB2B-4F71-B6AD-B9CD5EA3BAC5}"/>
    <cellStyle name="Normal 5 2 5 2 2 2 2" xfId="8200" xr:uid="{FD7A16FF-865D-4B2C-A4A9-64146EF3E618}"/>
    <cellStyle name="Normal 5 2 5 2 2 3" xfId="6055" xr:uid="{51D47F7C-E976-4509-A12E-FB55679B634F}"/>
    <cellStyle name="Normal 5 2 5 2 2 4" xfId="1753" xr:uid="{4CF0F090-AAFA-496A-A0DD-EF85C8A4E4D5}"/>
    <cellStyle name="Normal 5 2 5 2 3" xfId="2166" xr:uid="{D1A643F7-C791-4BD3-898D-8E20A01BD699}"/>
    <cellStyle name="Normal 5 2 5 2 3 2" xfId="4395" xr:uid="{797CD1B4-46AB-447D-986C-27E52F047747}"/>
    <cellStyle name="Normal 5 2 5 2 3 2 2" xfId="8613" xr:uid="{847AF723-519E-4065-B34F-B94DE90D645A}"/>
    <cellStyle name="Normal 5 2 5 2 3 3" xfId="6468" xr:uid="{3476D65E-C33E-4B3F-901E-D14FE1B9AE9C}"/>
    <cellStyle name="Normal 5 2 5 2 4" xfId="2579" xr:uid="{1C09DBD6-B202-4DCD-B143-94B5AD5B350A}"/>
    <cellStyle name="Normal 5 2 5 2 4 2" xfId="4808" xr:uid="{C3D23F35-5074-4420-8463-626D77F98E77}"/>
    <cellStyle name="Normal 5 2 5 2 4 2 2" xfId="9026" xr:uid="{7C441059-E8AE-49F5-A96C-2E9785012274}"/>
    <cellStyle name="Normal 5 2 5 2 4 3" xfId="6881" xr:uid="{62EFA394-09DB-4F50-8A56-782C24EEF33E}"/>
    <cellStyle name="Normal 5 2 5 2 5" xfId="2992" xr:uid="{34C558EC-FC77-4C25-994C-A22269082A86}"/>
    <cellStyle name="Normal 5 2 5 2 5 2" xfId="5221" xr:uid="{0DEA4CD8-4367-4635-9E6D-3DC896920F06}"/>
    <cellStyle name="Normal 5 2 5 2 5 2 2" xfId="9439" xr:uid="{1D697EA7-C691-49C6-815E-513A0DB2123D}"/>
    <cellStyle name="Normal 5 2 5 2 5 3" xfId="7294" xr:uid="{631BAB86-0363-4537-99B4-A382CB4FE0B9}"/>
    <cellStyle name="Normal 5 2 5 2 6" xfId="3428" xr:uid="{B0A75DCC-153F-4607-A2C0-6F0FBF6211AF}"/>
    <cellStyle name="Normal 5 2 5 2 6 2" xfId="7707" xr:uid="{B4F12AC4-9572-4D6C-975A-C31380578EC5}"/>
    <cellStyle name="Normal 5 2 5 2 7" xfId="5642" xr:uid="{2A46FFDE-8741-4F54-97C4-156E87435D88}"/>
    <cellStyle name="Normal 5 2 5 2 8" xfId="1338" xr:uid="{CE6622C7-400A-463F-87CB-E5CFCCB94A84}"/>
    <cellStyle name="Normal 5 2 5 3" xfId="918" xr:uid="{00000000-0005-0000-0000-00000F030000}"/>
    <cellStyle name="Normal 5 2 5 3 2" xfId="3981" xr:uid="{EC9A56F7-B565-41C6-8CD0-0FFDF533E4E2}"/>
    <cellStyle name="Normal 5 2 5 3 2 2" xfId="8199" xr:uid="{BCFDB966-84BD-4EDC-B9D7-DFF01C32B292}"/>
    <cellStyle name="Normal 5 2 5 3 3" xfId="6054" xr:uid="{073FB73D-ACAE-4F60-93A3-6B1C897DA5BE}"/>
    <cellStyle name="Normal 5 2 5 3 4" xfId="1752" xr:uid="{5319E574-F97C-4474-B16B-AF6F5DB9FF84}"/>
    <cellStyle name="Normal 5 2 5 4" xfId="2165" xr:uid="{34FB24EB-E0C0-4F2E-AC83-05F195DA7D54}"/>
    <cellStyle name="Normal 5 2 5 4 2" xfId="4394" xr:uid="{5FC181AB-475E-4CB8-9D01-3066C833C747}"/>
    <cellStyle name="Normal 5 2 5 4 2 2" xfId="8612" xr:uid="{626C1FB4-078A-4128-BFEE-A9D31FB8C498}"/>
    <cellStyle name="Normal 5 2 5 4 3" xfId="6467" xr:uid="{8DB191AD-67D2-4DBE-A4B6-4EBE1262D907}"/>
    <cellStyle name="Normal 5 2 5 5" xfId="2578" xr:uid="{A65F7422-D87C-449B-99E1-A223F657B2F9}"/>
    <cellStyle name="Normal 5 2 5 5 2" xfId="4807" xr:uid="{6012D982-FFEE-4158-9490-66B167EE1CD5}"/>
    <cellStyle name="Normal 5 2 5 5 2 2" xfId="9025" xr:uid="{A4B81278-C050-488C-BE26-D8347F704BC7}"/>
    <cellStyle name="Normal 5 2 5 5 3" xfId="6880" xr:uid="{0AFC4803-0020-46F4-9196-630E38E6E527}"/>
    <cellStyle name="Normal 5 2 5 6" xfId="2991" xr:uid="{8FD6F9B3-D655-4020-A237-BCC3020A4299}"/>
    <cellStyle name="Normal 5 2 5 6 2" xfId="5220" xr:uid="{5978BC26-6892-48D4-AEFE-01EBCB38A8FC}"/>
    <cellStyle name="Normal 5 2 5 6 2 2" xfId="9438" xr:uid="{FD1D6F80-CF86-418F-B949-DD6ECBB80415}"/>
    <cellStyle name="Normal 5 2 5 6 3" xfId="7293" xr:uid="{39BFA7E6-77CA-4F70-ABBF-89F54908BE44}"/>
    <cellStyle name="Normal 5 2 5 7" xfId="3427" xr:uid="{228C2767-0339-450B-ABB7-D25E63CF9FFA}"/>
    <cellStyle name="Normal 5 2 5 7 2" xfId="7706" xr:uid="{39BE48A8-5C3F-43C9-8B8C-3A3C11A76635}"/>
    <cellStyle name="Normal 5 2 5 8" xfId="5641" xr:uid="{950F9E37-C64F-4408-9990-772108EFC346}"/>
    <cellStyle name="Normal 5 2 5 9" xfId="1337" xr:uid="{867A668B-06A9-4B46-A628-E61C4CC67074}"/>
    <cellStyle name="Normal 5 2 6" xfId="441" xr:uid="{00000000-0005-0000-0000-000010030000}"/>
    <cellStyle name="Normal 5 2 6 2" xfId="920" xr:uid="{00000000-0005-0000-0000-000011030000}"/>
    <cellStyle name="Normal 5 2 6 2 2" xfId="3983" xr:uid="{AB94EB9A-2599-492A-A8E0-649AC8AE293A}"/>
    <cellStyle name="Normal 5 2 6 2 2 2" xfId="8201" xr:uid="{5E7FC99A-2317-4CE0-B1BF-6F67DE46A0C9}"/>
    <cellStyle name="Normal 5 2 6 2 3" xfId="6056" xr:uid="{CC010FE6-3E32-4780-9B02-357EC20D36BC}"/>
    <cellStyle name="Normal 5 2 6 2 4" xfId="1754" xr:uid="{97B7E4DD-050A-453C-8AD9-B5BD9B36A151}"/>
    <cellStyle name="Normal 5 2 6 3" xfId="2167" xr:uid="{E6FB2254-0A86-43C7-87A7-980C16893E10}"/>
    <cellStyle name="Normal 5 2 6 3 2" xfId="4396" xr:uid="{D78765C8-033D-46BA-9B71-A6E82F74EEE9}"/>
    <cellStyle name="Normal 5 2 6 3 2 2" xfId="8614" xr:uid="{EA8EA439-4189-44BB-8200-62013A350753}"/>
    <cellStyle name="Normal 5 2 6 3 3" xfId="6469" xr:uid="{E2939F56-84C8-484A-8A57-5A3D8822A511}"/>
    <cellStyle name="Normal 5 2 6 4" xfId="2580" xr:uid="{9A552A7D-6CD4-4E64-91D4-70FE36706D36}"/>
    <cellStyle name="Normal 5 2 6 4 2" xfId="4809" xr:uid="{768FF006-A0D2-4D97-94EA-F369915C9165}"/>
    <cellStyle name="Normal 5 2 6 4 2 2" xfId="9027" xr:uid="{5E9C64A2-0F7F-4736-8342-455D589A3C34}"/>
    <cellStyle name="Normal 5 2 6 4 3" xfId="6882" xr:uid="{B3155FE2-FF7E-4BF7-944C-CF936E557366}"/>
    <cellStyle name="Normal 5 2 6 5" xfId="2993" xr:uid="{E78C3E2D-16ED-4A72-B0D8-DF453D280F72}"/>
    <cellStyle name="Normal 5 2 6 5 2" xfId="5222" xr:uid="{039AF19A-A630-45E5-AD8D-48D9EDAA6E3D}"/>
    <cellStyle name="Normal 5 2 6 5 2 2" xfId="9440" xr:uid="{401F5F39-3916-41DE-92F0-D00B546F7BD9}"/>
    <cellStyle name="Normal 5 2 6 5 3" xfId="7295" xr:uid="{3C30AD84-82D2-4747-858A-825EC52158D6}"/>
    <cellStyle name="Normal 5 2 6 6" xfId="3429" xr:uid="{AE669A1B-78B9-492E-B0BB-28FC8589FE87}"/>
    <cellStyle name="Normal 5 2 6 6 2" xfId="7708" xr:uid="{B73E7A01-B432-42EF-8B44-A6D6FAF4BB59}"/>
    <cellStyle name="Normal 5 2 6 7" xfId="5643" xr:uid="{46ECC0BC-DA04-4BA9-9D32-429B4F15BCF8}"/>
    <cellStyle name="Normal 5 2 6 8" xfId="1339" xr:uid="{D7A26A3A-DAF1-4319-96A0-30CCA279084F}"/>
    <cellStyle name="Normal 5 2 7" xfId="889" xr:uid="{00000000-0005-0000-0000-000012030000}"/>
    <cellStyle name="Normal 5 2 7 2" xfId="3952" xr:uid="{653C0720-B0F9-45F1-A445-14596A5B7650}"/>
    <cellStyle name="Normal 5 2 7 2 2" xfId="8170" xr:uid="{73F266C1-5880-4CA7-96D0-C5892042D09D}"/>
    <cellStyle name="Normal 5 2 7 3" xfId="6025" xr:uid="{34D23E02-D413-411D-80B0-AC52D3CF3C73}"/>
    <cellStyle name="Normal 5 2 7 4" xfId="1723" xr:uid="{6084C3A6-2242-4E98-AF62-07801EC5B6E6}"/>
    <cellStyle name="Normal 5 2 8" xfId="2136" xr:uid="{45E85BA4-2418-4023-997B-2D1071FA8EA7}"/>
    <cellStyle name="Normal 5 2 8 2" xfId="4365" xr:uid="{48154EDF-A821-494B-903B-D064E82EFF0B}"/>
    <cellStyle name="Normal 5 2 8 2 2" xfId="8583" xr:uid="{9BCB91C9-CD9A-47C4-829D-53B40D7C3F69}"/>
    <cellStyle name="Normal 5 2 8 3" xfId="6438" xr:uid="{8E09B8FF-9EE4-45F8-923B-0D07CDD1C91F}"/>
    <cellStyle name="Normal 5 2 9" xfId="2549" xr:uid="{EAB99D72-57B7-468E-B506-293EC1AB8018}"/>
    <cellStyle name="Normal 5 2 9 2" xfId="4778" xr:uid="{49D424BE-82CD-4064-99C0-47C14F71964E}"/>
    <cellStyle name="Normal 5 2 9 2 2" xfId="8996" xr:uid="{A9A82612-1A9A-4601-A920-336000457730}"/>
    <cellStyle name="Normal 5 2 9 3" xfId="6851" xr:uid="{BD09B0E1-D233-4119-A662-DB190C606D51}"/>
    <cellStyle name="Normal 5 3" xfId="442" xr:uid="{00000000-0005-0000-0000-000013030000}"/>
    <cellStyle name="Normal 5 3 10" xfId="2994" xr:uid="{AF18C1BE-CBAA-41BE-9B1D-5FFD9294C964}"/>
    <cellStyle name="Normal 5 3 10 2" xfId="5223" xr:uid="{AD1F3194-350C-43BF-A1C3-C977CBEDE05A}"/>
    <cellStyle name="Normal 5 3 10 2 2" xfId="9441" xr:uid="{D33F7000-E3E5-4B7A-B44B-A3533C219CB2}"/>
    <cellStyle name="Normal 5 3 10 3" xfId="7296" xr:uid="{3260B019-6729-457E-83AA-60380ED9D62D}"/>
    <cellStyle name="Normal 5 3 11" xfId="3430" xr:uid="{97D380D5-F3CF-4ED5-B04C-45FEE07185EB}"/>
    <cellStyle name="Normal 5 3 11 2" xfId="7709" xr:uid="{62561E3C-51EC-4E93-A017-0A47509D70EB}"/>
    <cellStyle name="Normal 5 3 12" xfId="5644" xr:uid="{2348AB6C-6E9A-4EAA-A52F-250151036A2B}"/>
    <cellStyle name="Normal 5 3 13" xfId="1340" xr:uid="{3DADD464-1429-4940-98C9-640531F66A67}"/>
    <cellStyle name="Normal 5 3 2" xfId="443" xr:uid="{00000000-0005-0000-0000-000014030000}"/>
    <cellStyle name="Normal 5 3 2 2" xfId="922" xr:uid="{00000000-0005-0000-0000-000015030000}"/>
    <cellStyle name="Normal 5 3 3" xfId="444" xr:uid="{00000000-0005-0000-0000-000016030000}"/>
    <cellStyle name="Normal 5 3 3 10" xfId="5645" xr:uid="{3929A2C5-A9B7-49E3-89B7-7B7B240429F6}"/>
    <cellStyle name="Normal 5 3 3 11" xfId="1341" xr:uid="{D1036A82-2FD8-46FA-8F31-B37D5A06EBF2}"/>
    <cellStyle name="Normal 5 3 3 2" xfId="445" xr:uid="{00000000-0005-0000-0000-000017030000}"/>
    <cellStyle name="Normal 5 3 3 2 10" xfId="1342" xr:uid="{D85D25DD-2B13-44F1-BCDD-12FFF7BBE781}"/>
    <cellStyle name="Normal 5 3 3 2 2" xfId="446" xr:uid="{00000000-0005-0000-0000-000018030000}"/>
    <cellStyle name="Normal 5 3 3 2 2 2" xfId="447" xr:uid="{00000000-0005-0000-0000-000019030000}"/>
    <cellStyle name="Normal 5 3 3 2 2 2 2" xfId="926" xr:uid="{00000000-0005-0000-0000-00001A030000}"/>
    <cellStyle name="Normal 5 3 3 2 2 2 2 2" xfId="3988" xr:uid="{8FE59A90-361A-43FD-9A68-55B98313B0FA}"/>
    <cellStyle name="Normal 5 3 3 2 2 2 2 2 2" xfId="8206" xr:uid="{F80454E8-EE74-4BE4-B7E1-68AB55C52381}"/>
    <cellStyle name="Normal 5 3 3 2 2 2 2 3" xfId="6061" xr:uid="{764BBA49-CA12-46FA-BBB6-47463D3426F5}"/>
    <cellStyle name="Normal 5 3 3 2 2 2 2 4" xfId="1759" xr:uid="{0940A70F-A5BC-432B-BEFD-9083AC37E2C1}"/>
    <cellStyle name="Normal 5 3 3 2 2 2 3" xfId="2172" xr:uid="{759DC14C-BCC7-4150-9351-8AA9ADB6ADC1}"/>
    <cellStyle name="Normal 5 3 3 2 2 2 3 2" xfId="4401" xr:uid="{C5AA2BFE-7300-4BE0-8725-6F6146CE53B4}"/>
    <cellStyle name="Normal 5 3 3 2 2 2 3 2 2" xfId="8619" xr:uid="{B9C4662D-C94E-45F7-BD43-13E02808218B}"/>
    <cellStyle name="Normal 5 3 3 2 2 2 3 3" xfId="6474" xr:uid="{AD0A19B0-3FBD-46B1-92AD-1B1A16EBDFAA}"/>
    <cellStyle name="Normal 5 3 3 2 2 2 4" xfId="2585" xr:uid="{D194E799-1DB9-4809-BDF2-6CFE3A13408A}"/>
    <cellStyle name="Normal 5 3 3 2 2 2 4 2" xfId="4814" xr:uid="{433CCF52-F27F-4811-B7B8-06ADAF93DF96}"/>
    <cellStyle name="Normal 5 3 3 2 2 2 4 2 2" xfId="9032" xr:uid="{09CDAD27-BF3F-4FC4-BB8D-9305E42C4A6D}"/>
    <cellStyle name="Normal 5 3 3 2 2 2 4 3" xfId="6887" xr:uid="{37E3CA52-081D-4B4C-A13C-987BE7A1D65F}"/>
    <cellStyle name="Normal 5 3 3 2 2 2 5" xfId="2998" xr:uid="{CB3951C1-67A5-482A-BABC-ADF460FE03C6}"/>
    <cellStyle name="Normal 5 3 3 2 2 2 5 2" xfId="5227" xr:uid="{06EBB06F-D79E-43BB-98D6-30551B682808}"/>
    <cellStyle name="Normal 5 3 3 2 2 2 5 2 2" xfId="9445" xr:uid="{9C801348-A219-43D3-96D6-C239BE2B07FC}"/>
    <cellStyle name="Normal 5 3 3 2 2 2 5 3" xfId="7300" xr:uid="{407BD9EA-FCF9-4B13-8D56-D14B03D60FB1}"/>
    <cellStyle name="Normal 5 3 3 2 2 2 6" xfId="3434" xr:uid="{CA9799AA-3967-42AB-B198-2B2BBD649080}"/>
    <cellStyle name="Normal 5 3 3 2 2 2 6 2" xfId="7713" xr:uid="{3BDFEA82-A73D-4F5D-9BF5-523C4E06EB9A}"/>
    <cellStyle name="Normal 5 3 3 2 2 2 7" xfId="5648" xr:uid="{057D0FFA-5AFF-434A-A6B9-7579DAA7B7E8}"/>
    <cellStyle name="Normal 5 3 3 2 2 2 8" xfId="1344" xr:uid="{07D9E7FE-26A3-4F45-BA3D-A6CF06DD51BE}"/>
    <cellStyle name="Normal 5 3 3 2 2 3" xfId="925" xr:uid="{00000000-0005-0000-0000-00001B030000}"/>
    <cellStyle name="Normal 5 3 3 2 2 3 2" xfId="3987" xr:uid="{07111968-B5F8-4564-AF99-22E67D0D5C7E}"/>
    <cellStyle name="Normal 5 3 3 2 2 3 2 2" xfId="8205" xr:uid="{AD35BEE4-8DE5-4F16-B705-BDD91EDD4744}"/>
    <cellStyle name="Normal 5 3 3 2 2 3 3" xfId="6060" xr:uid="{895075C6-C995-4D09-AA31-0DFBE3323C28}"/>
    <cellStyle name="Normal 5 3 3 2 2 3 4" xfId="1758" xr:uid="{B9A8B330-1254-45B6-B17E-548202737762}"/>
    <cellStyle name="Normal 5 3 3 2 2 4" xfId="2171" xr:uid="{A05CCCCB-F154-460B-8905-E40E810CAA95}"/>
    <cellStyle name="Normal 5 3 3 2 2 4 2" xfId="4400" xr:uid="{77628448-196A-4D8A-9DA1-24E64DF3B046}"/>
    <cellStyle name="Normal 5 3 3 2 2 4 2 2" xfId="8618" xr:uid="{D4979A82-45B7-4E48-AD96-EE021898067F}"/>
    <cellStyle name="Normal 5 3 3 2 2 4 3" xfId="6473" xr:uid="{00E14941-9890-467B-B7AD-D480C1FB8451}"/>
    <cellStyle name="Normal 5 3 3 2 2 5" xfId="2584" xr:uid="{2E83BB88-C5B0-4A41-B55B-F2876D8D79F1}"/>
    <cellStyle name="Normal 5 3 3 2 2 5 2" xfId="4813" xr:uid="{8D47BE4F-AE9D-4F0E-BDFB-A4A5B8E9DCA2}"/>
    <cellStyle name="Normal 5 3 3 2 2 5 2 2" xfId="9031" xr:uid="{5984D0BA-1A62-4E4A-9606-1BF49F6D1D5B}"/>
    <cellStyle name="Normal 5 3 3 2 2 5 3" xfId="6886" xr:uid="{0898AA94-D847-4B7B-8478-4217668EA65A}"/>
    <cellStyle name="Normal 5 3 3 2 2 6" xfId="2997" xr:uid="{F751DD8A-75E9-4E90-8485-9381AFC4B79B}"/>
    <cellStyle name="Normal 5 3 3 2 2 6 2" xfId="5226" xr:uid="{9EA16908-FCD4-44CD-A8A7-C717206AE609}"/>
    <cellStyle name="Normal 5 3 3 2 2 6 2 2" xfId="9444" xr:uid="{F50CFC8B-6A15-4E77-B340-363BE785AEA5}"/>
    <cellStyle name="Normal 5 3 3 2 2 6 3" xfId="7299" xr:uid="{22820DB3-E124-498E-A0FF-64C2CC8120AB}"/>
    <cellStyle name="Normal 5 3 3 2 2 7" xfId="3433" xr:uid="{1E319F72-BB2C-478A-BD9E-2554D334A5BC}"/>
    <cellStyle name="Normal 5 3 3 2 2 7 2" xfId="7712" xr:uid="{22EBEC7E-F4E9-4B22-AB17-CA88EDEB14C6}"/>
    <cellStyle name="Normal 5 3 3 2 2 8" xfId="5647" xr:uid="{CD653F79-7D09-450D-B9E1-2F38BC6CE145}"/>
    <cellStyle name="Normal 5 3 3 2 2 9" xfId="1343" xr:uid="{37EEC2F7-90B5-435A-8A62-905DD2822A24}"/>
    <cellStyle name="Normal 5 3 3 2 3" xfId="448" xr:uid="{00000000-0005-0000-0000-00001C030000}"/>
    <cellStyle name="Normal 5 3 3 2 3 2" xfId="927" xr:uid="{00000000-0005-0000-0000-00001D030000}"/>
    <cellStyle name="Normal 5 3 3 2 3 2 2" xfId="3989" xr:uid="{73D00DA5-10C3-4C12-AB9C-D2873AE7549F}"/>
    <cellStyle name="Normal 5 3 3 2 3 2 2 2" xfId="8207" xr:uid="{491FE773-82C5-4594-96A6-EA8F1F56847C}"/>
    <cellStyle name="Normal 5 3 3 2 3 2 3" xfId="6062" xr:uid="{204300CC-CC3B-496D-98CB-07109F154377}"/>
    <cellStyle name="Normal 5 3 3 2 3 2 4" xfId="1760" xr:uid="{1E78AC32-900E-47C1-BC01-FF6C866B7479}"/>
    <cellStyle name="Normal 5 3 3 2 3 3" xfId="2173" xr:uid="{69B1469F-BD02-40ED-8C49-A86589C38624}"/>
    <cellStyle name="Normal 5 3 3 2 3 3 2" xfId="4402" xr:uid="{E7372270-5103-4B8C-8D98-DF84579EB936}"/>
    <cellStyle name="Normal 5 3 3 2 3 3 2 2" xfId="8620" xr:uid="{6BDFBED4-047F-4A3A-88DA-48896215516A}"/>
    <cellStyle name="Normal 5 3 3 2 3 3 3" xfId="6475" xr:uid="{B274434D-B6EB-47A1-9403-3D5F1488EC35}"/>
    <cellStyle name="Normal 5 3 3 2 3 4" xfId="2586" xr:uid="{B6789EC2-6BA4-4D47-8B83-A88D10109898}"/>
    <cellStyle name="Normal 5 3 3 2 3 4 2" xfId="4815" xr:uid="{D562D8C5-518F-46FA-95E1-E75094AFA82E}"/>
    <cellStyle name="Normal 5 3 3 2 3 4 2 2" xfId="9033" xr:uid="{E0DC683B-4CB1-4BBB-BC79-96BEF5C2FE0D}"/>
    <cellStyle name="Normal 5 3 3 2 3 4 3" xfId="6888" xr:uid="{A3C396BC-E828-4215-BFFA-42FA5C8C29DC}"/>
    <cellStyle name="Normal 5 3 3 2 3 5" xfId="2999" xr:uid="{4C242A75-1BCC-4746-A6CA-759536C52826}"/>
    <cellStyle name="Normal 5 3 3 2 3 5 2" xfId="5228" xr:uid="{03CB7A29-F184-4EF4-AE1D-65A4A7645956}"/>
    <cellStyle name="Normal 5 3 3 2 3 5 2 2" xfId="9446" xr:uid="{B5F7216C-1502-4F32-8B87-A4ACE933A23E}"/>
    <cellStyle name="Normal 5 3 3 2 3 5 3" xfId="7301" xr:uid="{A098E6F1-E721-4A4D-8E28-EC84DD5E60CC}"/>
    <cellStyle name="Normal 5 3 3 2 3 6" xfId="3435" xr:uid="{A9AE5F11-1FB1-4AE1-A03F-58D9845C75CB}"/>
    <cellStyle name="Normal 5 3 3 2 3 6 2" xfId="7714" xr:uid="{9881375D-7F59-49DA-8CC7-A60E131DF446}"/>
    <cellStyle name="Normal 5 3 3 2 3 7" xfId="5649" xr:uid="{BD39D745-0E2D-4BC8-87E8-F5332E667437}"/>
    <cellStyle name="Normal 5 3 3 2 3 8" xfId="1345" xr:uid="{3A3F1AE6-99B1-4E57-983E-76DC6DA05F67}"/>
    <cellStyle name="Normal 5 3 3 2 4" xfId="924" xr:uid="{00000000-0005-0000-0000-00001E030000}"/>
    <cellStyle name="Normal 5 3 3 2 4 2" xfId="3986" xr:uid="{629E124F-BA4B-4BF2-B946-014FD2D8D935}"/>
    <cellStyle name="Normal 5 3 3 2 4 2 2" xfId="8204" xr:uid="{A8857BFC-230C-44FE-9472-D21009572762}"/>
    <cellStyle name="Normal 5 3 3 2 4 3" xfId="6059" xr:uid="{394139CF-97DA-4C8B-9E66-519BB17B7A1F}"/>
    <cellStyle name="Normal 5 3 3 2 4 4" xfId="1757" xr:uid="{C535F629-11B3-492E-8645-BA62DC932DA2}"/>
    <cellStyle name="Normal 5 3 3 2 5" xfId="2170" xr:uid="{C24994AC-0880-48FC-ADF7-6A64BF813247}"/>
    <cellStyle name="Normal 5 3 3 2 5 2" xfId="4399" xr:uid="{C4FD56A2-AAD1-498D-89F7-A8DDDE1C142F}"/>
    <cellStyle name="Normal 5 3 3 2 5 2 2" xfId="8617" xr:uid="{0BF689E6-F501-4B2E-AB69-04681CE3E99B}"/>
    <cellStyle name="Normal 5 3 3 2 5 3" xfId="6472" xr:uid="{39CA5880-5A48-471B-B160-8BA64F180EBB}"/>
    <cellStyle name="Normal 5 3 3 2 6" xfId="2583" xr:uid="{71EAC409-5DBC-416C-A484-233E53794ADF}"/>
    <cellStyle name="Normal 5 3 3 2 6 2" xfId="4812" xr:uid="{E4F49362-8AE2-4AFC-BE0C-6A41E129CB32}"/>
    <cellStyle name="Normal 5 3 3 2 6 2 2" xfId="9030" xr:uid="{55B7F84F-994A-4405-963E-D1562AC43E40}"/>
    <cellStyle name="Normal 5 3 3 2 6 3" xfId="6885" xr:uid="{2EA8FADC-FE8A-4DA2-BE89-B49E16A88048}"/>
    <cellStyle name="Normal 5 3 3 2 7" xfId="2996" xr:uid="{3EE4B07F-4DF5-4175-9007-DA407730A5DE}"/>
    <cellStyle name="Normal 5 3 3 2 7 2" xfId="5225" xr:uid="{F2103850-6E22-4FCB-AFC2-94800DA73E12}"/>
    <cellStyle name="Normal 5 3 3 2 7 2 2" xfId="9443" xr:uid="{9B78AAF3-0DE7-4624-BBA3-828F61E34792}"/>
    <cellStyle name="Normal 5 3 3 2 7 3" xfId="7298" xr:uid="{6E80CA92-4B24-4324-AA7A-9EA94EA7BCFE}"/>
    <cellStyle name="Normal 5 3 3 2 8" xfId="3432" xr:uid="{D52C9902-D08D-4FB6-A1E9-05D0C976BC28}"/>
    <cellStyle name="Normal 5 3 3 2 8 2" xfId="7711" xr:uid="{4D3E53F8-DA7D-4A7C-B48F-F0A4DE320F8F}"/>
    <cellStyle name="Normal 5 3 3 2 9" xfId="5646" xr:uid="{2689E94C-ADE2-4658-983A-7FF4B8E90B3D}"/>
    <cellStyle name="Normal 5 3 3 3" xfId="449" xr:uid="{00000000-0005-0000-0000-00001F030000}"/>
    <cellStyle name="Normal 5 3 3 3 2" xfId="450" xr:uid="{00000000-0005-0000-0000-000020030000}"/>
    <cellStyle name="Normal 5 3 3 3 2 2" xfId="929" xr:uid="{00000000-0005-0000-0000-000021030000}"/>
    <cellStyle name="Normal 5 3 3 3 2 2 2" xfId="3991" xr:uid="{D317BD28-CA3A-457B-96FB-78A9F41DFEFE}"/>
    <cellStyle name="Normal 5 3 3 3 2 2 2 2" xfId="8209" xr:uid="{ADBE0BC0-E135-4D5A-B95B-4017C71C44C5}"/>
    <cellStyle name="Normal 5 3 3 3 2 2 3" xfId="6064" xr:uid="{8CEAC539-F43B-4E64-B9C8-05FCE38FE34F}"/>
    <cellStyle name="Normal 5 3 3 3 2 2 4" xfId="1762" xr:uid="{711800FB-8F94-4CE1-A7E7-52C26F38C1C4}"/>
    <cellStyle name="Normal 5 3 3 3 2 3" xfId="2175" xr:uid="{C5B645E8-72DC-42DA-8C11-CBD65A145134}"/>
    <cellStyle name="Normal 5 3 3 3 2 3 2" xfId="4404" xr:uid="{55A6EFB5-0D6E-4048-9D36-2391862F8929}"/>
    <cellStyle name="Normal 5 3 3 3 2 3 2 2" xfId="8622" xr:uid="{1B655461-081E-4CE8-BE7E-59C893AA88D5}"/>
    <cellStyle name="Normal 5 3 3 3 2 3 3" xfId="6477" xr:uid="{1924DBF3-AB12-4778-9546-28E433D2CD14}"/>
    <cellStyle name="Normal 5 3 3 3 2 4" xfId="2588" xr:uid="{D13D1C67-E4F7-4B20-949E-41BABF5D16BA}"/>
    <cellStyle name="Normal 5 3 3 3 2 4 2" xfId="4817" xr:uid="{5C3943D9-724B-410B-B101-8C199C0D8E0C}"/>
    <cellStyle name="Normal 5 3 3 3 2 4 2 2" xfId="9035" xr:uid="{D8425B76-B261-40BA-AD75-4A037474B714}"/>
    <cellStyle name="Normal 5 3 3 3 2 4 3" xfId="6890" xr:uid="{C07F0D09-02A7-4207-AC33-32F05D8DFAFF}"/>
    <cellStyle name="Normal 5 3 3 3 2 5" xfId="3001" xr:uid="{C88ABCCE-D92D-47D9-AFEE-B4E02ED5E801}"/>
    <cellStyle name="Normal 5 3 3 3 2 5 2" xfId="5230" xr:uid="{F9BB02D3-2505-4863-80C8-37F1C493FF03}"/>
    <cellStyle name="Normal 5 3 3 3 2 5 2 2" xfId="9448" xr:uid="{5654DBDC-E654-479A-9B9D-A3F5A0388DD0}"/>
    <cellStyle name="Normal 5 3 3 3 2 5 3" xfId="7303" xr:uid="{AC6ADDF8-CB04-476A-B629-0B9491FF21DF}"/>
    <cellStyle name="Normal 5 3 3 3 2 6" xfId="3437" xr:uid="{6D0651B6-1731-4153-9607-E36AA134904E}"/>
    <cellStyle name="Normal 5 3 3 3 2 6 2" xfId="7716" xr:uid="{BDDF9098-C9ED-457E-994D-BB2EB93BDB68}"/>
    <cellStyle name="Normal 5 3 3 3 2 7" xfId="5651" xr:uid="{AC5A4439-A37C-45B2-9DB6-63A034AF482F}"/>
    <cellStyle name="Normal 5 3 3 3 2 8" xfId="1347" xr:uid="{686CA4CA-89E7-40A8-9120-DB97D72362B4}"/>
    <cellStyle name="Normal 5 3 3 3 3" xfId="928" xr:uid="{00000000-0005-0000-0000-000022030000}"/>
    <cellStyle name="Normal 5 3 3 3 3 2" xfId="3990" xr:uid="{CAA00070-541B-4C17-B2F9-BF8F2A6E7747}"/>
    <cellStyle name="Normal 5 3 3 3 3 2 2" xfId="8208" xr:uid="{AE1E3A94-64E5-48DC-8F72-53D83DA1B941}"/>
    <cellStyle name="Normal 5 3 3 3 3 3" xfId="6063" xr:uid="{DF2D3D92-90E9-4191-B92F-A8BC10C230A8}"/>
    <cellStyle name="Normal 5 3 3 3 3 4" xfId="1761" xr:uid="{72AFD495-844D-4958-B2CF-C3B512E039BA}"/>
    <cellStyle name="Normal 5 3 3 3 4" xfId="2174" xr:uid="{2854215A-7F2C-437D-9BE5-0692EE38DEB5}"/>
    <cellStyle name="Normal 5 3 3 3 4 2" xfId="4403" xr:uid="{E52981E9-4951-4B95-9131-56E83FD35DE4}"/>
    <cellStyle name="Normal 5 3 3 3 4 2 2" xfId="8621" xr:uid="{1B76039B-B433-4A45-83D5-2866E0AAB785}"/>
    <cellStyle name="Normal 5 3 3 3 4 3" xfId="6476" xr:uid="{9775FF0C-BF19-429B-A0AD-84C37E87419B}"/>
    <cellStyle name="Normal 5 3 3 3 5" xfId="2587" xr:uid="{12F73F74-FA3F-4CA9-B60E-06A42F527DCF}"/>
    <cellStyle name="Normal 5 3 3 3 5 2" xfId="4816" xr:uid="{665B7942-C649-4349-A209-20A31B86AEA9}"/>
    <cellStyle name="Normal 5 3 3 3 5 2 2" xfId="9034" xr:uid="{0169CE70-09DA-47FC-A897-CE0DFEA1307A}"/>
    <cellStyle name="Normal 5 3 3 3 5 3" xfId="6889" xr:uid="{1EC286C3-12EC-4358-A057-EB1B5F6B7EC6}"/>
    <cellStyle name="Normal 5 3 3 3 6" xfId="3000" xr:uid="{62FAF50C-41D3-40C8-8E46-82E545119580}"/>
    <cellStyle name="Normal 5 3 3 3 6 2" xfId="5229" xr:uid="{063347F5-BCB9-4529-ACBA-C3B7BDBAB0DF}"/>
    <cellStyle name="Normal 5 3 3 3 6 2 2" xfId="9447" xr:uid="{26547981-9739-47D3-AE6B-B4EB09FB76F5}"/>
    <cellStyle name="Normal 5 3 3 3 6 3" xfId="7302" xr:uid="{C40E2522-8A1A-44B3-B203-699EACF12B43}"/>
    <cellStyle name="Normal 5 3 3 3 7" xfId="3436" xr:uid="{528A6EFA-3567-41E0-8DD3-7BE06F5719B8}"/>
    <cellStyle name="Normal 5 3 3 3 7 2" xfId="7715" xr:uid="{4EF1E2EA-9B63-4F80-B09F-51A55CC65492}"/>
    <cellStyle name="Normal 5 3 3 3 8" xfId="5650" xr:uid="{39607F9E-CAC8-4A12-AE08-C71A0059CF4C}"/>
    <cellStyle name="Normal 5 3 3 3 9" xfId="1346" xr:uid="{24813BC0-069F-4494-BF4A-EEAAF1D39BD3}"/>
    <cellStyle name="Normal 5 3 3 4" xfId="451" xr:uid="{00000000-0005-0000-0000-000023030000}"/>
    <cellStyle name="Normal 5 3 3 4 2" xfId="930" xr:uid="{00000000-0005-0000-0000-000024030000}"/>
    <cellStyle name="Normal 5 3 3 4 2 2" xfId="3992" xr:uid="{9A26F17F-ADC0-4304-9558-427227EF3E74}"/>
    <cellStyle name="Normal 5 3 3 4 2 2 2" xfId="8210" xr:uid="{18EEF11F-F699-4A78-AB33-6CAD40687B44}"/>
    <cellStyle name="Normal 5 3 3 4 2 3" xfId="6065" xr:uid="{6B074709-AD85-4BF3-BD16-598330C616E6}"/>
    <cellStyle name="Normal 5 3 3 4 2 4" xfId="1763" xr:uid="{B177BCF1-F0BE-4E6A-93E0-FC58B04CD43F}"/>
    <cellStyle name="Normal 5 3 3 4 3" xfId="2176" xr:uid="{B2BD5742-F52E-4A7E-95CF-92E1A69B7597}"/>
    <cellStyle name="Normal 5 3 3 4 3 2" xfId="4405" xr:uid="{638E9303-5D02-4600-8FE4-81A0BBC60378}"/>
    <cellStyle name="Normal 5 3 3 4 3 2 2" xfId="8623" xr:uid="{6C6CC0C7-46DA-4D64-868C-E1CB93912595}"/>
    <cellStyle name="Normal 5 3 3 4 3 3" xfId="6478" xr:uid="{356F87A8-3E8A-4EBC-B306-4F4D56B5E96C}"/>
    <cellStyle name="Normal 5 3 3 4 4" xfId="2589" xr:uid="{E77A6C5E-E7FD-4EEF-8693-7C40257FE79B}"/>
    <cellStyle name="Normal 5 3 3 4 4 2" xfId="4818" xr:uid="{E961A68F-2EEC-468D-8A52-BE008F6DD122}"/>
    <cellStyle name="Normal 5 3 3 4 4 2 2" xfId="9036" xr:uid="{2328E046-6645-49BD-948C-82AD77026F3B}"/>
    <cellStyle name="Normal 5 3 3 4 4 3" xfId="6891" xr:uid="{6F1481A0-3A55-4447-A0C1-363461F2F073}"/>
    <cellStyle name="Normal 5 3 3 4 5" xfId="3002" xr:uid="{4A0E7AAA-0BAC-4540-8209-9843588108B4}"/>
    <cellStyle name="Normal 5 3 3 4 5 2" xfId="5231" xr:uid="{D72976BB-6171-4B31-BB7E-FC15CF84B0D9}"/>
    <cellStyle name="Normal 5 3 3 4 5 2 2" xfId="9449" xr:uid="{ABC180A2-2324-4D7F-A683-AC750EC84C4C}"/>
    <cellStyle name="Normal 5 3 3 4 5 3" xfId="7304" xr:uid="{A11FB964-8F03-40B7-86AD-783C901A2A7E}"/>
    <cellStyle name="Normal 5 3 3 4 6" xfId="3438" xr:uid="{971A7E93-2EF4-4A4F-87E7-99F954765F82}"/>
    <cellStyle name="Normal 5 3 3 4 6 2" xfId="7717" xr:uid="{A1D260D1-7A26-4D33-811C-07ED04452758}"/>
    <cellStyle name="Normal 5 3 3 4 7" xfId="5652" xr:uid="{4E6676AF-33F2-43EB-B725-6A2529308D41}"/>
    <cellStyle name="Normal 5 3 3 4 8" xfId="1348" xr:uid="{AFDB324A-FC24-49C3-BBE8-C11E4562EFB0}"/>
    <cellStyle name="Normal 5 3 3 5" xfId="923" xr:uid="{00000000-0005-0000-0000-000025030000}"/>
    <cellStyle name="Normal 5 3 3 5 2" xfId="3985" xr:uid="{977D3A43-7B76-4C08-9B25-15B6F77F5DB9}"/>
    <cellStyle name="Normal 5 3 3 5 2 2" xfId="8203" xr:uid="{46F390EC-E391-493B-AD75-123E8B31C872}"/>
    <cellStyle name="Normal 5 3 3 5 3" xfId="6058" xr:uid="{ECE35C21-164B-4989-BE18-BE070DAD2D76}"/>
    <cellStyle name="Normal 5 3 3 5 4" xfId="1756" xr:uid="{C374662A-5D0E-467F-8543-6E49F8CC5E89}"/>
    <cellStyle name="Normal 5 3 3 6" xfId="2169" xr:uid="{E8E39ACB-3A5B-44ED-997C-577574A3226B}"/>
    <cellStyle name="Normal 5 3 3 6 2" xfId="4398" xr:uid="{207AAA48-BE7F-4D48-8D67-9CD15BD5A396}"/>
    <cellStyle name="Normal 5 3 3 6 2 2" xfId="8616" xr:uid="{30B73F9D-898B-4555-9605-E396CA0F9763}"/>
    <cellStyle name="Normal 5 3 3 6 3" xfId="6471" xr:uid="{85B3A903-DD8F-4C41-8C35-C81B4276FEE5}"/>
    <cellStyle name="Normal 5 3 3 7" xfId="2582" xr:uid="{3CDF6932-41D0-4C70-9E8D-44D8B08AEFB5}"/>
    <cellStyle name="Normal 5 3 3 7 2" xfId="4811" xr:uid="{13A071D5-20C0-4825-A8E1-9E875ED98867}"/>
    <cellStyle name="Normal 5 3 3 7 2 2" xfId="9029" xr:uid="{85C0C0E0-D577-4A55-B9A8-4B87076A1CE4}"/>
    <cellStyle name="Normal 5 3 3 7 3" xfId="6884" xr:uid="{B05850E1-B8F2-44ED-88E8-D8F17E801FBA}"/>
    <cellStyle name="Normal 5 3 3 8" xfId="2995" xr:uid="{BCE41B30-7D18-429B-8E7A-1F793F4B1B4D}"/>
    <cellStyle name="Normal 5 3 3 8 2" xfId="5224" xr:uid="{533829E2-504A-4EB7-8BA3-2654FC8F81FD}"/>
    <cellStyle name="Normal 5 3 3 8 2 2" xfId="9442" xr:uid="{12D1ACE0-9566-4EE3-89BE-6BC3A84395FD}"/>
    <cellStyle name="Normal 5 3 3 8 3" xfId="7297" xr:uid="{052EC9DA-9E49-4E07-834B-7BB1243DF3E3}"/>
    <cellStyle name="Normal 5 3 3 9" xfId="3431" xr:uid="{2AAB8CFA-165D-4AA1-83D2-8D7D72ED5CD3}"/>
    <cellStyle name="Normal 5 3 3 9 2" xfId="7710" xr:uid="{A40ACBC2-4528-4468-B2F4-FA838F87DFF9}"/>
    <cellStyle name="Normal 5 3 4" xfId="452" xr:uid="{00000000-0005-0000-0000-000026030000}"/>
    <cellStyle name="Normal 5 3 4 10" xfId="1349" xr:uid="{CDAC9E9C-FE9A-4E7C-AF44-CB9C8EBBE8AE}"/>
    <cellStyle name="Normal 5 3 4 2" xfId="453" xr:uid="{00000000-0005-0000-0000-000027030000}"/>
    <cellStyle name="Normal 5 3 4 2 2" xfId="454" xr:uid="{00000000-0005-0000-0000-000028030000}"/>
    <cellStyle name="Normal 5 3 4 2 2 2" xfId="933" xr:uid="{00000000-0005-0000-0000-000029030000}"/>
    <cellStyle name="Normal 5 3 4 2 2 2 2" xfId="3995" xr:uid="{1031CCB3-55E3-4109-B1EE-4950F437D83A}"/>
    <cellStyle name="Normal 5 3 4 2 2 2 2 2" xfId="8213" xr:uid="{7EC962A1-773F-420C-A2B5-061442B13088}"/>
    <cellStyle name="Normal 5 3 4 2 2 2 3" xfId="6068" xr:uid="{4B4365A4-0ECF-4DD2-A636-9B2BAB8F2621}"/>
    <cellStyle name="Normal 5 3 4 2 2 2 4" xfId="1766" xr:uid="{7C31218C-C175-4889-9D63-E1312C92937A}"/>
    <cellStyle name="Normal 5 3 4 2 2 3" xfId="2179" xr:uid="{8B0661E2-8C4C-411E-BBB9-D869ADC3C026}"/>
    <cellStyle name="Normal 5 3 4 2 2 3 2" xfId="4408" xr:uid="{6C2B6538-C5D3-432B-9476-22CF72D29993}"/>
    <cellStyle name="Normal 5 3 4 2 2 3 2 2" xfId="8626" xr:uid="{F42D0687-35BA-4A39-AA3F-D266B0A05F8C}"/>
    <cellStyle name="Normal 5 3 4 2 2 3 3" xfId="6481" xr:uid="{DCF610BF-F92B-4C9F-8A31-F9708258FEDF}"/>
    <cellStyle name="Normal 5 3 4 2 2 4" xfId="2592" xr:uid="{BDF58147-35D7-4023-92B4-6AD0E9AD8EC8}"/>
    <cellStyle name="Normal 5 3 4 2 2 4 2" xfId="4821" xr:uid="{9FB77FF8-101E-414C-97E1-DA3CF0BDF4F1}"/>
    <cellStyle name="Normal 5 3 4 2 2 4 2 2" xfId="9039" xr:uid="{D9637A09-1455-40FD-819D-6E1ECAF06012}"/>
    <cellStyle name="Normal 5 3 4 2 2 4 3" xfId="6894" xr:uid="{A8A8DAFF-57B5-40CA-897C-0999C3B04EBF}"/>
    <cellStyle name="Normal 5 3 4 2 2 5" xfId="3005" xr:uid="{77DF0AB6-732D-4368-B7DB-DFA6009A6CF4}"/>
    <cellStyle name="Normal 5 3 4 2 2 5 2" xfId="5234" xr:uid="{D7A67669-A330-44C0-956F-A8F0021FC2EB}"/>
    <cellStyle name="Normal 5 3 4 2 2 5 2 2" xfId="9452" xr:uid="{46A27E81-31C5-4C0D-A2DC-DDCB19E56CC3}"/>
    <cellStyle name="Normal 5 3 4 2 2 5 3" xfId="7307" xr:uid="{040397E1-453A-4A0E-A172-4A8873904253}"/>
    <cellStyle name="Normal 5 3 4 2 2 6" xfId="3441" xr:uid="{F2AD3073-7310-4B77-AEFF-69FD924B3ED2}"/>
    <cellStyle name="Normal 5 3 4 2 2 6 2" xfId="7720" xr:uid="{25423B4C-B917-4E1D-8C1B-013FEF5A7191}"/>
    <cellStyle name="Normal 5 3 4 2 2 7" xfId="5655" xr:uid="{14CDE3DE-C26D-422E-9764-FBF092F7364E}"/>
    <cellStyle name="Normal 5 3 4 2 2 8" xfId="1351" xr:uid="{45335201-CA81-4990-9321-0C7F3ACB16D4}"/>
    <cellStyle name="Normal 5 3 4 2 3" xfId="932" xr:uid="{00000000-0005-0000-0000-00002A030000}"/>
    <cellStyle name="Normal 5 3 4 2 3 2" xfId="3994" xr:uid="{86BB23F6-17A5-4EA3-ACF1-77764B3B8B7F}"/>
    <cellStyle name="Normal 5 3 4 2 3 2 2" xfId="8212" xr:uid="{2BA9E41D-44AC-4F4F-9786-325761404355}"/>
    <cellStyle name="Normal 5 3 4 2 3 3" xfId="6067" xr:uid="{B2B9893F-7F7E-4A62-BCA5-767B222EC2F3}"/>
    <cellStyle name="Normal 5 3 4 2 3 4" xfId="1765" xr:uid="{31941BC6-2E9B-4C2E-ACAC-A7D7E02311BE}"/>
    <cellStyle name="Normal 5 3 4 2 4" xfId="2178" xr:uid="{94591FCB-C2D1-4FC6-9D25-EB73C68B836E}"/>
    <cellStyle name="Normal 5 3 4 2 4 2" xfId="4407" xr:uid="{AC6F6739-21FF-4927-B3AB-2D101422786E}"/>
    <cellStyle name="Normal 5 3 4 2 4 2 2" xfId="8625" xr:uid="{D8771E1A-72A4-4250-9060-DBF46658D8D2}"/>
    <cellStyle name="Normal 5 3 4 2 4 3" xfId="6480" xr:uid="{B87F0DEF-08C3-448B-83AB-E1A9CA1A6A1B}"/>
    <cellStyle name="Normal 5 3 4 2 5" xfId="2591" xr:uid="{2FC89D50-5F65-4512-A69F-C33F423C1FB7}"/>
    <cellStyle name="Normal 5 3 4 2 5 2" xfId="4820" xr:uid="{C32845F2-390A-4BD4-85E3-2D5A2DB5BA91}"/>
    <cellStyle name="Normal 5 3 4 2 5 2 2" xfId="9038" xr:uid="{EE61AFE5-C2FA-4B64-BAAB-49A5F3C8B6FB}"/>
    <cellStyle name="Normal 5 3 4 2 5 3" xfId="6893" xr:uid="{67E13D84-9B20-43A5-B059-099A8B56676E}"/>
    <cellStyle name="Normal 5 3 4 2 6" xfId="3004" xr:uid="{3EE8052C-68C6-46BE-954C-0DE46D58D249}"/>
    <cellStyle name="Normal 5 3 4 2 6 2" xfId="5233" xr:uid="{2661B175-383E-4F7B-B86B-D27112536FD1}"/>
    <cellStyle name="Normal 5 3 4 2 6 2 2" xfId="9451" xr:uid="{E9F93358-18E0-47A5-8ED7-FD06DEE668B5}"/>
    <cellStyle name="Normal 5 3 4 2 6 3" xfId="7306" xr:uid="{A2361359-4300-4246-9B19-7BDE6F1B656D}"/>
    <cellStyle name="Normal 5 3 4 2 7" xfId="3440" xr:uid="{25486274-2451-4A75-854D-DCC9EC702A6E}"/>
    <cellStyle name="Normal 5 3 4 2 7 2" xfId="7719" xr:uid="{E71D19EB-4781-4CDB-B885-A7D8E9D5C46D}"/>
    <cellStyle name="Normal 5 3 4 2 8" xfId="5654" xr:uid="{99C692FC-C88A-49C3-A6FC-10E440CAF73F}"/>
    <cellStyle name="Normal 5 3 4 2 9" xfId="1350" xr:uid="{85EA0E69-5031-4D86-A101-D13B0A1B0BCC}"/>
    <cellStyle name="Normal 5 3 4 3" xfId="455" xr:uid="{00000000-0005-0000-0000-00002B030000}"/>
    <cellStyle name="Normal 5 3 4 3 2" xfId="934" xr:uid="{00000000-0005-0000-0000-00002C030000}"/>
    <cellStyle name="Normal 5 3 4 3 2 2" xfId="3996" xr:uid="{E55BF618-C528-4E34-A74F-55C5C1433686}"/>
    <cellStyle name="Normal 5 3 4 3 2 2 2" xfId="8214" xr:uid="{ABC3D967-7D97-440E-9C18-C7E2A0743CB1}"/>
    <cellStyle name="Normal 5 3 4 3 2 3" xfId="6069" xr:uid="{39124314-C203-491C-A248-B00E66CE8B35}"/>
    <cellStyle name="Normal 5 3 4 3 2 4" xfId="1767" xr:uid="{24BEA2BE-C8F6-4C96-9617-8D9CA6B3707E}"/>
    <cellStyle name="Normal 5 3 4 3 3" xfId="2180" xr:uid="{9BCA5E91-A2EE-46F1-9190-9559FD1F0AE0}"/>
    <cellStyle name="Normal 5 3 4 3 3 2" xfId="4409" xr:uid="{5D1D4604-379A-4ED7-92D5-F1301F2943FF}"/>
    <cellStyle name="Normal 5 3 4 3 3 2 2" xfId="8627" xr:uid="{E156D945-6254-4591-ADCB-FCB39E8BFF28}"/>
    <cellStyle name="Normal 5 3 4 3 3 3" xfId="6482" xr:uid="{AD368E2B-66E2-4689-934F-63CC480D796D}"/>
    <cellStyle name="Normal 5 3 4 3 4" xfId="2593" xr:uid="{E12F51D4-D1B2-4B6B-83EE-8BF9B6B02EE3}"/>
    <cellStyle name="Normal 5 3 4 3 4 2" xfId="4822" xr:uid="{547F0717-91F1-43C0-B9FB-0BC78E1159E2}"/>
    <cellStyle name="Normal 5 3 4 3 4 2 2" xfId="9040" xr:uid="{E56D8003-E260-4850-A511-E583EC9EE602}"/>
    <cellStyle name="Normal 5 3 4 3 4 3" xfId="6895" xr:uid="{1DFD8498-A8FD-40E5-9194-8BB2D6AFF1BB}"/>
    <cellStyle name="Normal 5 3 4 3 5" xfId="3006" xr:uid="{990FB5CD-A3CA-448A-B88A-7B27C92CA91B}"/>
    <cellStyle name="Normal 5 3 4 3 5 2" xfId="5235" xr:uid="{79C191AB-10ED-4BCE-9DE2-50DABBD3955A}"/>
    <cellStyle name="Normal 5 3 4 3 5 2 2" xfId="9453" xr:uid="{0FEDDF06-43FC-44C6-A4CF-A91A17FBB177}"/>
    <cellStyle name="Normal 5 3 4 3 5 3" xfId="7308" xr:uid="{74B045D9-306A-4A7E-A6D1-2EC41A6B615E}"/>
    <cellStyle name="Normal 5 3 4 3 6" xfId="3442" xr:uid="{005C271C-AD0B-4D4F-B5A5-32008FFE98FC}"/>
    <cellStyle name="Normal 5 3 4 3 6 2" xfId="7721" xr:uid="{0FA125EB-0B71-49FE-AFE8-0F81BA9A55A0}"/>
    <cellStyle name="Normal 5 3 4 3 7" xfId="5656" xr:uid="{B340C139-1224-42BC-9205-F25912CB8A4F}"/>
    <cellStyle name="Normal 5 3 4 3 8" xfId="1352" xr:uid="{D2A8F9F2-0ACF-4424-9238-8E8D8352C84E}"/>
    <cellStyle name="Normal 5 3 4 4" xfId="931" xr:uid="{00000000-0005-0000-0000-00002D030000}"/>
    <cellStyle name="Normal 5 3 4 4 2" xfId="3993" xr:uid="{9C6BB1E7-AA79-4C0A-AB1E-9842B34874CE}"/>
    <cellStyle name="Normal 5 3 4 4 2 2" xfId="8211" xr:uid="{110CB029-F412-4114-BB96-36011C42A72A}"/>
    <cellStyle name="Normal 5 3 4 4 3" xfId="6066" xr:uid="{F204D26D-4FBD-4AD2-9242-6110DA029AAB}"/>
    <cellStyle name="Normal 5 3 4 4 4" xfId="1764" xr:uid="{65243FC4-96C8-490E-B865-17CFBB35D681}"/>
    <cellStyle name="Normal 5 3 4 5" xfId="2177" xr:uid="{07013ABB-DB94-4BDB-A48D-EA62B6A8FB6E}"/>
    <cellStyle name="Normal 5 3 4 5 2" xfId="4406" xr:uid="{23272060-77FC-4799-92D5-304F3B0A86AA}"/>
    <cellStyle name="Normal 5 3 4 5 2 2" xfId="8624" xr:uid="{79ADD026-7891-4C5F-8BFD-6C989A7C6242}"/>
    <cellStyle name="Normal 5 3 4 5 3" xfId="6479" xr:uid="{E34F38DA-F39C-4927-B92E-7903C08946E6}"/>
    <cellStyle name="Normal 5 3 4 6" xfId="2590" xr:uid="{91EACEA5-5E72-407B-B497-87B186CCE00B}"/>
    <cellStyle name="Normal 5 3 4 6 2" xfId="4819" xr:uid="{39A16D9F-8745-420E-B3A6-7EC0228F9121}"/>
    <cellStyle name="Normal 5 3 4 6 2 2" xfId="9037" xr:uid="{205F6021-C416-44AB-9D3F-7270FC9C69A2}"/>
    <cellStyle name="Normal 5 3 4 6 3" xfId="6892" xr:uid="{4283D80D-F7FD-4C8E-9239-D8793F10637B}"/>
    <cellStyle name="Normal 5 3 4 7" xfId="3003" xr:uid="{688962D0-9D06-4181-AB5C-CE2263C5905A}"/>
    <cellStyle name="Normal 5 3 4 7 2" xfId="5232" xr:uid="{F3289C78-28FB-4A72-8F56-48DA17A86A4B}"/>
    <cellStyle name="Normal 5 3 4 7 2 2" xfId="9450" xr:uid="{D5C5C966-1EDD-48EA-9F36-707B8AD52B7A}"/>
    <cellStyle name="Normal 5 3 4 7 3" xfId="7305" xr:uid="{017FACBC-5384-44EE-9044-674290BD5D62}"/>
    <cellStyle name="Normal 5 3 4 8" xfId="3439" xr:uid="{676F3162-8256-4B81-A547-EF11172EB91B}"/>
    <cellStyle name="Normal 5 3 4 8 2" xfId="7718" xr:uid="{AA83FCD7-D1DD-4021-91C9-D04005ED7AF0}"/>
    <cellStyle name="Normal 5 3 4 9" xfId="5653" xr:uid="{FD029C80-CCA3-4956-A381-052452ED7A13}"/>
    <cellStyle name="Normal 5 3 5" xfId="456" xr:uid="{00000000-0005-0000-0000-00002E030000}"/>
    <cellStyle name="Normal 5 3 5 2" xfId="457" xr:uid="{00000000-0005-0000-0000-00002F030000}"/>
    <cellStyle name="Normal 5 3 5 2 2" xfId="936" xr:uid="{00000000-0005-0000-0000-000030030000}"/>
    <cellStyle name="Normal 5 3 5 2 2 2" xfId="3998" xr:uid="{18055FB0-9339-44FB-81EF-70EE86C469AA}"/>
    <cellStyle name="Normal 5 3 5 2 2 2 2" xfId="8216" xr:uid="{B4DFB9A4-F86D-4465-A965-6EFAB5A55829}"/>
    <cellStyle name="Normal 5 3 5 2 2 3" xfId="6071" xr:uid="{E51B1023-C839-41FB-8F2A-DE055BDF9304}"/>
    <cellStyle name="Normal 5 3 5 2 2 4" xfId="1769" xr:uid="{214C72AD-FE4F-4EFA-9F0D-E23EB043F2DA}"/>
    <cellStyle name="Normal 5 3 5 2 3" xfId="2182" xr:uid="{B7BCA337-9A76-4F7F-BAD9-3405FE0EADD0}"/>
    <cellStyle name="Normal 5 3 5 2 3 2" xfId="4411" xr:uid="{E23D1733-DAC4-4A7F-9A00-10B5373F2ED4}"/>
    <cellStyle name="Normal 5 3 5 2 3 2 2" xfId="8629" xr:uid="{BD8E7287-6269-49E9-8C55-C43E04BFB152}"/>
    <cellStyle name="Normal 5 3 5 2 3 3" xfId="6484" xr:uid="{0CA7F976-503E-4296-8338-7C33CE8EBA86}"/>
    <cellStyle name="Normal 5 3 5 2 4" xfId="2595" xr:uid="{F86B76A2-B632-4F41-8A38-A99A55E4CA08}"/>
    <cellStyle name="Normal 5 3 5 2 4 2" xfId="4824" xr:uid="{C02BC8F2-B13D-46F3-91C7-D5EFB8485CE2}"/>
    <cellStyle name="Normal 5 3 5 2 4 2 2" xfId="9042" xr:uid="{D1C850DE-E0B8-4F80-86C5-B42F6A3C2C9A}"/>
    <cellStyle name="Normal 5 3 5 2 4 3" xfId="6897" xr:uid="{45B9A2C3-E9D0-497B-A8B9-E3B778986AE8}"/>
    <cellStyle name="Normal 5 3 5 2 5" xfId="3008" xr:uid="{000F37C1-1A8C-4DCF-B75D-DD40555B1AF3}"/>
    <cellStyle name="Normal 5 3 5 2 5 2" xfId="5237" xr:uid="{81416C8A-C554-4F97-A11D-11EF3691606C}"/>
    <cellStyle name="Normal 5 3 5 2 5 2 2" xfId="9455" xr:uid="{3FB90449-F6D0-48E4-8652-60294F9412DB}"/>
    <cellStyle name="Normal 5 3 5 2 5 3" xfId="7310" xr:uid="{FE4F2DA4-CAC8-42A4-9013-D4C8B0A13DAD}"/>
    <cellStyle name="Normal 5 3 5 2 6" xfId="3444" xr:uid="{81824AE8-1E79-4708-9C07-ED5EF48BB283}"/>
    <cellStyle name="Normal 5 3 5 2 6 2" xfId="7723" xr:uid="{FB113744-301A-4F2D-8C9B-E3875BBB7533}"/>
    <cellStyle name="Normal 5 3 5 2 7" xfId="5658" xr:uid="{2BEB7E76-38F8-434B-8439-013CEC914DE6}"/>
    <cellStyle name="Normal 5 3 5 2 8" xfId="1354" xr:uid="{08DBA31C-39EB-4C46-A06C-FFE36A659423}"/>
    <cellStyle name="Normal 5 3 5 3" xfId="935" xr:uid="{00000000-0005-0000-0000-000031030000}"/>
    <cellStyle name="Normal 5 3 5 3 2" xfId="3997" xr:uid="{54FBAF38-FFEF-41BE-B466-CFC0E4A78AFA}"/>
    <cellStyle name="Normal 5 3 5 3 2 2" xfId="8215" xr:uid="{70CED258-6568-44EF-973C-747D6BEFE501}"/>
    <cellStyle name="Normal 5 3 5 3 3" xfId="6070" xr:uid="{EEF183C0-F2B7-4DD5-AD70-7E2ED138A5D4}"/>
    <cellStyle name="Normal 5 3 5 3 4" xfId="1768" xr:uid="{1115FA72-2EDB-420F-8EEF-54D2029BBFB1}"/>
    <cellStyle name="Normal 5 3 5 4" xfId="2181" xr:uid="{B248E6EC-0E48-432E-AB6F-75E24BCD26B1}"/>
    <cellStyle name="Normal 5 3 5 4 2" xfId="4410" xr:uid="{A9ACC85B-901D-4F8F-AC4C-45D84B89D50A}"/>
    <cellStyle name="Normal 5 3 5 4 2 2" xfId="8628" xr:uid="{F0187CED-98F2-439C-A896-3212B4C3CB25}"/>
    <cellStyle name="Normal 5 3 5 4 3" xfId="6483" xr:uid="{71DA96EA-0806-447E-B187-07A5A78CF386}"/>
    <cellStyle name="Normal 5 3 5 5" xfId="2594" xr:uid="{93FC6763-978F-4F28-9E48-0954D649A536}"/>
    <cellStyle name="Normal 5 3 5 5 2" xfId="4823" xr:uid="{8149C8DF-5C58-4D89-A4E1-50D24A1A420C}"/>
    <cellStyle name="Normal 5 3 5 5 2 2" xfId="9041" xr:uid="{94F9BDA2-EB9B-4F1F-91DA-CC6C9C9A4B9A}"/>
    <cellStyle name="Normal 5 3 5 5 3" xfId="6896" xr:uid="{49037ABE-4F17-4C27-9946-DE366359C7C0}"/>
    <cellStyle name="Normal 5 3 5 6" xfId="3007" xr:uid="{811FDF24-FF6A-469D-AE88-F0BEEB08E265}"/>
    <cellStyle name="Normal 5 3 5 6 2" xfId="5236" xr:uid="{41320E83-5310-4B76-BFC5-4B143EC770EB}"/>
    <cellStyle name="Normal 5 3 5 6 2 2" xfId="9454" xr:uid="{8386479F-DCB7-419B-92D2-79516C67702B}"/>
    <cellStyle name="Normal 5 3 5 6 3" xfId="7309" xr:uid="{68E39733-04BE-4E0E-8C87-E1F43F601120}"/>
    <cellStyle name="Normal 5 3 5 7" xfId="3443" xr:uid="{AC3F3E63-7FBC-403A-A7AA-52DD79D46B3E}"/>
    <cellStyle name="Normal 5 3 5 7 2" xfId="7722" xr:uid="{5BD6C91C-F918-44F8-B5E4-AAC25F2108AC}"/>
    <cellStyle name="Normal 5 3 5 8" xfId="5657" xr:uid="{D3DC530F-1052-4CB9-80C9-0AC587E66DDC}"/>
    <cellStyle name="Normal 5 3 5 9" xfId="1353" xr:uid="{E2B04D05-0BC9-411B-9AF2-E44D292B5A0A}"/>
    <cellStyle name="Normal 5 3 6" xfId="458" xr:uid="{00000000-0005-0000-0000-000032030000}"/>
    <cellStyle name="Normal 5 3 6 2" xfId="937" xr:uid="{00000000-0005-0000-0000-000033030000}"/>
    <cellStyle name="Normal 5 3 6 2 2" xfId="3999" xr:uid="{F2AB39F5-D3C5-4CD1-9D05-1C5308CFE1F5}"/>
    <cellStyle name="Normal 5 3 6 2 2 2" xfId="8217" xr:uid="{D6FB4C4F-1F27-4ACC-8B41-7E4533134B31}"/>
    <cellStyle name="Normal 5 3 6 2 3" xfId="6072" xr:uid="{51F27393-AD0C-4979-A792-1D4F5EE9C087}"/>
    <cellStyle name="Normal 5 3 6 2 4" xfId="1770" xr:uid="{BAC7C060-6D2F-4228-B7B9-1B37DA6F2B48}"/>
    <cellStyle name="Normal 5 3 6 3" xfId="2183" xr:uid="{C4C3B692-3229-4B45-9952-A0074C94C35A}"/>
    <cellStyle name="Normal 5 3 6 3 2" xfId="4412" xr:uid="{292B229D-7C75-4594-BABA-CB95FDC0007A}"/>
    <cellStyle name="Normal 5 3 6 3 2 2" xfId="8630" xr:uid="{1B0595F6-71CF-4B05-9FD8-997E40EE7C85}"/>
    <cellStyle name="Normal 5 3 6 3 3" xfId="6485" xr:uid="{BB4AD516-386D-48FE-8916-69089CA32677}"/>
    <cellStyle name="Normal 5 3 6 4" xfId="2596" xr:uid="{E4DF76BB-3678-4582-BC7D-042C3F30C2FB}"/>
    <cellStyle name="Normal 5 3 6 4 2" xfId="4825" xr:uid="{BBA39092-A6B2-4741-AA7C-F0F89F5C70D3}"/>
    <cellStyle name="Normal 5 3 6 4 2 2" xfId="9043" xr:uid="{6D06CB63-095C-4B91-985E-E1A69770ECE4}"/>
    <cellStyle name="Normal 5 3 6 4 3" xfId="6898" xr:uid="{269C549F-D99B-47F7-832B-CC6F89E3618B}"/>
    <cellStyle name="Normal 5 3 6 5" xfId="3009" xr:uid="{739522DE-589B-4DAE-9745-2FAEEBD7F87E}"/>
    <cellStyle name="Normal 5 3 6 5 2" xfId="5238" xr:uid="{58950A71-9E8C-4A2B-AE28-CD194E45090A}"/>
    <cellStyle name="Normal 5 3 6 5 2 2" xfId="9456" xr:uid="{FA70EAED-630F-42C5-BDEB-E3653EFB625E}"/>
    <cellStyle name="Normal 5 3 6 5 3" xfId="7311" xr:uid="{5C874CB0-1008-4247-99CC-E811CC69B98A}"/>
    <cellStyle name="Normal 5 3 6 6" xfId="3445" xr:uid="{28AEAE70-7FE0-4D54-A5CA-1BE370ACED5C}"/>
    <cellStyle name="Normal 5 3 6 6 2" xfId="7724" xr:uid="{D18898FE-1EC4-4C49-B3D2-51DD9530D1E4}"/>
    <cellStyle name="Normal 5 3 6 7" xfId="5659" xr:uid="{F8064881-7F3E-4BD0-BC9E-4B7C11387578}"/>
    <cellStyle name="Normal 5 3 6 8" xfId="1355" xr:uid="{B8545A52-B7B4-4E99-AADC-D8BC6431C5F0}"/>
    <cellStyle name="Normal 5 3 7" xfId="921" xr:uid="{00000000-0005-0000-0000-000034030000}"/>
    <cellStyle name="Normal 5 3 7 2" xfId="3984" xr:uid="{E76B89CF-7EEE-4F43-B5FA-9D8BD71A462F}"/>
    <cellStyle name="Normal 5 3 7 2 2" xfId="8202" xr:uid="{83375F87-2D30-4C00-9A01-1ECC15CEA64C}"/>
    <cellStyle name="Normal 5 3 7 3" xfId="6057" xr:uid="{D105BC75-06D6-4717-A87B-845FD77830DF}"/>
    <cellStyle name="Normal 5 3 7 4" xfId="1755" xr:uid="{AD3860C1-10FC-49A7-9D76-52F7BB3F93B7}"/>
    <cellStyle name="Normal 5 3 8" xfId="2168" xr:uid="{9ABA0E5F-8907-436E-9816-6F7596B80D02}"/>
    <cellStyle name="Normal 5 3 8 2" xfId="4397" xr:uid="{83D67AD2-426C-49C3-9370-1FE9029923DF}"/>
    <cellStyle name="Normal 5 3 8 2 2" xfId="8615" xr:uid="{DB6343D9-FCA4-4E8D-8EFE-9D95437F6BCF}"/>
    <cellStyle name="Normal 5 3 8 3" xfId="6470" xr:uid="{A88B0CDD-CCE4-4ABC-BDA1-A6B00C3772CC}"/>
    <cellStyle name="Normal 5 3 9" xfId="2581" xr:uid="{C4CE98AE-2324-4D02-BB7D-A1EF0974C143}"/>
    <cellStyle name="Normal 5 3 9 2" xfId="4810" xr:uid="{671AFB93-3B22-40A0-A17A-5FA4B43AC587}"/>
    <cellStyle name="Normal 5 3 9 2 2" xfId="9028" xr:uid="{261DAFA9-4195-47F2-B8BE-78AF8ABB9B75}"/>
    <cellStyle name="Normal 5 3 9 3" xfId="6883" xr:uid="{54F50380-85D8-4698-AF53-C627B6020E32}"/>
    <cellStyle name="Normal 5 4" xfId="459" xr:uid="{00000000-0005-0000-0000-000035030000}"/>
    <cellStyle name="Normal 5 4 10" xfId="5660" xr:uid="{9CCA099B-2521-431A-943B-6A219DC6CB2A}"/>
    <cellStyle name="Normal 5 4 11" xfId="1356" xr:uid="{0F441B5C-6878-440A-841E-EF96574BE884}"/>
    <cellStyle name="Normal 5 4 2" xfId="460" xr:uid="{00000000-0005-0000-0000-000036030000}"/>
    <cellStyle name="Normal 5 4 2 10" xfId="1357" xr:uid="{BB7720F1-AE01-4686-8AA3-64C53CD69A53}"/>
    <cellStyle name="Normal 5 4 2 2" xfId="461" xr:uid="{00000000-0005-0000-0000-000037030000}"/>
    <cellStyle name="Normal 5 4 2 2 2" xfId="462" xr:uid="{00000000-0005-0000-0000-000038030000}"/>
    <cellStyle name="Normal 5 4 2 2 2 2" xfId="941" xr:uid="{00000000-0005-0000-0000-000039030000}"/>
    <cellStyle name="Normal 5 4 2 2 2 2 2" xfId="4003" xr:uid="{21A74296-2625-4AA6-8FAE-03ACF086CA59}"/>
    <cellStyle name="Normal 5 4 2 2 2 2 2 2" xfId="8221" xr:uid="{B97FB16C-CB61-4436-B156-4B2F1295E01C}"/>
    <cellStyle name="Normal 5 4 2 2 2 2 3" xfId="6076" xr:uid="{E798E5AA-8112-48DF-8905-06A12BB0843D}"/>
    <cellStyle name="Normal 5 4 2 2 2 2 4" xfId="1774" xr:uid="{7B683FC3-E529-414E-90F2-247FB30AA8B3}"/>
    <cellStyle name="Normal 5 4 2 2 2 3" xfId="2187" xr:uid="{B8D6D034-97FF-4C16-884E-CFDCAB9F0C61}"/>
    <cellStyle name="Normal 5 4 2 2 2 3 2" xfId="4416" xr:uid="{AAC61E12-9F70-4525-A4F0-FDAC1866B863}"/>
    <cellStyle name="Normal 5 4 2 2 2 3 2 2" xfId="8634" xr:uid="{8581A352-5019-4D85-A496-C37D99478A82}"/>
    <cellStyle name="Normal 5 4 2 2 2 3 3" xfId="6489" xr:uid="{023826EF-F598-4D91-9E49-5AC13DD35192}"/>
    <cellStyle name="Normal 5 4 2 2 2 4" xfId="2600" xr:uid="{CC3840E7-75F4-41C3-92F0-7A3594A2850B}"/>
    <cellStyle name="Normal 5 4 2 2 2 4 2" xfId="4829" xr:uid="{BCA9CBA1-6058-41E6-92DF-8B5589BC9AF3}"/>
    <cellStyle name="Normal 5 4 2 2 2 4 2 2" xfId="9047" xr:uid="{64A5A087-5F8D-4385-B09A-A63FB98767D7}"/>
    <cellStyle name="Normal 5 4 2 2 2 4 3" xfId="6902" xr:uid="{E72E9335-3A5C-4511-8295-3E4E417AC941}"/>
    <cellStyle name="Normal 5 4 2 2 2 5" xfId="3013" xr:uid="{2804F409-54A5-486F-9887-9005B8D9E7CB}"/>
    <cellStyle name="Normal 5 4 2 2 2 5 2" xfId="5242" xr:uid="{B2CB695A-2658-4F02-943A-8A54F6EEF928}"/>
    <cellStyle name="Normal 5 4 2 2 2 5 2 2" xfId="9460" xr:uid="{2982EB76-ABED-4606-AEAD-CD891A13CDD0}"/>
    <cellStyle name="Normal 5 4 2 2 2 5 3" xfId="7315" xr:uid="{A87F41EF-7F18-4B3C-A527-AFA5BE0B1C6E}"/>
    <cellStyle name="Normal 5 4 2 2 2 6" xfId="3449" xr:uid="{BB6D59CB-0031-4FF1-86EF-291B0D6F9CF2}"/>
    <cellStyle name="Normal 5 4 2 2 2 6 2" xfId="7728" xr:uid="{AE8BAA1D-24F2-49FC-AE47-61CABC908E70}"/>
    <cellStyle name="Normal 5 4 2 2 2 7" xfId="5663" xr:uid="{F7C1EBD9-DAB7-4204-AF5F-3911268B7EF6}"/>
    <cellStyle name="Normal 5 4 2 2 2 8" xfId="1359" xr:uid="{1888E108-EF12-4B4C-99D4-EFBC228CD117}"/>
    <cellStyle name="Normal 5 4 2 2 3" xfId="940" xr:uid="{00000000-0005-0000-0000-00003A030000}"/>
    <cellStyle name="Normal 5 4 2 2 3 2" xfId="4002" xr:uid="{61C8A7A5-E5B0-456B-BA29-5A7B342F09ED}"/>
    <cellStyle name="Normal 5 4 2 2 3 2 2" xfId="8220" xr:uid="{87C25653-E911-4B57-8922-6B3F7AF85522}"/>
    <cellStyle name="Normal 5 4 2 2 3 3" xfId="6075" xr:uid="{B1C18EDA-D81E-4C8F-BDAB-F83E5F93254C}"/>
    <cellStyle name="Normal 5 4 2 2 3 4" xfId="1773" xr:uid="{FC603488-4ACA-4447-BCCC-EC91CF090A3C}"/>
    <cellStyle name="Normal 5 4 2 2 4" xfId="2186" xr:uid="{402C2F2E-FA5B-44E0-B615-14A77D71843C}"/>
    <cellStyle name="Normal 5 4 2 2 4 2" xfId="4415" xr:uid="{EDF94E3A-4F56-4E47-B92A-A0D7E17F17D9}"/>
    <cellStyle name="Normal 5 4 2 2 4 2 2" xfId="8633" xr:uid="{B3A7AA2E-42C1-445D-89EE-06F69DC36CEF}"/>
    <cellStyle name="Normal 5 4 2 2 4 3" xfId="6488" xr:uid="{6601E1F2-6A38-4EDF-A37A-917E6B8F2369}"/>
    <cellStyle name="Normal 5 4 2 2 5" xfId="2599" xr:uid="{94DB5309-100A-4FCE-AF7F-3D346DFECC5D}"/>
    <cellStyle name="Normal 5 4 2 2 5 2" xfId="4828" xr:uid="{713B291F-6969-4143-9D9E-433AA617641D}"/>
    <cellStyle name="Normal 5 4 2 2 5 2 2" xfId="9046" xr:uid="{FE94A3E5-9BFD-4E69-8810-C546450EB653}"/>
    <cellStyle name="Normal 5 4 2 2 5 3" xfId="6901" xr:uid="{9D16D97C-AEB6-4E9A-8BA8-72A955FC275B}"/>
    <cellStyle name="Normal 5 4 2 2 6" xfId="3012" xr:uid="{2F5BEFA5-B61A-4959-8B84-A0A27A8390D2}"/>
    <cellStyle name="Normal 5 4 2 2 6 2" xfId="5241" xr:uid="{B0B45457-4BC5-4F9D-9DD9-CEAE060F1F55}"/>
    <cellStyle name="Normal 5 4 2 2 6 2 2" xfId="9459" xr:uid="{52F715A7-BF84-43EC-9672-093FA304E725}"/>
    <cellStyle name="Normal 5 4 2 2 6 3" xfId="7314" xr:uid="{4AE02671-0F30-4468-B694-F02B84C465F4}"/>
    <cellStyle name="Normal 5 4 2 2 7" xfId="3448" xr:uid="{6FC8D672-6403-4150-8805-6FA5397F8A53}"/>
    <cellStyle name="Normal 5 4 2 2 7 2" xfId="7727" xr:uid="{66AE47F6-4419-4ED6-A505-5466E1EC5568}"/>
    <cellStyle name="Normal 5 4 2 2 8" xfId="5662" xr:uid="{F8B992F9-C265-475F-A117-465ADF60F5A7}"/>
    <cellStyle name="Normal 5 4 2 2 9" xfId="1358" xr:uid="{464720CA-3DBE-4756-AA1E-CF2AB36E4B82}"/>
    <cellStyle name="Normal 5 4 2 3" xfId="463" xr:uid="{00000000-0005-0000-0000-00003B030000}"/>
    <cellStyle name="Normal 5 4 2 3 2" xfId="942" xr:uid="{00000000-0005-0000-0000-00003C030000}"/>
    <cellStyle name="Normal 5 4 2 3 2 2" xfId="4004" xr:uid="{EAAAE6AD-A942-4EF2-B574-9EE8457AEF96}"/>
    <cellStyle name="Normal 5 4 2 3 2 2 2" xfId="8222" xr:uid="{3AE94FF4-C76E-4684-89C8-02FA184EF664}"/>
    <cellStyle name="Normal 5 4 2 3 2 3" xfId="6077" xr:uid="{0DF7FF97-B69E-4BE9-BC63-7734DD9AB756}"/>
    <cellStyle name="Normal 5 4 2 3 2 4" xfId="1775" xr:uid="{8B1773D2-C86C-4D04-AD9D-D69033F1E1D7}"/>
    <cellStyle name="Normal 5 4 2 3 3" xfId="2188" xr:uid="{C6C97904-8F1B-4D17-9A21-479D1402119D}"/>
    <cellStyle name="Normal 5 4 2 3 3 2" xfId="4417" xr:uid="{704DF4C7-5F4C-4842-9D34-38E42233F006}"/>
    <cellStyle name="Normal 5 4 2 3 3 2 2" xfId="8635" xr:uid="{0FA0F9DD-0D0F-471B-9554-73B64D44FB51}"/>
    <cellStyle name="Normal 5 4 2 3 3 3" xfId="6490" xr:uid="{1A2FF061-498C-4430-A2B7-5B9FFCB56A4B}"/>
    <cellStyle name="Normal 5 4 2 3 4" xfId="2601" xr:uid="{75016FDF-922B-4AD3-8D62-29D094B60D0A}"/>
    <cellStyle name="Normal 5 4 2 3 4 2" xfId="4830" xr:uid="{3B12E39C-2FC0-4771-85F0-BC818C522560}"/>
    <cellStyle name="Normal 5 4 2 3 4 2 2" xfId="9048" xr:uid="{83E4A9BC-0716-4654-99B1-BF01CE5C5A2C}"/>
    <cellStyle name="Normal 5 4 2 3 4 3" xfId="6903" xr:uid="{D55FE5B8-73B0-4F76-8652-BC62A05D030E}"/>
    <cellStyle name="Normal 5 4 2 3 5" xfId="3014" xr:uid="{E7C5A745-A4EC-48AD-AC60-B917BD6F1616}"/>
    <cellStyle name="Normal 5 4 2 3 5 2" xfId="5243" xr:uid="{5C7E073F-16BC-4718-9B52-50584A2B9F49}"/>
    <cellStyle name="Normal 5 4 2 3 5 2 2" xfId="9461" xr:uid="{5C24BB1A-4AC1-443A-96F2-1CDE1E102D57}"/>
    <cellStyle name="Normal 5 4 2 3 5 3" xfId="7316" xr:uid="{98DBF0FE-6DB0-4ADD-BB32-B3BE57CB7035}"/>
    <cellStyle name="Normal 5 4 2 3 6" xfId="3450" xr:uid="{E939834C-FECE-46AF-899A-EC4A2067E2BC}"/>
    <cellStyle name="Normal 5 4 2 3 6 2" xfId="7729" xr:uid="{41C32D6B-3CC0-4A37-A3E4-1A4D91F52E1E}"/>
    <cellStyle name="Normal 5 4 2 3 7" xfId="5664" xr:uid="{8CF9A4AE-3306-4FF5-A86C-957166FE2615}"/>
    <cellStyle name="Normal 5 4 2 3 8" xfId="1360" xr:uid="{24BB5A3A-A9B4-455A-9D30-DA24020A3753}"/>
    <cellStyle name="Normal 5 4 2 4" xfId="939" xr:uid="{00000000-0005-0000-0000-00003D030000}"/>
    <cellStyle name="Normal 5 4 2 4 2" xfId="4001" xr:uid="{1F719F78-2026-44E2-9D92-E464DE22488A}"/>
    <cellStyle name="Normal 5 4 2 4 2 2" xfId="8219" xr:uid="{BCD0A885-6BCD-451C-9FDF-05FCAE402F10}"/>
    <cellStyle name="Normal 5 4 2 4 3" xfId="6074" xr:uid="{8EF8A58C-5D8A-40B6-8588-DAAF7ECD6A8A}"/>
    <cellStyle name="Normal 5 4 2 4 4" xfId="1772" xr:uid="{D3D2D34D-9A48-4ABE-87BD-310EBA487023}"/>
    <cellStyle name="Normal 5 4 2 5" xfId="2185" xr:uid="{492F8B1D-5749-47D6-90FB-D6725ED639DC}"/>
    <cellStyle name="Normal 5 4 2 5 2" xfId="4414" xr:uid="{8ADCC6D8-D0DF-4920-92DA-2B4E68099181}"/>
    <cellStyle name="Normal 5 4 2 5 2 2" xfId="8632" xr:uid="{B47E1871-815A-4A4A-8D7F-AF653AD40B3B}"/>
    <cellStyle name="Normal 5 4 2 5 3" xfId="6487" xr:uid="{F8A800F3-8C04-4669-A7BD-B60F64246157}"/>
    <cellStyle name="Normal 5 4 2 6" xfId="2598" xr:uid="{8B890870-BE1C-4485-86D5-668AD035003F}"/>
    <cellStyle name="Normal 5 4 2 6 2" xfId="4827" xr:uid="{3F56AE0D-CE4F-4F75-91A9-773759BCF1CE}"/>
    <cellStyle name="Normal 5 4 2 6 2 2" xfId="9045" xr:uid="{8A560859-DDC3-49BA-984C-C081AA669AF7}"/>
    <cellStyle name="Normal 5 4 2 6 3" xfId="6900" xr:uid="{59B49A2C-90B3-4A02-ACF2-CAB228B86E33}"/>
    <cellStyle name="Normal 5 4 2 7" xfId="3011" xr:uid="{6A6DDAF9-89DA-4ECB-8704-FA30B667A29A}"/>
    <cellStyle name="Normal 5 4 2 7 2" xfId="5240" xr:uid="{C05CBC79-12CE-4691-A0AE-E48C370D0912}"/>
    <cellStyle name="Normal 5 4 2 7 2 2" xfId="9458" xr:uid="{E0093FAB-065B-43BF-B373-DB86AED6E502}"/>
    <cellStyle name="Normal 5 4 2 7 3" xfId="7313" xr:uid="{30E73207-C71E-493F-AC33-AC721BE7C44A}"/>
    <cellStyle name="Normal 5 4 2 8" xfId="3447" xr:uid="{A04745E8-BB83-4854-BDB9-ECBEDCF3B09B}"/>
    <cellStyle name="Normal 5 4 2 8 2" xfId="7726" xr:uid="{002FC93E-C034-4E1A-BA25-74BAB0577291}"/>
    <cellStyle name="Normal 5 4 2 9" xfId="5661" xr:uid="{9EB58886-A909-4A9B-92D6-DFE9AF0794A2}"/>
    <cellStyle name="Normal 5 4 3" xfId="464" xr:uid="{00000000-0005-0000-0000-00003E030000}"/>
    <cellStyle name="Normal 5 4 3 2" xfId="465" xr:uid="{00000000-0005-0000-0000-00003F030000}"/>
    <cellStyle name="Normal 5 4 3 2 2" xfId="944" xr:uid="{00000000-0005-0000-0000-000040030000}"/>
    <cellStyle name="Normal 5 4 3 2 2 2" xfId="4006" xr:uid="{44ADEE9B-90EF-41D8-9A14-995F0F417F71}"/>
    <cellStyle name="Normal 5 4 3 2 2 2 2" xfId="8224" xr:uid="{1032AC18-7AF8-4965-930B-55DDE5B825F1}"/>
    <cellStyle name="Normal 5 4 3 2 2 3" xfId="6079" xr:uid="{FE05A600-4DC1-41B8-8F24-CF359F11BDCF}"/>
    <cellStyle name="Normal 5 4 3 2 2 4" xfId="1777" xr:uid="{B887356C-42F6-49BB-8181-B5AA4DA0086C}"/>
    <cellStyle name="Normal 5 4 3 2 3" xfId="2190" xr:uid="{9D16F0BC-B6A7-450A-9CEF-1CDAF026E100}"/>
    <cellStyle name="Normal 5 4 3 2 3 2" xfId="4419" xr:uid="{73C07773-20EE-4562-9787-CBE4325AB0AF}"/>
    <cellStyle name="Normal 5 4 3 2 3 2 2" xfId="8637" xr:uid="{504BC7C9-4B5C-4C6C-97D3-A6C5B652C3B0}"/>
    <cellStyle name="Normal 5 4 3 2 3 3" xfId="6492" xr:uid="{51A6606D-BF3C-4667-895D-E6D4F4626824}"/>
    <cellStyle name="Normal 5 4 3 2 4" xfId="2603" xr:uid="{4A4E9FBF-6879-40ED-89A8-13C5D5FDB395}"/>
    <cellStyle name="Normal 5 4 3 2 4 2" xfId="4832" xr:uid="{58380E70-25AD-4137-B8AB-C1B35A438801}"/>
    <cellStyle name="Normal 5 4 3 2 4 2 2" xfId="9050" xr:uid="{66ACC6AF-1609-41FE-96F3-C24A327A6035}"/>
    <cellStyle name="Normal 5 4 3 2 4 3" xfId="6905" xr:uid="{A6EDFCD2-DC05-4AB4-8E36-02423957889F}"/>
    <cellStyle name="Normal 5 4 3 2 5" xfId="3016" xr:uid="{9E45BC2E-A733-4FAF-A16F-FA8A593F445F}"/>
    <cellStyle name="Normal 5 4 3 2 5 2" xfId="5245" xr:uid="{F508D40E-7D25-46B7-BBDB-EE25C75F52B3}"/>
    <cellStyle name="Normal 5 4 3 2 5 2 2" xfId="9463" xr:uid="{AAE0132F-D6F6-439A-B4B0-C9DC634A6617}"/>
    <cellStyle name="Normal 5 4 3 2 5 3" xfId="7318" xr:uid="{0C1AA29D-7B1E-4608-89CF-435FDB4A7B3E}"/>
    <cellStyle name="Normal 5 4 3 2 6" xfId="3452" xr:uid="{BC7FD4FC-14CF-4B67-AE18-ADAF5483D8C1}"/>
    <cellStyle name="Normal 5 4 3 2 6 2" xfId="7731" xr:uid="{E59CC1EF-FDFB-45DC-8F59-E332AE3AA4AE}"/>
    <cellStyle name="Normal 5 4 3 2 7" xfId="5666" xr:uid="{954146B3-7FC3-4411-A547-758FFC28848B}"/>
    <cellStyle name="Normal 5 4 3 2 8" xfId="1362" xr:uid="{915194C3-2E4C-49CB-BA98-B19D27BBC733}"/>
    <cellStyle name="Normal 5 4 3 3" xfId="943" xr:uid="{00000000-0005-0000-0000-000041030000}"/>
    <cellStyle name="Normal 5 4 3 3 2" xfId="4005" xr:uid="{1A21D7E7-BE54-4785-878B-344A2D28B734}"/>
    <cellStyle name="Normal 5 4 3 3 2 2" xfId="8223" xr:uid="{BB366424-70FA-49D1-98B9-1D54C49CA6DD}"/>
    <cellStyle name="Normal 5 4 3 3 3" xfId="6078" xr:uid="{20397C3A-1CDE-482F-B8CD-3844E8BA72FA}"/>
    <cellStyle name="Normal 5 4 3 3 4" xfId="1776" xr:uid="{3C518066-22D9-47A7-A0CA-5E3499750439}"/>
    <cellStyle name="Normal 5 4 3 4" xfId="2189" xr:uid="{6401BAD4-5865-42BE-951E-46F8C29E7E4B}"/>
    <cellStyle name="Normal 5 4 3 4 2" xfId="4418" xr:uid="{686CF818-BD3A-427F-8043-2034FF1889B1}"/>
    <cellStyle name="Normal 5 4 3 4 2 2" xfId="8636" xr:uid="{BCEE1CD5-6780-4238-B4B0-43D7FE150938}"/>
    <cellStyle name="Normal 5 4 3 4 3" xfId="6491" xr:uid="{BBCC013A-E93D-4668-B8BF-F1CFEF7900B2}"/>
    <cellStyle name="Normal 5 4 3 5" xfId="2602" xr:uid="{53A7EDF6-D9BD-4587-86C3-30927C4833F1}"/>
    <cellStyle name="Normal 5 4 3 5 2" xfId="4831" xr:uid="{64AD5CD0-80A8-46C2-A147-4E5517C3150B}"/>
    <cellStyle name="Normal 5 4 3 5 2 2" xfId="9049" xr:uid="{83AD3B73-9DD1-4EB4-95C0-A9F54871326A}"/>
    <cellStyle name="Normal 5 4 3 5 3" xfId="6904" xr:uid="{50E1ECA4-5598-47AF-A73B-E4E9190552CB}"/>
    <cellStyle name="Normal 5 4 3 6" xfId="3015" xr:uid="{24158DDD-A4B4-4D8F-B75B-9811121955BE}"/>
    <cellStyle name="Normal 5 4 3 6 2" xfId="5244" xr:uid="{6D942495-C52F-4D0E-A9DC-4E076F2DC2EA}"/>
    <cellStyle name="Normal 5 4 3 6 2 2" xfId="9462" xr:uid="{648FEFFA-98FD-4A32-8813-40B957AF30D1}"/>
    <cellStyle name="Normal 5 4 3 6 3" xfId="7317" xr:uid="{B9E2C22D-8D40-4955-AAC0-57F3C3A2309E}"/>
    <cellStyle name="Normal 5 4 3 7" xfId="3451" xr:uid="{744F14C6-1BDB-439B-BEDF-B4EE1A0DE0E8}"/>
    <cellStyle name="Normal 5 4 3 7 2" xfId="7730" xr:uid="{8C6EAC34-1FAC-43E0-A5E8-39831081CA51}"/>
    <cellStyle name="Normal 5 4 3 8" xfId="5665" xr:uid="{4BC4B3E9-FD7C-4E7B-9B79-90D5BBA53376}"/>
    <cellStyle name="Normal 5 4 3 9" xfId="1361" xr:uid="{53695B99-635D-4F21-8D68-72B0455F7697}"/>
    <cellStyle name="Normal 5 4 4" xfId="466" xr:uid="{00000000-0005-0000-0000-000042030000}"/>
    <cellStyle name="Normal 5 4 4 2" xfId="945" xr:uid="{00000000-0005-0000-0000-000043030000}"/>
    <cellStyle name="Normal 5 4 4 2 2" xfId="4007" xr:uid="{2863E12B-F666-4B06-80A0-961465228F0D}"/>
    <cellStyle name="Normal 5 4 4 2 2 2" xfId="8225" xr:uid="{F070EC71-ABD5-4AFC-B78A-3E26D9931FBD}"/>
    <cellStyle name="Normal 5 4 4 2 3" xfId="6080" xr:uid="{A695F19F-08C5-464A-88EA-4F32ABB22614}"/>
    <cellStyle name="Normal 5 4 4 2 4" xfId="1778" xr:uid="{19527ABA-76CB-45AD-A0CD-4924556C3147}"/>
    <cellStyle name="Normal 5 4 4 3" xfId="2191" xr:uid="{EC59E302-270C-4B7C-A14D-615945B9E19C}"/>
    <cellStyle name="Normal 5 4 4 3 2" xfId="4420" xr:uid="{8DE835F7-10EC-4A35-9EC5-F8BE1099ACA4}"/>
    <cellStyle name="Normal 5 4 4 3 2 2" xfId="8638" xr:uid="{D256A8CA-898B-4851-8019-3B2A7B1E60D0}"/>
    <cellStyle name="Normal 5 4 4 3 3" xfId="6493" xr:uid="{A156381D-286A-4063-9869-9244C307CEED}"/>
    <cellStyle name="Normal 5 4 4 4" xfId="2604" xr:uid="{2736DA52-7CDC-4E11-ADFF-5D34CF9FC60D}"/>
    <cellStyle name="Normal 5 4 4 4 2" xfId="4833" xr:uid="{63C78AED-36B4-48D0-813E-52ABA39FD64B}"/>
    <cellStyle name="Normal 5 4 4 4 2 2" xfId="9051" xr:uid="{06AB0086-13AB-458D-A6AC-AD47A0A316D0}"/>
    <cellStyle name="Normal 5 4 4 4 3" xfId="6906" xr:uid="{3C3C8AF5-88CC-424A-895D-2CE6C8D870B8}"/>
    <cellStyle name="Normal 5 4 4 5" xfId="3017" xr:uid="{055913ED-CED2-4FC6-A25D-DD06289E1FC9}"/>
    <cellStyle name="Normal 5 4 4 5 2" xfId="5246" xr:uid="{E6582DF7-E9AC-4938-ADD0-B5F284104B86}"/>
    <cellStyle name="Normal 5 4 4 5 2 2" xfId="9464" xr:uid="{F04048BC-9FE4-45CB-9FC9-CBA29D3978D7}"/>
    <cellStyle name="Normal 5 4 4 5 3" xfId="7319" xr:uid="{7B8E95D1-10E2-4299-8164-6CB7F39BAF22}"/>
    <cellStyle name="Normal 5 4 4 6" xfId="3453" xr:uid="{8CA7F549-A02A-4A02-A891-6FBF375F6E55}"/>
    <cellStyle name="Normal 5 4 4 6 2" xfId="7732" xr:uid="{8B1AA7A6-4A32-4581-A637-B3F41D4E038E}"/>
    <cellStyle name="Normal 5 4 4 7" xfId="5667" xr:uid="{1F729B55-A7F4-4323-90EE-C5F0E9A714D1}"/>
    <cellStyle name="Normal 5 4 4 8" xfId="1363" xr:uid="{55BFC269-1735-487F-B770-0E15474BE3EE}"/>
    <cellStyle name="Normal 5 4 5" xfId="938" xr:uid="{00000000-0005-0000-0000-000044030000}"/>
    <cellStyle name="Normal 5 4 5 2" xfId="4000" xr:uid="{4E36646F-4898-4FA4-B193-33FADB3252B4}"/>
    <cellStyle name="Normal 5 4 5 2 2" xfId="8218" xr:uid="{39EE25AF-DD1B-48C7-89FD-8023B3B8AD56}"/>
    <cellStyle name="Normal 5 4 5 3" xfId="6073" xr:uid="{F4857054-3911-4590-8D82-32E1B06D3E78}"/>
    <cellStyle name="Normal 5 4 5 4" xfId="1771" xr:uid="{56B31C59-71FD-4217-8801-051B87A5E580}"/>
    <cellStyle name="Normal 5 4 6" xfId="2184" xr:uid="{A450AD17-F9A6-4365-9E91-47A4EA254988}"/>
    <cellStyle name="Normal 5 4 6 2" xfId="4413" xr:uid="{4F470EE7-A8F7-49DA-B5FF-3E8B58ECD8F7}"/>
    <cellStyle name="Normal 5 4 6 2 2" xfId="8631" xr:uid="{09BCB5B3-19F2-4A8E-8B62-98E4BF030CEC}"/>
    <cellStyle name="Normal 5 4 6 3" xfId="6486" xr:uid="{E8B05F4D-1E4E-4657-9F16-54AC6338A590}"/>
    <cellStyle name="Normal 5 4 7" xfId="2597" xr:uid="{E9B7386D-6CA2-448A-A315-FCDDADE43B56}"/>
    <cellStyle name="Normal 5 4 7 2" xfId="4826" xr:uid="{C19C4B5B-EADF-4B02-BBEE-E456E719493E}"/>
    <cellStyle name="Normal 5 4 7 2 2" xfId="9044" xr:uid="{EFAE4C9B-3F9C-4DEF-952D-A40E7B8189DD}"/>
    <cellStyle name="Normal 5 4 7 3" xfId="6899" xr:uid="{974E13D0-A20A-4F95-AC85-2D65BC9126E9}"/>
    <cellStyle name="Normal 5 4 8" xfId="3010" xr:uid="{5EC579B1-BFE6-4959-B685-6EAEA89A1F93}"/>
    <cellStyle name="Normal 5 4 8 2" xfId="5239" xr:uid="{E344B884-EF8E-4FB8-83C1-D1E2D8A4906A}"/>
    <cellStyle name="Normal 5 4 8 2 2" xfId="9457" xr:uid="{71214A40-9F4E-45B2-8571-70442ECFAAC5}"/>
    <cellStyle name="Normal 5 4 8 3" xfId="7312" xr:uid="{A37B696D-68AB-4930-936F-142D118D870C}"/>
    <cellStyle name="Normal 5 4 9" xfId="3446" xr:uid="{5307A1F1-CACB-4D41-9DCB-9B2B3BD8BAC7}"/>
    <cellStyle name="Normal 5 4 9 2" xfId="7725" xr:uid="{06AF1452-02D6-49E3-A0AC-0A98585458ED}"/>
    <cellStyle name="Normal 5 5" xfId="467" xr:uid="{00000000-0005-0000-0000-000045030000}"/>
    <cellStyle name="Normal 5 5 10" xfId="1364" xr:uid="{35546FC9-0D0D-4FF9-BBC6-8E08E7243B64}"/>
    <cellStyle name="Normal 5 5 2" xfId="468" xr:uid="{00000000-0005-0000-0000-000046030000}"/>
    <cellStyle name="Normal 5 5 2 2" xfId="469" xr:uid="{00000000-0005-0000-0000-000047030000}"/>
    <cellStyle name="Normal 5 5 2 2 2" xfId="948" xr:uid="{00000000-0005-0000-0000-000048030000}"/>
    <cellStyle name="Normal 5 5 2 2 2 2" xfId="4010" xr:uid="{73012663-A9BE-416A-9C3F-A6B499E98C88}"/>
    <cellStyle name="Normal 5 5 2 2 2 2 2" xfId="8228" xr:uid="{7A3183B1-4816-448A-93E1-FC673073A38D}"/>
    <cellStyle name="Normal 5 5 2 2 2 3" xfId="6083" xr:uid="{D18404F1-4F0A-4B4A-80C3-509CE0EA68BC}"/>
    <cellStyle name="Normal 5 5 2 2 2 4" xfId="1781" xr:uid="{9A205C8C-ED1B-43DB-A088-DE487042935B}"/>
    <cellStyle name="Normal 5 5 2 2 3" xfId="2194" xr:uid="{04740CC2-2874-4A8F-AAB7-EE6299828CD2}"/>
    <cellStyle name="Normal 5 5 2 2 3 2" xfId="4423" xr:uid="{42105F13-F2E7-4373-A6E9-6688C6CA1C73}"/>
    <cellStyle name="Normal 5 5 2 2 3 2 2" xfId="8641" xr:uid="{C6488211-D34A-4AF3-B441-9510208A422C}"/>
    <cellStyle name="Normal 5 5 2 2 3 3" xfId="6496" xr:uid="{BC50F452-ACF7-4DD3-87C6-6459AEA9D747}"/>
    <cellStyle name="Normal 5 5 2 2 4" xfId="2607" xr:uid="{27801B90-DD3E-443D-A9C3-F898BAAB82BA}"/>
    <cellStyle name="Normal 5 5 2 2 4 2" xfId="4836" xr:uid="{8C8BADEE-397E-407C-B2D7-EAEAF0DFD4E1}"/>
    <cellStyle name="Normal 5 5 2 2 4 2 2" xfId="9054" xr:uid="{DD581526-D78B-4A03-991C-FA9D2E9719DA}"/>
    <cellStyle name="Normal 5 5 2 2 4 3" xfId="6909" xr:uid="{CC680A76-1080-4FF7-AD93-695896EC38E0}"/>
    <cellStyle name="Normal 5 5 2 2 5" xfId="3020" xr:uid="{7645D4C3-B331-4592-9B68-BAE920744009}"/>
    <cellStyle name="Normal 5 5 2 2 5 2" xfId="5249" xr:uid="{1EC72942-AD3B-4205-BAA7-E2AE37CE376F}"/>
    <cellStyle name="Normal 5 5 2 2 5 2 2" xfId="9467" xr:uid="{01D67C2B-363C-465A-8D91-8E73143342A1}"/>
    <cellStyle name="Normal 5 5 2 2 5 3" xfId="7322" xr:uid="{D697A99F-7103-44E7-AA9C-B08D388C03E8}"/>
    <cellStyle name="Normal 5 5 2 2 6" xfId="3456" xr:uid="{AB7349C6-95CC-4864-8814-4930D3832F20}"/>
    <cellStyle name="Normal 5 5 2 2 6 2" xfId="7735" xr:uid="{4620B6E4-9843-4AA0-B0BB-B4E0A206C26E}"/>
    <cellStyle name="Normal 5 5 2 2 7" xfId="5670" xr:uid="{35F9B7B8-8910-4CAE-91F6-4557F2CF5659}"/>
    <cellStyle name="Normal 5 5 2 2 8" xfId="1366" xr:uid="{1D9255AC-B74C-427D-8D10-69BF0391E369}"/>
    <cellStyle name="Normal 5 5 2 3" xfId="947" xr:uid="{00000000-0005-0000-0000-000049030000}"/>
    <cellStyle name="Normal 5 5 2 3 2" xfId="4009" xr:uid="{984FF008-DF78-495E-9CB2-1BBE4B70594E}"/>
    <cellStyle name="Normal 5 5 2 3 2 2" xfId="8227" xr:uid="{074F2C0D-D9B7-42AB-A3C6-E7B03C8C5BE3}"/>
    <cellStyle name="Normal 5 5 2 3 3" xfId="6082" xr:uid="{3E9CA025-BABC-4B34-B6DC-1172FBEBFCAF}"/>
    <cellStyle name="Normal 5 5 2 3 4" xfId="1780" xr:uid="{0D7A852F-592A-4621-97EB-80BC1D50FE5F}"/>
    <cellStyle name="Normal 5 5 2 4" xfId="2193" xr:uid="{A2C2CA69-CC82-4DC7-B207-1FA55B76975F}"/>
    <cellStyle name="Normal 5 5 2 4 2" xfId="4422" xr:uid="{D58FEFBC-9867-4DB4-9479-BABBB43D2401}"/>
    <cellStyle name="Normal 5 5 2 4 2 2" xfId="8640" xr:uid="{FBABC0A5-9771-43B5-A93A-E3482810511F}"/>
    <cellStyle name="Normal 5 5 2 4 3" xfId="6495" xr:uid="{FD34D192-4BB4-4F2D-985E-9BBAE7137004}"/>
    <cellStyle name="Normal 5 5 2 5" xfId="2606" xr:uid="{A8CBB08A-E778-4BFB-8B66-676C4DBD7A69}"/>
    <cellStyle name="Normal 5 5 2 5 2" xfId="4835" xr:uid="{568783AD-AC23-45C3-AEFD-1F428EDF75C1}"/>
    <cellStyle name="Normal 5 5 2 5 2 2" xfId="9053" xr:uid="{EE34869F-18F5-4456-BC65-4648943962C9}"/>
    <cellStyle name="Normal 5 5 2 5 3" xfId="6908" xr:uid="{018BE958-D285-46DE-8104-95D3E584B904}"/>
    <cellStyle name="Normal 5 5 2 6" xfId="3019" xr:uid="{F974A306-2575-4E3A-A5D0-91AEDB49D650}"/>
    <cellStyle name="Normal 5 5 2 6 2" xfId="5248" xr:uid="{40F81C81-5F16-4AE8-BD5F-6FA74B27906F}"/>
    <cellStyle name="Normal 5 5 2 6 2 2" xfId="9466" xr:uid="{859C0B88-7E85-4149-87A8-22E9AE684617}"/>
    <cellStyle name="Normal 5 5 2 6 3" xfId="7321" xr:uid="{714C8D93-C56A-4C4D-9777-020942D97483}"/>
    <cellStyle name="Normal 5 5 2 7" xfId="3455" xr:uid="{0A78131D-6B91-4292-B781-99D84219D6F8}"/>
    <cellStyle name="Normal 5 5 2 7 2" xfId="7734" xr:uid="{390E867A-63E6-4E51-890E-A8C96B326DEF}"/>
    <cellStyle name="Normal 5 5 2 8" xfId="5669" xr:uid="{AD4075D9-734F-4F16-9CC3-7B522FAFCF09}"/>
    <cellStyle name="Normal 5 5 2 9" xfId="1365" xr:uid="{FBC7E766-E07F-4788-B1B7-DA348A7DF9AF}"/>
    <cellStyle name="Normal 5 5 3" xfId="470" xr:uid="{00000000-0005-0000-0000-00004A030000}"/>
    <cellStyle name="Normal 5 5 3 2" xfId="949" xr:uid="{00000000-0005-0000-0000-00004B030000}"/>
    <cellStyle name="Normal 5 5 3 2 2" xfId="4011" xr:uid="{07F78E8A-B1C5-40D0-B2B9-2B7AF2C9DA04}"/>
    <cellStyle name="Normal 5 5 3 2 2 2" xfId="8229" xr:uid="{841C1E70-B339-4385-BF2F-3D1444D1A2AD}"/>
    <cellStyle name="Normal 5 5 3 2 3" xfId="6084" xr:uid="{962B3A78-133E-49F2-A19A-B6A157C8DE5D}"/>
    <cellStyle name="Normal 5 5 3 2 4" xfId="1782" xr:uid="{819439ED-4417-44BA-BB9F-0F725B2E8288}"/>
    <cellStyle name="Normal 5 5 3 3" xfId="2195" xr:uid="{19C7FE9D-EC39-4CC6-81D5-1E3C8E16841E}"/>
    <cellStyle name="Normal 5 5 3 3 2" xfId="4424" xr:uid="{37481508-1C69-41F8-AAE6-1D04979E68CB}"/>
    <cellStyle name="Normal 5 5 3 3 2 2" xfId="8642" xr:uid="{87FA3577-1803-4DC9-84D0-90B5C47A30FD}"/>
    <cellStyle name="Normal 5 5 3 3 3" xfId="6497" xr:uid="{029C62E1-E06B-4592-A400-3A6BBE16670F}"/>
    <cellStyle name="Normal 5 5 3 4" xfId="2608" xr:uid="{EA27FD62-CE8F-4D70-9D8B-5AFD9C1D204E}"/>
    <cellStyle name="Normal 5 5 3 4 2" xfId="4837" xr:uid="{707A5F06-44E2-42BF-86FD-A4789423203C}"/>
    <cellStyle name="Normal 5 5 3 4 2 2" xfId="9055" xr:uid="{4C6ACAAA-1917-4A2B-9D83-06441573295E}"/>
    <cellStyle name="Normal 5 5 3 4 3" xfId="6910" xr:uid="{7C195F83-AD90-456C-B8A1-7AA13D1323A5}"/>
    <cellStyle name="Normal 5 5 3 5" xfId="3021" xr:uid="{53E67033-9114-4269-95B1-AE40D2101083}"/>
    <cellStyle name="Normal 5 5 3 5 2" xfId="5250" xr:uid="{EAE64EAE-AC1B-40E8-B245-EAE00FBDB350}"/>
    <cellStyle name="Normal 5 5 3 5 2 2" xfId="9468" xr:uid="{842353B7-E680-4B32-8884-F10CF28326D6}"/>
    <cellStyle name="Normal 5 5 3 5 3" xfId="7323" xr:uid="{CEDB059A-A746-40C3-9C13-F96CA4CDABE2}"/>
    <cellStyle name="Normal 5 5 3 6" xfId="3457" xr:uid="{32678938-5E6F-435A-9E35-3775D239CACA}"/>
    <cellStyle name="Normal 5 5 3 6 2" xfId="7736" xr:uid="{173C183C-5E71-4879-AD24-39260C24CDA5}"/>
    <cellStyle name="Normal 5 5 3 7" xfId="5671" xr:uid="{1F6D82F6-5A67-4ACB-876F-8CE0D3F21E3F}"/>
    <cellStyle name="Normal 5 5 3 8" xfId="1367" xr:uid="{0D5B11BE-BFE8-4BE3-8A2D-0D2B1252B564}"/>
    <cellStyle name="Normal 5 5 4" xfId="946" xr:uid="{00000000-0005-0000-0000-00004C030000}"/>
    <cellStyle name="Normal 5 5 4 2" xfId="4008" xr:uid="{F737C9D6-F371-45A3-92E5-2FF338400698}"/>
    <cellStyle name="Normal 5 5 4 2 2" xfId="8226" xr:uid="{DD5EA06C-E8F5-43A5-BA2B-3ED6C1F14106}"/>
    <cellStyle name="Normal 5 5 4 3" xfId="6081" xr:uid="{9E6AA518-E585-45D4-93A4-F5896C490552}"/>
    <cellStyle name="Normal 5 5 4 4" xfId="1779" xr:uid="{C410E507-C2E0-45DB-BF32-F97BA0C12560}"/>
    <cellStyle name="Normal 5 5 5" xfId="2192" xr:uid="{FAFC51DC-7578-4EC8-A5F2-6056F31A1FB3}"/>
    <cellStyle name="Normal 5 5 5 2" xfId="4421" xr:uid="{DF31F03F-18D8-47C2-A7E2-8481A12BA408}"/>
    <cellStyle name="Normal 5 5 5 2 2" xfId="8639" xr:uid="{C07C32F5-AD0B-4234-A6C4-5CFB5DFF4C76}"/>
    <cellStyle name="Normal 5 5 5 3" xfId="6494" xr:uid="{DB74BB74-42FB-4A42-BD4A-4A4705CCE3B3}"/>
    <cellStyle name="Normal 5 5 6" xfId="2605" xr:uid="{7C829E68-AA6A-4D3D-9FA8-9ADB9ADC9AF8}"/>
    <cellStyle name="Normal 5 5 6 2" xfId="4834" xr:uid="{F2CCFD26-8B70-41B0-8E09-3D4DF246C5B3}"/>
    <cellStyle name="Normal 5 5 6 2 2" xfId="9052" xr:uid="{11932BEB-D6AF-4858-BD20-0AF1D30650CF}"/>
    <cellStyle name="Normal 5 5 6 3" xfId="6907" xr:uid="{15D4096A-652F-4BFD-BEEF-4E92F0FE9EBD}"/>
    <cellStyle name="Normal 5 5 7" xfId="3018" xr:uid="{06630D94-1B34-43FD-8820-F8D638CFE3DF}"/>
    <cellStyle name="Normal 5 5 7 2" xfId="5247" xr:uid="{94699B55-D766-4612-BCD0-93F531E60491}"/>
    <cellStyle name="Normal 5 5 7 2 2" xfId="9465" xr:uid="{E77CB121-0528-47C7-8973-CFE9BE7B7221}"/>
    <cellStyle name="Normal 5 5 7 3" xfId="7320" xr:uid="{6CA798F0-642A-42B8-BFAC-24662E8F99DC}"/>
    <cellStyle name="Normal 5 5 8" xfId="3454" xr:uid="{AE4C06BA-9BBC-45E0-B903-33E069968EE6}"/>
    <cellStyle name="Normal 5 5 8 2" xfId="7733" xr:uid="{91E5F43E-59C8-422E-A68A-CEA0A16B6FC4}"/>
    <cellStyle name="Normal 5 5 9" xfId="5668" xr:uid="{886D9313-D354-4122-85C8-FD3DCE4D9324}"/>
    <cellStyle name="Normal 5 6" xfId="471" xr:uid="{00000000-0005-0000-0000-00004D030000}"/>
    <cellStyle name="Normal 5 6 2" xfId="472" xr:uid="{00000000-0005-0000-0000-00004E030000}"/>
    <cellStyle name="Normal 5 6 2 2" xfId="951" xr:uid="{00000000-0005-0000-0000-00004F030000}"/>
    <cellStyle name="Normal 5 6 2 2 2" xfId="4013" xr:uid="{021A6909-A7CB-482D-B8F3-BFB9C0CDE9C5}"/>
    <cellStyle name="Normal 5 6 2 2 2 2" xfId="8231" xr:uid="{FE745F88-984F-4D44-9A95-4D08F1B81CC1}"/>
    <cellStyle name="Normal 5 6 2 2 3" xfId="6086" xr:uid="{0F0B1D26-55F3-4F65-B5F0-2225ADA5E600}"/>
    <cellStyle name="Normal 5 6 2 2 4" xfId="1784" xr:uid="{4A05CD69-20D0-4A52-9FC2-EEA66D14D340}"/>
    <cellStyle name="Normal 5 6 2 3" xfId="2197" xr:uid="{A1D14882-5F20-4921-830E-02B1940204C5}"/>
    <cellStyle name="Normal 5 6 2 3 2" xfId="4426" xr:uid="{586973FA-38AA-4C9B-A64B-A2F1C15AAF76}"/>
    <cellStyle name="Normal 5 6 2 3 2 2" xfId="8644" xr:uid="{F6ADF62C-7B2D-45E9-87AA-88CB096F6E3B}"/>
    <cellStyle name="Normal 5 6 2 3 3" xfId="6499" xr:uid="{95988D4E-1317-4610-979B-A76A6295A50F}"/>
    <cellStyle name="Normal 5 6 2 4" xfId="2610" xr:uid="{66766BC4-21B4-494F-88D0-0A7B0DB2BDF9}"/>
    <cellStyle name="Normal 5 6 2 4 2" xfId="4839" xr:uid="{9B6033DF-6008-4F17-87C8-36D9DDE83BDA}"/>
    <cellStyle name="Normal 5 6 2 4 2 2" xfId="9057" xr:uid="{C138CD4A-6A47-4A51-949D-74EDE5DFCD05}"/>
    <cellStyle name="Normal 5 6 2 4 3" xfId="6912" xr:uid="{84DCCF76-17A2-451B-804E-A26408A2545A}"/>
    <cellStyle name="Normal 5 6 2 5" xfId="3023" xr:uid="{7BF8B863-41EF-4E8F-A4B1-80E32A6DFD28}"/>
    <cellStyle name="Normal 5 6 2 5 2" xfId="5252" xr:uid="{918C50BF-1D65-4E07-B078-09004DEFF82D}"/>
    <cellStyle name="Normal 5 6 2 5 2 2" xfId="9470" xr:uid="{95A651C7-E3B7-4D98-8D1A-E53BBCA650F1}"/>
    <cellStyle name="Normal 5 6 2 5 3" xfId="7325" xr:uid="{829CB3D3-26A3-41F5-9A7B-D89AFC0D8036}"/>
    <cellStyle name="Normal 5 6 2 6" xfId="3459" xr:uid="{572148FB-D166-4CF3-A144-5143FCB5F286}"/>
    <cellStyle name="Normal 5 6 2 6 2" xfId="7738" xr:uid="{A32AB4ED-6999-45D5-86B3-94ABA29A9A88}"/>
    <cellStyle name="Normal 5 6 2 7" xfId="5673" xr:uid="{D0F6C824-53A2-425F-988E-AFEAF5937FC9}"/>
    <cellStyle name="Normal 5 6 2 8" xfId="1369" xr:uid="{768E4F6D-0BEA-4C50-8847-4C78327C0CB4}"/>
    <cellStyle name="Normal 5 6 3" xfId="950" xr:uid="{00000000-0005-0000-0000-000050030000}"/>
    <cellStyle name="Normal 5 6 3 2" xfId="4012" xr:uid="{6B2F193B-15A3-4357-AA6E-E5E5A07F017B}"/>
    <cellStyle name="Normal 5 6 3 2 2" xfId="8230" xr:uid="{4339FDEE-D293-49E1-84F2-1C76476ADD40}"/>
    <cellStyle name="Normal 5 6 3 3" xfId="6085" xr:uid="{2493FB38-56FA-4C2C-A801-1AB10C0855EF}"/>
    <cellStyle name="Normal 5 6 3 4" xfId="1783" xr:uid="{FAEA2755-9ED6-49E8-B74A-EFD9ED3913C1}"/>
    <cellStyle name="Normal 5 6 4" xfId="2196" xr:uid="{EA9D1357-7167-479E-9484-8D64D44946ED}"/>
    <cellStyle name="Normal 5 6 4 2" xfId="4425" xr:uid="{9154315C-844E-476A-9C6D-0A4125842408}"/>
    <cellStyle name="Normal 5 6 4 2 2" xfId="8643" xr:uid="{E2A7E3F1-E938-4A09-878B-FCE453CD9F9A}"/>
    <cellStyle name="Normal 5 6 4 3" xfId="6498" xr:uid="{51E87C2B-4ACC-4B9D-AB62-86B3DB1C509A}"/>
    <cellStyle name="Normal 5 6 5" xfId="2609" xr:uid="{FAD23AE6-1460-4C69-92E0-594BC68128C9}"/>
    <cellStyle name="Normal 5 6 5 2" xfId="4838" xr:uid="{67253054-1FA6-4C71-82E4-9E648CA22DF2}"/>
    <cellStyle name="Normal 5 6 5 2 2" xfId="9056" xr:uid="{B4FA9240-10D4-4E25-BBB4-B47739722003}"/>
    <cellStyle name="Normal 5 6 5 3" xfId="6911" xr:uid="{83B8E89A-7A61-4CF9-8A39-00D1101B0AA0}"/>
    <cellStyle name="Normal 5 6 6" xfId="3022" xr:uid="{1EDC793C-91DD-42ED-A5BF-A88F4C31B6A5}"/>
    <cellStyle name="Normal 5 6 6 2" xfId="5251" xr:uid="{93B8A49F-FAF7-4A5D-BA6E-5154633F502C}"/>
    <cellStyle name="Normal 5 6 6 2 2" xfId="9469" xr:uid="{17BCC66D-3944-4CBA-9603-B2EE7CF0584E}"/>
    <cellStyle name="Normal 5 6 6 3" xfId="7324" xr:uid="{3F78082A-814C-42E4-B6A7-46D874BB7855}"/>
    <cellStyle name="Normal 5 6 7" xfId="3458" xr:uid="{FDFA28AD-1A8D-4B5A-8301-CB2C02D17932}"/>
    <cellStyle name="Normal 5 6 7 2" xfId="7737" xr:uid="{71283BDB-E521-4230-B533-C0C4F633E2E9}"/>
    <cellStyle name="Normal 5 6 8" xfId="5672" xr:uid="{2422F19D-B06C-4E4E-B569-BD7AF33B93B1}"/>
    <cellStyle name="Normal 5 6 9" xfId="1368" xr:uid="{2A0E5AC3-C93D-45EA-8895-4BF6EAAFCD71}"/>
    <cellStyle name="Normal 5 7" xfId="473" xr:uid="{00000000-0005-0000-0000-000051030000}"/>
    <cellStyle name="Normal 5 7 2" xfId="952" xr:uid="{00000000-0005-0000-0000-000052030000}"/>
    <cellStyle name="Normal 5 7 2 2" xfId="4014" xr:uid="{C147F300-38B8-4A58-8C92-11F54B1991B7}"/>
    <cellStyle name="Normal 5 7 2 2 2" xfId="8232" xr:uid="{AAC5BD70-9B47-4C30-BDC8-FF3D5274D058}"/>
    <cellStyle name="Normal 5 7 2 3" xfId="6087" xr:uid="{9C05721C-AE08-4BF3-8B41-C0376B648FB0}"/>
    <cellStyle name="Normal 5 7 2 4" xfId="1785" xr:uid="{98C7FAB6-92B0-4490-BA1E-226F499A0443}"/>
    <cellStyle name="Normal 5 7 3" xfId="2198" xr:uid="{8D4095AA-82AA-4BB8-836B-0E6FFC8BDC0E}"/>
    <cellStyle name="Normal 5 7 3 2" xfId="4427" xr:uid="{A15FE7DE-F3F3-473B-93C6-C6F89165E3B2}"/>
    <cellStyle name="Normal 5 7 3 2 2" xfId="8645" xr:uid="{140431A6-DC76-467C-BA8D-2692114EDAAA}"/>
    <cellStyle name="Normal 5 7 3 3" xfId="6500" xr:uid="{F5C0F663-79DC-4267-9DC7-D473C442FBB2}"/>
    <cellStyle name="Normal 5 7 4" xfId="2611" xr:uid="{929B6C27-4A99-4BBD-9E33-385A2F286660}"/>
    <cellStyle name="Normal 5 7 4 2" xfId="4840" xr:uid="{084CFE3B-AC1B-440F-8377-6587BFA9DC4C}"/>
    <cellStyle name="Normal 5 7 4 2 2" xfId="9058" xr:uid="{D8043870-581F-4556-A407-C999CAA89643}"/>
    <cellStyle name="Normal 5 7 4 3" xfId="6913" xr:uid="{8F28E7AD-18FC-4442-ACE4-761690391859}"/>
    <cellStyle name="Normal 5 7 5" xfId="3024" xr:uid="{0EBDEF78-801B-4B9F-9AAE-64664E478875}"/>
    <cellStyle name="Normal 5 7 5 2" xfId="5253" xr:uid="{17321A05-E49D-46A9-91FF-5FF205B75407}"/>
    <cellStyle name="Normal 5 7 5 2 2" xfId="9471" xr:uid="{BAF889A0-0AF2-4B5E-9FD7-CC98E31D7B62}"/>
    <cellStyle name="Normal 5 7 5 3" xfId="7326" xr:uid="{E7E45827-8603-4DCB-82E9-446397BDD443}"/>
    <cellStyle name="Normal 5 7 6" xfId="3460" xr:uid="{E90CE100-002B-42DF-A3FD-DE6F4A4178F5}"/>
    <cellStyle name="Normal 5 7 6 2" xfId="7739" xr:uid="{FE57B37D-CD82-4398-8606-584EDBECEE0E}"/>
    <cellStyle name="Normal 5 7 7" xfId="5674" xr:uid="{6E9BE6C0-A655-496B-82E5-BC078DA46A33}"/>
    <cellStyle name="Normal 5 7 8" xfId="1370" xr:uid="{B41B5411-41DD-494A-97C7-25E33011E2FE}"/>
    <cellStyle name="Normal 5 8" xfId="888" xr:uid="{00000000-0005-0000-0000-000053030000}"/>
    <cellStyle name="Normal 5 8 2" xfId="3951" xr:uid="{55702B28-E60D-4FDD-A397-BD3117BF3048}"/>
    <cellStyle name="Normal 5 8 2 2" xfId="8169" xr:uid="{108B014D-F05F-4BA6-8F19-539C12270E81}"/>
    <cellStyle name="Normal 5 8 3" xfId="6024" xr:uid="{2022A6DC-A919-4162-97BD-E3671DFDB911}"/>
    <cellStyle name="Normal 5 8 4" xfId="1722" xr:uid="{D2F279C2-5221-4FDC-B922-D054C7450BA1}"/>
    <cellStyle name="Normal 5 9" xfId="2135" xr:uid="{AA5848DF-4251-44D9-BA48-99DE821DA2A5}"/>
    <cellStyle name="Normal 5 9 2" xfId="4364" xr:uid="{DE4D7E92-CC0C-4677-B5FF-1521F5DC430F}"/>
    <cellStyle name="Normal 5 9 2 2" xfId="8582" xr:uid="{C555206F-6A0D-4545-8C7A-DDD07348BF23}"/>
    <cellStyle name="Normal 5 9 3" xfId="6437" xr:uid="{4E3E3CD5-328A-4671-98E2-1AD05A614501}"/>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025" xr:uid="{09A3D3ED-735D-4FBD-BD50-80B2C3B7E96C}"/>
    <cellStyle name="Normal 8 10 2" xfId="5254" xr:uid="{8C3C3053-F430-4FE2-9976-FA152961C095}"/>
    <cellStyle name="Normal 8 10 2 2" xfId="9472" xr:uid="{EC73CEAF-2AAE-46C4-9746-F2D089C5F67B}"/>
    <cellStyle name="Normal 8 10 3" xfId="7327" xr:uid="{8CD9027E-C9E0-4ED3-9B3E-8024B0848972}"/>
    <cellStyle name="Normal 8 11" xfId="3461" xr:uid="{479FC280-D03F-46AE-AE96-20ADA1369961}"/>
    <cellStyle name="Normal 8 11 2" xfId="7740" xr:uid="{C34113E3-3DB5-4119-B4EA-B3AF6A3CAC56}"/>
    <cellStyle name="Normal 8 12" xfId="5675" xr:uid="{E9FB1968-D490-42FD-8BB0-D84DA9AAC3EB}"/>
    <cellStyle name="Normal 8 13" xfId="1371" xr:uid="{F14A122D-54F1-4379-A8CB-5151447121CD}"/>
    <cellStyle name="Normal 8 2" xfId="482" xr:uid="{00000000-0005-0000-0000-00005C030000}"/>
    <cellStyle name="Normal 8 2 10" xfId="3462" xr:uid="{AC7AC185-281C-49D1-AEE9-DF9C55F2E679}"/>
    <cellStyle name="Normal 8 2 10 2" xfId="7741" xr:uid="{1762BEBA-4348-4E5B-A420-F54724886EE0}"/>
    <cellStyle name="Normal 8 2 11" xfId="5676" xr:uid="{66934764-AE28-4EDE-8DA0-116AA5F02FA6}"/>
    <cellStyle name="Normal 8 2 12" xfId="1372" xr:uid="{DB79B6B3-D96B-45A0-A0D6-F5DF45E194E5}"/>
    <cellStyle name="Normal 8 2 2" xfId="483" xr:uid="{00000000-0005-0000-0000-00005D030000}"/>
    <cellStyle name="Normal 8 2 2 10" xfId="5677" xr:uid="{4FB67B61-7EC8-48F6-97D8-3E3AAC226F75}"/>
    <cellStyle name="Normal 8 2 2 11" xfId="1373" xr:uid="{6CA80959-9AE5-4D3D-BA46-EB40215B07AE}"/>
    <cellStyle name="Normal 8 2 2 2" xfId="484" xr:uid="{00000000-0005-0000-0000-00005E030000}"/>
    <cellStyle name="Normal 8 2 2 2 10" xfId="1374" xr:uid="{124CB032-FEAD-4E0D-99C3-C491F8E26984}"/>
    <cellStyle name="Normal 8 2 2 2 2" xfId="485" xr:uid="{00000000-0005-0000-0000-00005F030000}"/>
    <cellStyle name="Normal 8 2 2 2 2 2" xfId="486" xr:uid="{00000000-0005-0000-0000-000060030000}"/>
    <cellStyle name="Normal 8 2 2 2 2 2 2" xfId="958" xr:uid="{00000000-0005-0000-0000-000061030000}"/>
    <cellStyle name="Normal 8 2 2 2 2 2 2 2" xfId="4020" xr:uid="{C1CA9300-8345-4670-ACE0-256CF41A2A55}"/>
    <cellStyle name="Normal 8 2 2 2 2 2 2 2 2" xfId="8238" xr:uid="{D7EF5689-68F5-4D66-90E4-31562BEE4CD5}"/>
    <cellStyle name="Normal 8 2 2 2 2 2 2 3" xfId="6093" xr:uid="{45C287DB-6D99-4A28-9EC7-B31684A5C27F}"/>
    <cellStyle name="Normal 8 2 2 2 2 2 2 4" xfId="1791" xr:uid="{989E42E1-8E08-4A81-BDD2-58962748CAA4}"/>
    <cellStyle name="Normal 8 2 2 2 2 2 3" xfId="2204" xr:uid="{8AB96871-1CFC-40FD-ABF6-8A98030C7532}"/>
    <cellStyle name="Normal 8 2 2 2 2 2 3 2" xfId="4433" xr:uid="{C31859BF-E01E-4AF0-AFD2-869C04AE8CE2}"/>
    <cellStyle name="Normal 8 2 2 2 2 2 3 2 2" xfId="8651" xr:uid="{6D4BBFAA-67D7-49C6-B7FF-0D2534D5AD9F}"/>
    <cellStyle name="Normal 8 2 2 2 2 2 3 3" xfId="6506" xr:uid="{EC457112-3498-419C-A9D2-FCF8744023A4}"/>
    <cellStyle name="Normal 8 2 2 2 2 2 4" xfId="2617" xr:uid="{136FDE19-B504-4915-A964-7867F23E4492}"/>
    <cellStyle name="Normal 8 2 2 2 2 2 4 2" xfId="4846" xr:uid="{0AF50A21-53B9-4343-A8D8-9113346658C9}"/>
    <cellStyle name="Normal 8 2 2 2 2 2 4 2 2" xfId="9064" xr:uid="{5F516EFC-7A05-4742-AFAC-88A689CE4A8F}"/>
    <cellStyle name="Normal 8 2 2 2 2 2 4 3" xfId="6919" xr:uid="{B99EA375-41C6-4540-A3B4-95D5F29F7B2B}"/>
    <cellStyle name="Normal 8 2 2 2 2 2 5" xfId="3030" xr:uid="{406E9AA5-0142-44EF-B44B-AF2D3F0AF701}"/>
    <cellStyle name="Normal 8 2 2 2 2 2 5 2" xfId="5259" xr:uid="{3AA9B4A3-AE0A-43C5-89A0-398FE7A1C4F1}"/>
    <cellStyle name="Normal 8 2 2 2 2 2 5 2 2" xfId="9477" xr:uid="{A8CEB393-F630-4E70-93CF-13A2BF2463F6}"/>
    <cellStyle name="Normal 8 2 2 2 2 2 5 3" xfId="7332" xr:uid="{69976A5C-B318-4B20-A69F-BF3345D8A91C}"/>
    <cellStyle name="Normal 8 2 2 2 2 2 6" xfId="3466" xr:uid="{328B34FE-3979-44CD-82F2-711B12F2A5AC}"/>
    <cellStyle name="Normal 8 2 2 2 2 2 6 2" xfId="7745" xr:uid="{ADA968A1-6054-4392-BE1E-0D5D60A772AF}"/>
    <cellStyle name="Normal 8 2 2 2 2 2 7" xfId="5680" xr:uid="{2C6AD80E-D5E4-48F4-86BB-0C169F46BEE3}"/>
    <cellStyle name="Normal 8 2 2 2 2 2 8" xfId="1376" xr:uid="{B10E8F97-E965-4213-9537-53C7D43F6C30}"/>
    <cellStyle name="Normal 8 2 2 2 2 3" xfId="957" xr:uid="{00000000-0005-0000-0000-000062030000}"/>
    <cellStyle name="Normal 8 2 2 2 2 3 2" xfId="4019" xr:uid="{39661DC3-06C7-4240-8434-F12B7B3A7806}"/>
    <cellStyle name="Normal 8 2 2 2 2 3 2 2" xfId="8237" xr:uid="{AB67040E-5D22-4714-8B16-89D578ED365E}"/>
    <cellStyle name="Normal 8 2 2 2 2 3 3" xfId="6092" xr:uid="{302E5DF1-4DF0-42B3-AB23-A40154233044}"/>
    <cellStyle name="Normal 8 2 2 2 2 3 4" xfId="1790" xr:uid="{F019B169-3670-4DF8-8EB2-F06CB2F9D053}"/>
    <cellStyle name="Normal 8 2 2 2 2 4" xfId="2203" xr:uid="{B1479424-B8D6-47DF-B3B3-4B69CE2F665D}"/>
    <cellStyle name="Normal 8 2 2 2 2 4 2" xfId="4432" xr:uid="{FEDDC4F1-C07A-426A-AB40-8BDEA1088CA9}"/>
    <cellStyle name="Normal 8 2 2 2 2 4 2 2" xfId="8650" xr:uid="{2D2B32FC-067E-4EA0-9C5B-5E323EA5205C}"/>
    <cellStyle name="Normal 8 2 2 2 2 4 3" xfId="6505" xr:uid="{7FE3172B-07BB-484B-ABFC-AE1F7433C04F}"/>
    <cellStyle name="Normal 8 2 2 2 2 5" xfId="2616" xr:uid="{6FC6ABA0-FA26-40DF-BEB0-5FF7A0F3E5AA}"/>
    <cellStyle name="Normal 8 2 2 2 2 5 2" xfId="4845" xr:uid="{23EBE6C6-FAB6-4293-8FEA-1DC0D9633359}"/>
    <cellStyle name="Normal 8 2 2 2 2 5 2 2" xfId="9063" xr:uid="{7EF3E2D2-B98D-4E8F-A81E-B051CD6EE3C8}"/>
    <cellStyle name="Normal 8 2 2 2 2 5 3" xfId="6918" xr:uid="{E55AF8B9-54AA-4B3A-94CE-0CE0484789B2}"/>
    <cellStyle name="Normal 8 2 2 2 2 6" xfId="3029" xr:uid="{128712F5-2E8E-468D-B4F4-5F9808CE39B2}"/>
    <cellStyle name="Normal 8 2 2 2 2 6 2" xfId="5258" xr:uid="{6EB054B2-6B99-4A0B-A840-8132E28B7CD5}"/>
    <cellStyle name="Normal 8 2 2 2 2 6 2 2" xfId="9476" xr:uid="{AAFE903B-7ABC-44F1-B145-B49E60C3EE90}"/>
    <cellStyle name="Normal 8 2 2 2 2 6 3" xfId="7331" xr:uid="{608081F5-E034-4EFB-8A06-24B6A68F5816}"/>
    <cellStyle name="Normal 8 2 2 2 2 7" xfId="3465" xr:uid="{4785A191-32EA-46B9-89F1-28AF35A61EDC}"/>
    <cellStyle name="Normal 8 2 2 2 2 7 2" xfId="7744" xr:uid="{3F485E0B-5715-48F5-9F5F-5A04B3620CA1}"/>
    <cellStyle name="Normal 8 2 2 2 2 8" xfId="5679" xr:uid="{4875014C-E4C2-4132-92DA-214A1E5CE732}"/>
    <cellStyle name="Normal 8 2 2 2 2 9" xfId="1375" xr:uid="{C9A95137-1D35-4D34-A3AF-62C7B2EB46D4}"/>
    <cellStyle name="Normal 8 2 2 2 3" xfId="487" xr:uid="{00000000-0005-0000-0000-000063030000}"/>
    <cellStyle name="Normal 8 2 2 2 3 2" xfId="959" xr:uid="{00000000-0005-0000-0000-000064030000}"/>
    <cellStyle name="Normal 8 2 2 2 3 2 2" xfId="4021" xr:uid="{D3261D57-A232-41FE-AFA6-09EE6905BF25}"/>
    <cellStyle name="Normal 8 2 2 2 3 2 2 2" xfId="8239" xr:uid="{9778B7E9-1D6A-4CC5-9D21-0645398B1470}"/>
    <cellStyle name="Normal 8 2 2 2 3 2 3" xfId="6094" xr:uid="{1867BAA6-AE57-4D4C-A1CA-1F1BDAA33F1F}"/>
    <cellStyle name="Normal 8 2 2 2 3 2 4" xfId="1792" xr:uid="{D605A420-C0F5-4B01-9CE9-EE152DCD70C1}"/>
    <cellStyle name="Normal 8 2 2 2 3 3" xfId="2205" xr:uid="{EC2828AC-08A4-4FE2-89C4-511AAA7122E4}"/>
    <cellStyle name="Normal 8 2 2 2 3 3 2" xfId="4434" xr:uid="{C5CE169F-EB6E-46DB-92BD-40E3003C27F3}"/>
    <cellStyle name="Normal 8 2 2 2 3 3 2 2" xfId="8652" xr:uid="{77ABFD16-D9A2-4336-A1ED-F1076D043B6D}"/>
    <cellStyle name="Normal 8 2 2 2 3 3 3" xfId="6507" xr:uid="{7CB6578C-E485-4EF4-BE58-F9D1874D0099}"/>
    <cellStyle name="Normal 8 2 2 2 3 4" xfId="2618" xr:uid="{EE0BC506-62B3-49BC-8CCD-97A236A75D4A}"/>
    <cellStyle name="Normal 8 2 2 2 3 4 2" xfId="4847" xr:uid="{0E6F50D7-59B1-44F9-988D-9953F24C721C}"/>
    <cellStyle name="Normal 8 2 2 2 3 4 2 2" xfId="9065" xr:uid="{21AACD58-3940-45B3-B736-D6B357C2F3CF}"/>
    <cellStyle name="Normal 8 2 2 2 3 4 3" xfId="6920" xr:uid="{D459D788-4114-4951-86EB-BD2EB4D16448}"/>
    <cellStyle name="Normal 8 2 2 2 3 5" xfId="3031" xr:uid="{2873C667-840D-46AF-A166-DDF78351D626}"/>
    <cellStyle name="Normal 8 2 2 2 3 5 2" xfId="5260" xr:uid="{1E6FE1AA-11A9-41CD-B233-20B948BCEB1A}"/>
    <cellStyle name="Normal 8 2 2 2 3 5 2 2" xfId="9478" xr:uid="{83936CBA-A923-4D5D-97B0-F182085FE1E5}"/>
    <cellStyle name="Normal 8 2 2 2 3 5 3" xfId="7333" xr:uid="{6620E95A-B109-4433-8ACA-810651FE30F6}"/>
    <cellStyle name="Normal 8 2 2 2 3 6" xfId="3467" xr:uid="{C22A778D-16B4-49A2-89BC-DB802EDE34E6}"/>
    <cellStyle name="Normal 8 2 2 2 3 6 2" xfId="7746" xr:uid="{80AF44B3-F40C-46EA-9337-7910A9505670}"/>
    <cellStyle name="Normal 8 2 2 2 3 7" xfId="5681" xr:uid="{595CF308-DE10-4CD8-98C2-A3E5C4EE650B}"/>
    <cellStyle name="Normal 8 2 2 2 3 8" xfId="1377" xr:uid="{B10C5398-5B89-483A-A713-E164557ACFD1}"/>
    <cellStyle name="Normal 8 2 2 2 4" xfId="956" xr:uid="{00000000-0005-0000-0000-000065030000}"/>
    <cellStyle name="Normal 8 2 2 2 4 2" xfId="4018" xr:uid="{698E50D7-3632-4F24-B3E9-94F6388F5686}"/>
    <cellStyle name="Normal 8 2 2 2 4 2 2" xfId="8236" xr:uid="{C205FD72-996F-4058-93CE-0FF82283EC7B}"/>
    <cellStyle name="Normal 8 2 2 2 4 3" xfId="6091" xr:uid="{379EFEC2-F9D7-45DA-9CB4-8DE656D999CD}"/>
    <cellStyle name="Normal 8 2 2 2 4 4" xfId="1789" xr:uid="{F8F02589-D597-402D-926C-95A9D8599C1D}"/>
    <cellStyle name="Normal 8 2 2 2 5" xfId="2202" xr:uid="{F940704E-8E4E-4607-931A-AE9F59CA4F89}"/>
    <cellStyle name="Normal 8 2 2 2 5 2" xfId="4431" xr:uid="{CC54E5C6-0C53-4AD4-B3D5-F3E5AA14F054}"/>
    <cellStyle name="Normal 8 2 2 2 5 2 2" xfId="8649" xr:uid="{88FFD474-DF10-44E9-AD6A-B62720427224}"/>
    <cellStyle name="Normal 8 2 2 2 5 3" xfId="6504" xr:uid="{3AA636A2-0F0F-4D84-AB65-2D4B41C020E7}"/>
    <cellStyle name="Normal 8 2 2 2 6" xfId="2615" xr:uid="{17CCFB08-9ED7-49B6-9668-A8F6E56B4807}"/>
    <cellStyle name="Normal 8 2 2 2 6 2" xfId="4844" xr:uid="{02333DBE-1494-4D03-A24C-1DF29F96411B}"/>
    <cellStyle name="Normal 8 2 2 2 6 2 2" xfId="9062" xr:uid="{42DA7686-5EAA-49D4-968E-E301D19B2C1D}"/>
    <cellStyle name="Normal 8 2 2 2 6 3" xfId="6917" xr:uid="{D3E0455F-5069-471C-8243-5484882D31D7}"/>
    <cellStyle name="Normal 8 2 2 2 7" xfId="3028" xr:uid="{2DEC494F-EA73-4033-8977-5A9D7A5C497F}"/>
    <cellStyle name="Normal 8 2 2 2 7 2" xfId="5257" xr:uid="{DC2FCF3A-0BE7-49AC-8E6B-B90D517ADA95}"/>
    <cellStyle name="Normal 8 2 2 2 7 2 2" xfId="9475" xr:uid="{F5EC236D-A6CB-4B07-8CBF-C05E17AD137C}"/>
    <cellStyle name="Normal 8 2 2 2 7 3" xfId="7330" xr:uid="{FBAE640B-2891-4B32-A96C-268431F46518}"/>
    <cellStyle name="Normal 8 2 2 2 8" xfId="3464" xr:uid="{A354C502-C49C-4FE7-8790-E1006A25D019}"/>
    <cellStyle name="Normal 8 2 2 2 8 2" xfId="7743" xr:uid="{E99D5222-1601-4792-BE44-0D5E6C9AE1F7}"/>
    <cellStyle name="Normal 8 2 2 2 9" xfId="5678" xr:uid="{98DC13A8-E15E-454C-85EE-EDA87D89ED64}"/>
    <cellStyle name="Normal 8 2 2 3" xfId="488" xr:uid="{00000000-0005-0000-0000-000066030000}"/>
    <cellStyle name="Normal 8 2 2 3 2" xfId="489" xr:uid="{00000000-0005-0000-0000-000067030000}"/>
    <cellStyle name="Normal 8 2 2 3 2 2" xfId="961" xr:uid="{00000000-0005-0000-0000-000068030000}"/>
    <cellStyle name="Normal 8 2 2 3 2 2 2" xfId="4023" xr:uid="{84F25259-954D-48D0-80F6-BB0B279694A2}"/>
    <cellStyle name="Normal 8 2 2 3 2 2 2 2" xfId="8241" xr:uid="{3CE1A387-AFB2-419E-9366-A06FC1FF4B58}"/>
    <cellStyle name="Normal 8 2 2 3 2 2 3" xfId="6096" xr:uid="{681CAE39-E6A2-468F-89AD-F90CF9AB668A}"/>
    <cellStyle name="Normal 8 2 2 3 2 2 4" xfId="1794" xr:uid="{E7B07047-785D-4A93-B696-990678363D9F}"/>
    <cellStyle name="Normal 8 2 2 3 2 3" xfId="2207" xr:uid="{ABC1AF43-3BBF-4D42-99B4-0A9B2C63CFD4}"/>
    <cellStyle name="Normal 8 2 2 3 2 3 2" xfId="4436" xr:uid="{346EA5A3-26F7-4B32-A976-72E00FFD90E0}"/>
    <cellStyle name="Normal 8 2 2 3 2 3 2 2" xfId="8654" xr:uid="{3784D602-DC43-4119-859E-8C34692CF120}"/>
    <cellStyle name="Normal 8 2 2 3 2 3 3" xfId="6509" xr:uid="{A67AC081-6119-44F7-91C5-3BE8A847A6B6}"/>
    <cellStyle name="Normal 8 2 2 3 2 4" xfId="2620" xr:uid="{91A4EAF3-CA49-4468-9A7A-38014E3E3ACA}"/>
    <cellStyle name="Normal 8 2 2 3 2 4 2" xfId="4849" xr:uid="{2BDFC11B-6B58-4EDC-86EA-545438CF7C38}"/>
    <cellStyle name="Normal 8 2 2 3 2 4 2 2" xfId="9067" xr:uid="{5165883B-E39A-4719-BAC7-FC98801E86AC}"/>
    <cellStyle name="Normal 8 2 2 3 2 4 3" xfId="6922" xr:uid="{1CAC2B1B-5CED-40D6-9A1F-E4C914BDB548}"/>
    <cellStyle name="Normal 8 2 2 3 2 5" xfId="3033" xr:uid="{54B26B8E-D948-4667-95EB-30990972D2D9}"/>
    <cellStyle name="Normal 8 2 2 3 2 5 2" xfId="5262" xr:uid="{D6375B23-EF31-494F-A66D-556DABDCD49D}"/>
    <cellStyle name="Normal 8 2 2 3 2 5 2 2" xfId="9480" xr:uid="{9715E345-22C2-4A48-B63A-EEF8D3B8C7C9}"/>
    <cellStyle name="Normal 8 2 2 3 2 5 3" xfId="7335" xr:uid="{CC42C466-1DD4-46EA-8FD8-8029A1203EC2}"/>
    <cellStyle name="Normal 8 2 2 3 2 6" xfId="3469" xr:uid="{B810F762-DF67-467C-878E-7677B97E8AB3}"/>
    <cellStyle name="Normal 8 2 2 3 2 6 2" xfId="7748" xr:uid="{DEDC8090-EEF0-4747-BFD1-BDD48D7CDBB1}"/>
    <cellStyle name="Normal 8 2 2 3 2 7" xfId="5683" xr:uid="{13DC3EEE-260B-4AA6-8E1E-A99E319DEF6B}"/>
    <cellStyle name="Normal 8 2 2 3 2 8" xfId="1379" xr:uid="{4E2E5A5F-CAD2-4233-97EB-E292D58BABCB}"/>
    <cellStyle name="Normal 8 2 2 3 3" xfId="960" xr:uid="{00000000-0005-0000-0000-000069030000}"/>
    <cellStyle name="Normal 8 2 2 3 3 2" xfId="4022" xr:uid="{F87A0A18-9852-4E01-92F4-BC4024227002}"/>
    <cellStyle name="Normal 8 2 2 3 3 2 2" xfId="8240" xr:uid="{6CB3DCA3-A0B2-4603-8401-A1FE89971C6C}"/>
    <cellStyle name="Normal 8 2 2 3 3 3" xfId="6095" xr:uid="{AAA7E244-F60B-43BF-85D0-B15495C5BEB9}"/>
    <cellStyle name="Normal 8 2 2 3 3 4" xfId="1793" xr:uid="{25AA5366-816C-4F7C-A55D-D4DC40967D07}"/>
    <cellStyle name="Normal 8 2 2 3 4" xfId="2206" xr:uid="{3E6F7451-8CB1-46D5-BE91-9089A60396E0}"/>
    <cellStyle name="Normal 8 2 2 3 4 2" xfId="4435" xr:uid="{7310A527-F77E-43D3-ACF4-F5F8F8B7C616}"/>
    <cellStyle name="Normal 8 2 2 3 4 2 2" xfId="8653" xr:uid="{81ED7C8A-0495-4EAB-A52C-CD94C86CC797}"/>
    <cellStyle name="Normal 8 2 2 3 4 3" xfId="6508" xr:uid="{F51E1ACE-5D6C-4C32-8375-F0260F894F85}"/>
    <cellStyle name="Normal 8 2 2 3 5" xfId="2619" xr:uid="{17DCCB8E-D104-44F6-9753-593B2945B319}"/>
    <cellStyle name="Normal 8 2 2 3 5 2" xfId="4848" xr:uid="{86AFD9A0-24C6-48FD-B1FC-215296EEE2F4}"/>
    <cellStyle name="Normal 8 2 2 3 5 2 2" xfId="9066" xr:uid="{AD2DF6B0-914D-4671-9FE4-A6666F5005DC}"/>
    <cellStyle name="Normal 8 2 2 3 5 3" xfId="6921" xr:uid="{685B35DB-4C98-4774-8A24-810D1BD0DBA1}"/>
    <cellStyle name="Normal 8 2 2 3 6" xfId="3032" xr:uid="{E1A70471-58DB-4D52-8127-BE51E22DDCB8}"/>
    <cellStyle name="Normal 8 2 2 3 6 2" xfId="5261" xr:uid="{873699A5-B8E1-4A27-8656-F648C7A99F38}"/>
    <cellStyle name="Normal 8 2 2 3 6 2 2" xfId="9479" xr:uid="{0FADC871-5BC2-4C97-B24F-AF27555FE235}"/>
    <cellStyle name="Normal 8 2 2 3 6 3" xfId="7334" xr:uid="{C0BA40F8-C706-4F81-B4CD-10F316230190}"/>
    <cellStyle name="Normal 8 2 2 3 7" xfId="3468" xr:uid="{891B54B9-496A-4185-8B07-D2E6A49B122C}"/>
    <cellStyle name="Normal 8 2 2 3 7 2" xfId="7747" xr:uid="{467EA0F0-1CF3-48C1-B876-71EA04D948BC}"/>
    <cellStyle name="Normal 8 2 2 3 8" xfId="5682" xr:uid="{F65AF73E-5F75-4DAB-BB65-155150618384}"/>
    <cellStyle name="Normal 8 2 2 3 9" xfId="1378" xr:uid="{3AA13A4D-9E0A-4F72-A60E-8292536A939B}"/>
    <cellStyle name="Normal 8 2 2 4" xfId="490" xr:uid="{00000000-0005-0000-0000-00006A030000}"/>
    <cellStyle name="Normal 8 2 2 4 2" xfId="962" xr:uid="{00000000-0005-0000-0000-00006B030000}"/>
    <cellStyle name="Normal 8 2 2 4 2 2" xfId="4024" xr:uid="{42562C0D-0878-4063-AE6D-EA5BEAA6216D}"/>
    <cellStyle name="Normal 8 2 2 4 2 2 2" xfId="8242" xr:uid="{FBD65649-E7AF-4843-B84E-031BA54AD951}"/>
    <cellStyle name="Normal 8 2 2 4 2 3" xfId="6097" xr:uid="{30A3F5B7-D466-485B-88F9-D22F0A10A813}"/>
    <cellStyle name="Normal 8 2 2 4 2 4" xfId="1795" xr:uid="{E44C9376-4349-45D4-B9CE-95D36264D400}"/>
    <cellStyle name="Normal 8 2 2 4 3" xfId="2208" xr:uid="{46289694-F209-4769-BAEC-A25B9DCDF6F0}"/>
    <cellStyle name="Normal 8 2 2 4 3 2" xfId="4437" xr:uid="{7D33BB54-21D2-42DF-B7BD-891F398DA553}"/>
    <cellStyle name="Normal 8 2 2 4 3 2 2" xfId="8655" xr:uid="{0B87BA99-E91D-45CC-A4F1-AED0D5725E8B}"/>
    <cellStyle name="Normal 8 2 2 4 3 3" xfId="6510" xr:uid="{2AD4E9C1-92E8-4CFC-AE8A-5CF30136EE86}"/>
    <cellStyle name="Normal 8 2 2 4 4" xfId="2621" xr:uid="{81EA5D11-5218-4F19-B019-A7E47162E834}"/>
    <cellStyle name="Normal 8 2 2 4 4 2" xfId="4850" xr:uid="{7713C53C-D1AA-4DBD-8552-0939BE4ECA1F}"/>
    <cellStyle name="Normal 8 2 2 4 4 2 2" xfId="9068" xr:uid="{3577E68D-8410-4119-BF7D-022590BF6083}"/>
    <cellStyle name="Normal 8 2 2 4 4 3" xfId="6923" xr:uid="{CF994435-FD2B-4946-8BFF-A74855CC8B97}"/>
    <cellStyle name="Normal 8 2 2 4 5" xfId="3034" xr:uid="{FA827AA1-CFE4-4226-B114-05BCFFDFDB92}"/>
    <cellStyle name="Normal 8 2 2 4 5 2" xfId="5263" xr:uid="{941428E6-38C2-4311-B58E-6616A42E0356}"/>
    <cellStyle name="Normal 8 2 2 4 5 2 2" xfId="9481" xr:uid="{35FBC452-BA3F-4196-BF6A-32396C5C689E}"/>
    <cellStyle name="Normal 8 2 2 4 5 3" xfId="7336" xr:uid="{A934A1AF-61A5-469A-8934-210164128674}"/>
    <cellStyle name="Normal 8 2 2 4 6" xfId="3470" xr:uid="{7E94B179-9C90-4B8B-BD18-482888CC9F83}"/>
    <cellStyle name="Normal 8 2 2 4 6 2" xfId="7749" xr:uid="{1EE9C4E5-47B9-42FF-99D2-80DEBAE3123F}"/>
    <cellStyle name="Normal 8 2 2 4 7" xfId="5684" xr:uid="{5863391C-39D6-4D09-A49F-932A82215F65}"/>
    <cellStyle name="Normal 8 2 2 4 8" xfId="1380" xr:uid="{E8F6D45C-9024-4AAB-8F46-F5A2E9007159}"/>
    <cellStyle name="Normal 8 2 2 5" xfId="955" xr:uid="{00000000-0005-0000-0000-00006C030000}"/>
    <cellStyle name="Normal 8 2 2 5 2" xfId="4017" xr:uid="{E92B0029-30D3-473E-9C3E-41E430F5CA31}"/>
    <cellStyle name="Normal 8 2 2 5 2 2" xfId="8235" xr:uid="{B6C527E5-7604-42CD-90D1-3B3C10A3C139}"/>
    <cellStyle name="Normal 8 2 2 5 3" xfId="6090" xr:uid="{CEB205D8-3198-4B92-8971-28F2A5FC5537}"/>
    <cellStyle name="Normal 8 2 2 5 4" xfId="1788" xr:uid="{6630514C-3AE2-4B17-B4BF-5EA26DE146FE}"/>
    <cellStyle name="Normal 8 2 2 6" xfId="2201" xr:uid="{FE37EA56-CF0E-4F2A-8A4A-5206438D2375}"/>
    <cellStyle name="Normal 8 2 2 6 2" xfId="4430" xr:uid="{D5A5EB19-F546-4A20-9FEA-B5B9372659E8}"/>
    <cellStyle name="Normal 8 2 2 6 2 2" xfId="8648" xr:uid="{FF7AFBB5-8A41-45FD-AB5C-6ADB6AA13B59}"/>
    <cellStyle name="Normal 8 2 2 6 3" xfId="6503" xr:uid="{0A3B3881-DD5B-426A-9A42-EAE19D46141B}"/>
    <cellStyle name="Normal 8 2 2 7" xfId="2614" xr:uid="{1CA9D7A7-6178-42F0-8C58-A7B94228DD9F}"/>
    <cellStyle name="Normal 8 2 2 7 2" xfId="4843" xr:uid="{C343ADAA-1467-4856-A002-B2803D1B0A68}"/>
    <cellStyle name="Normal 8 2 2 7 2 2" xfId="9061" xr:uid="{028A2359-C0F3-47BC-B977-C520F5D55E85}"/>
    <cellStyle name="Normal 8 2 2 7 3" xfId="6916" xr:uid="{470CCFB5-AC0C-463A-A8F7-0DBACFCC8477}"/>
    <cellStyle name="Normal 8 2 2 8" xfId="3027" xr:uid="{A9CB5692-F7BF-4972-9DFA-6F42D5497AB7}"/>
    <cellStyle name="Normal 8 2 2 8 2" xfId="5256" xr:uid="{F43D69E1-041C-4BC8-9DD0-EF6A5C7E8958}"/>
    <cellStyle name="Normal 8 2 2 8 2 2" xfId="9474" xr:uid="{8E804BC4-D1BB-46FB-B2A3-41227F8F13C5}"/>
    <cellStyle name="Normal 8 2 2 8 3" xfId="7329" xr:uid="{DBCDD284-7F0A-4B15-8B53-43447F0479D8}"/>
    <cellStyle name="Normal 8 2 2 9" xfId="3463" xr:uid="{D6668FAB-78AE-496C-927A-CFFD967A69C3}"/>
    <cellStyle name="Normal 8 2 2 9 2" xfId="7742" xr:uid="{F59CBA7B-DB82-4F9A-934B-2BCB2264AD72}"/>
    <cellStyle name="Normal 8 2 3" xfId="491" xr:uid="{00000000-0005-0000-0000-00006D030000}"/>
    <cellStyle name="Normal 8 2 3 10" xfId="1381" xr:uid="{80823D4F-0C43-40CC-A57D-69EE927165CF}"/>
    <cellStyle name="Normal 8 2 3 2" xfId="492" xr:uid="{00000000-0005-0000-0000-00006E030000}"/>
    <cellStyle name="Normal 8 2 3 2 2" xfId="493" xr:uid="{00000000-0005-0000-0000-00006F030000}"/>
    <cellStyle name="Normal 8 2 3 2 2 2" xfId="965" xr:uid="{00000000-0005-0000-0000-000070030000}"/>
    <cellStyle name="Normal 8 2 3 2 2 2 2" xfId="4027" xr:uid="{9ED60CEE-BB18-4847-9A0B-4BF41C5DE83F}"/>
    <cellStyle name="Normal 8 2 3 2 2 2 2 2" xfId="8245" xr:uid="{7289E46B-8659-45C8-970C-B445CE4EE431}"/>
    <cellStyle name="Normal 8 2 3 2 2 2 3" xfId="6100" xr:uid="{EE81351D-5B1C-43AF-B640-1F981E826622}"/>
    <cellStyle name="Normal 8 2 3 2 2 2 4" xfId="1798" xr:uid="{B01B511C-AA7B-4E6C-A0F3-F9ECFEB58C06}"/>
    <cellStyle name="Normal 8 2 3 2 2 3" xfId="2211" xr:uid="{126AE6E6-3347-4DC6-8DDF-C3C43D7ED48F}"/>
    <cellStyle name="Normal 8 2 3 2 2 3 2" xfId="4440" xr:uid="{59954335-B45F-46A5-9D6F-6ED59F3A550F}"/>
    <cellStyle name="Normal 8 2 3 2 2 3 2 2" xfId="8658" xr:uid="{84BD8598-704E-473C-BFA1-2F1958C75527}"/>
    <cellStyle name="Normal 8 2 3 2 2 3 3" xfId="6513" xr:uid="{D1046B1E-F951-4FA2-9EC0-60109126B540}"/>
    <cellStyle name="Normal 8 2 3 2 2 4" xfId="2624" xr:uid="{AF9963A4-958C-4A91-AC75-B5041D8C2FD8}"/>
    <cellStyle name="Normal 8 2 3 2 2 4 2" xfId="4853" xr:uid="{291CD9EE-D8B4-4278-B62E-A6E034A3720B}"/>
    <cellStyle name="Normal 8 2 3 2 2 4 2 2" xfId="9071" xr:uid="{8EE0B6CE-178C-418A-8E48-1D4D1BD6C784}"/>
    <cellStyle name="Normal 8 2 3 2 2 4 3" xfId="6926" xr:uid="{8B83CB89-28CD-444D-8953-24FB24E634E2}"/>
    <cellStyle name="Normal 8 2 3 2 2 5" xfId="3037" xr:uid="{4C4E0BAC-2BE2-4B90-9BA1-7CB85758F4D8}"/>
    <cellStyle name="Normal 8 2 3 2 2 5 2" xfId="5266" xr:uid="{D0B843CD-B348-4637-AED9-DAC154855F8E}"/>
    <cellStyle name="Normal 8 2 3 2 2 5 2 2" xfId="9484" xr:uid="{FBBA7AB6-AE92-4783-A3B9-DD7135E798FA}"/>
    <cellStyle name="Normal 8 2 3 2 2 5 3" xfId="7339" xr:uid="{0A543043-BAF7-4C01-A582-42225B51BE0F}"/>
    <cellStyle name="Normal 8 2 3 2 2 6" xfId="3473" xr:uid="{5D3EB9E5-D30E-45C9-83BC-F77F3AE7583A}"/>
    <cellStyle name="Normal 8 2 3 2 2 6 2" xfId="7752" xr:uid="{5C478445-CDC8-43E8-BAA4-0A18251C4AA9}"/>
    <cellStyle name="Normal 8 2 3 2 2 7" xfId="5687" xr:uid="{0DE51005-B679-4ADC-931D-54AD1459E19E}"/>
    <cellStyle name="Normal 8 2 3 2 2 8" xfId="1383" xr:uid="{3B0772C7-768F-40BC-A66E-2054F5DDF99E}"/>
    <cellStyle name="Normal 8 2 3 2 3" xfId="964" xr:uid="{00000000-0005-0000-0000-000071030000}"/>
    <cellStyle name="Normal 8 2 3 2 3 2" xfId="4026" xr:uid="{F8CD2DF3-581F-471D-BFA3-D58D901A8014}"/>
    <cellStyle name="Normal 8 2 3 2 3 2 2" xfId="8244" xr:uid="{D98D2B0F-73BA-4807-91E3-5D7063362D05}"/>
    <cellStyle name="Normal 8 2 3 2 3 3" xfId="6099" xr:uid="{EC981AB7-0E49-4C1C-A961-48C0CB2BC8C7}"/>
    <cellStyle name="Normal 8 2 3 2 3 4" xfId="1797" xr:uid="{B5AB97A2-F9A0-4991-B04B-DF52E07537DF}"/>
    <cellStyle name="Normal 8 2 3 2 4" xfId="2210" xr:uid="{59097EEB-A557-4D96-AF29-DDA4D7B51077}"/>
    <cellStyle name="Normal 8 2 3 2 4 2" xfId="4439" xr:uid="{53A40A20-B0A5-4333-8C36-393A77484087}"/>
    <cellStyle name="Normal 8 2 3 2 4 2 2" xfId="8657" xr:uid="{E70F93E2-82F4-4FBC-A996-B0D4CB144B50}"/>
    <cellStyle name="Normal 8 2 3 2 4 3" xfId="6512" xr:uid="{708C1E8E-1DC2-4427-9F29-171874C24D02}"/>
    <cellStyle name="Normal 8 2 3 2 5" xfId="2623" xr:uid="{A8E06D5A-2713-4E7E-A8E9-31BF748FEA64}"/>
    <cellStyle name="Normal 8 2 3 2 5 2" xfId="4852" xr:uid="{4E875ADB-7DFB-40CD-A4E7-34CCC6B147AA}"/>
    <cellStyle name="Normal 8 2 3 2 5 2 2" xfId="9070" xr:uid="{A92BA0E5-9ACF-46CE-B1E1-F9BF72429EBB}"/>
    <cellStyle name="Normal 8 2 3 2 5 3" xfId="6925" xr:uid="{DB7F5593-434C-488B-8373-5F4DFCF5FD9F}"/>
    <cellStyle name="Normal 8 2 3 2 6" xfId="3036" xr:uid="{8A01F7FC-7888-45C5-9442-73382B3AF285}"/>
    <cellStyle name="Normal 8 2 3 2 6 2" xfId="5265" xr:uid="{69600F58-E596-4EA5-8495-DABC5E20D85C}"/>
    <cellStyle name="Normal 8 2 3 2 6 2 2" xfId="9483" xr:uid="{D5A518C7-1A48-4481-98B0-D0E0A038F788}"/>
    <cellStyle name="Normal 8 2 3 2 6 3" xfId="7338" xr:uid="{BE588D35-C98F-4E19-90EF-EC4A347EA09F}"/>
    <cellStyle name="Normal 8 2 3 2 7" xfId="3472" xr:uid="{52EF05C0-1F82-4E27-980F-D8D933634A67}"/>
    <cellStyle name="Normal 8 2 3 2 7 2" xfId="7751" xr:uid="{3E0FC7B8-491F-4428-A5C9-A759BAB56202}"/>
    <cellStyle name="Normal 8 2 3 2 8" xfId="5686" xr:uid="{3CD0516B-8BB2-4D7A-AB5A-101F41137895}"/>
    <cellStyle name="Normal 8 2 3 2 9" xfId="1382" xr:uid="{F1133FF4-098C-44F1-B55D-76E68E187E48}"/>
    <cellStyle name="Normal 8 2 3 3" xfId="494" xr:uid="{00000000-0005-0000-0000-000072030000}"/>
    <cellStyle name="Normal 8 2 3 3 2" xfId="966" xr:uid="{00000000-0005-0000-0000-000073030000}"/>
    <cellStyle name="Normal 8 2 3 3 2 2" xfId="4028" xr:uid="{B3E071DC-8C21-43FF-8FA2-07A5D9AE822D}"/>
    <cellStyle name="Normal 8 2 3 3 2 2 2" xfId="8246" xr:uid="{20C05EB7-64E8-47A0-BEC8-4654E3A33ECB}"/>
    <cellStyle name="Normal 8 2 3 3 2 3" xfId="6101" xr:uid="{4C19AF02-03B7-48B4-88A3-C6DB096383F6}"/>
    <cellStyle name="Normal 8 2 3 3 2 4" xfId="1799" xr:uid="{BCC8463D-6C04-4697-A39C-119348821FE5}"/>
    <cellStyle name="Normal 8 2 3 3 3" xfId="2212" xr:uid="{DB8369DC-57F1-4E20-B26A-68D80AA96B16}"/>
    <cellStyle name="Normal 8 2 3 3 3 2" xfId="4441" xr:uid="{B764E33D-CDF9-4810-805B-D91F193EE2A1}"/>
    <cellStyle name="Normal 8 2 3 3 3 2 2" xfId="8659" xr:uid="{22C8938B-9B32-4216-8B4C-53E951F9BE5A}"/>
    <cellStyle name="Normal 8 2 3 3 3 3" xfId="6514" xr:uid="{2E8C40DD-6FE4-4D46-B702-9854A0A3E7E4}"/>
    <cellStyle name="Normal 8 2 3 3 4" xfId="2625" xr:uid="{F5B53240-CC50-422F-AC16-20EC0290C3C6}"/>
    <cellStyle name="Normal 8 2 3 3 4 2" xfId="4854" xr:uid="{3306CF4D-CBF9-4C37-83DC-BF02CED37CB1}"/>
    <cellStyle name="Normal 8 2 3 3 4 2 2" xfId="9072" xr:uid="{BE417E1E-BA2B-41B1-881B-BC88B02DF011}"/>
    <cellStyle name="Normal 8 2 3 3 4 3" xfId="6927" xr:uid="{A33F1078-C260-4F3A-826C-F492CFA12743}"/>
    <cellStyle name="Normal 8 2 3 3 5" xfId="3038" xr:uid="{F714FA8F-43E1-4462-82DD-099A09B42E92}"/>
    <cellStyle name="Normal 8 2 3 3 5 2" xfId="5267" xr:uid="{5726611A-ACC3-4505-BF9F-5ECB6BF5CAC3}"/>
    <cellStyle name="Normal 8 2 3 3 5 2 2" xfId="9485" xr:uid="{1AD9D321-83A1-45F5-9A26-BE9FE4C701FE}"/>
    <cellStyle name="Normal 8 2 3 3 5 3" xfId="7340" xr:uid="{CF1E4633-33FE-4EEC-B0E7-9440528E9EED}"/>
    <cellStyle name="Normal 8 2 3 3 6" xfId="3474" xr:uid="{2EE32938-0B43-4474-B538-DA2DB61005D1}"/>
    <cellStyle name="Normal 8 2 3 3 6 2" xfId="7753" xr:uid="{BF2778EE-02DA-4478-9CC7-22327F12DDFE}"/>
    <cellStyle name="Normal 8 2 3 3 7" xfId="5688" xr:uid="{CB878384-1FF7-455F-8DB1-CB6902BD0378}"/>
    <cellStyle name="Normal 8 2 3 3 8" xfId="1384" xr:uid="{6C02E19F-70CE-440E-B382-A5BF543E1DE3}"/>
    <cellStyle name="Normal 8 2 3 4" xfId="963" xr:uid="{00000000-0005-0000-0000-000074030000}"/>
    <cellStyle name="Normal 8 2 3 4 2" xfId="4025" xr:uid="{59B76FBA-572C-48B5-B984-7DA238859CE7}"/>
    <cellStyle name="Normal 8 2 3 4 2 2" xfId="8243" xr:uid="{8C4F8342-FA1B-4B99-9509-781D2B6813F1}"/>
    <cellStyle name="Normal 8 2 3 4 3" xfId="6098" xr:uid="{81AD5A5F-0057-4CA0-942E-77F02EAEF6AC}"/>
    <cellStyle name="Normal 8 2 3 4 4" xfId="1796" xr:uid="{94D66622-EB44-4195-9911-29502B3223FB}"/>
    <cellStyle name="Normal 8 2 3 5" xfId="2209" xr:uid="{33A65FA0-63B0-4D94-8F79-14D82DB0E2B6}"/>
    <cellStyle name="Normal 8 2 3 5 2" xfId="4438" xr:uid="{D6391FC4-E49B-4C80-BC61-5F0C80DC4672}"/>
    <cellStyle name="Normal 8 2 3 5 2 2" xfId="8656" xr:uid="{0173C0B5-DEC3-40D9-9024-60929E41A4F6}"/>
    <cellStyle name="Normal 8 2 3 5 3" xfId="6511" xr:uid="{92FB7473-F44E-4FFD-9CB9-C1812F520E81}"/>
    <cellStyle name="Normal 8 2 3 6" xfId="2622" xr:uid="{74DF5295-2B63-4ADD-B5BF-0B56BB0A7E99}"/>
    <cellStyle name="Normal 8 2 3 6 2" xfId="4851" xr:uid="{6EEEBE8E-7E63-4FD0-B032-2FC796A7FA29}"/>
    <cellStyle name="Normal 8 2 3 6 2 2" xfId="9069" xr:uid="{8F26404F-6FE5-4ECE-9E82-84D6F65435ED}"/>
    <cellStyle name="Normal 8 2 3 6 3" xfId="6924" xr:uid="{6447AF3B-D9D9-4835-95A0-AE758CF60514}"/>
    <cellStyle name="Normal 8 2 3 7" xfId="3035" xr:uid="{ED9FC108-90AD-4AAD-B903-912BF7C51C6C}"/>
    <cellStyle name="Normal 8 2 3 7 2" xfId="5264" xr:uid="{8547B854-E30F-439B-AF27-AD8A30A1E236}"/>
    <cellStyle name="Normal 8 2 3 7 2 2" xfId="9482" xr:uid="{3DAD8CCF-A4EA-4FF4-9394-5EFBDD140B80}"/>
    <cellStyle name="Normal 8 2 3 7 3" xfId="7337" xr:uid="{CFD634D1-161F-43DC-BC46-86EB2D844638}"/>
    <cellStyle name="Normal 8 2 3 8" xfId="3471" xr:uid="{E89BF914-D2AE-48A9-BE18-515944AFE48A}"/>
    <cellStyle name="Normal 8 2 3 8 2" xfId="7750" xr:uid="{774BF098-7E30-471D-8DEC-9D53318DBA71}"/>
    <cellStyle name="Normal 8 2 3 9" xfId="5685" xr:uid="{E0230F8F-8D53-4BAA-B5AB-30B1C0DC4124}"/>
    <cellStyle name="Normal 8 2 4" xfId="495" xr:uid="{00000000-0005-0000-0000-000075030000}"/>
    <cellStyle name="Normal 8 2 4 2" xfId="496" xr:uid="{00000000-0005-0000-0000-000076030000}"/>
    <cellStyle name="Normal 8 2 4 2 2" xfId="968" xr:uid="{00000000-0005-0000-0000-000077030000}"/>
    <cellStyle name="Normal 8 2 4 2 2 2" xfId="4030" xr:uid="{60F9BDE7-2E49-4E32-9DF7-3090581154A7}"/>
    <cellStyle name="Normal 8 2 4 2 2 2 2" xfId="8248" xr:uid="{87B47250-CEA9-4A57-9449-10F82FB6FA41}"/>
    <cellStyle name="Normal 8 2 4 2 2 3" xfId="6103" xr:uid="{62A92B8D-53A8-4A2C-9934-2756D0BE66C1}"/>
    <cellStyle name="Normal 8 2 4 2 2 4" xfId="1801" xr:uid="{9C689FAC-2EF8-4526-941B-7D99D606F5FE}"/>
    <cellStyle name="Normal 8 2 4 2 3" xfId="2214" xr:uid="{4E4C4D67-B8A6-464B-BA6B-DA052A3B8AE4}"/>
    <cellStyle name="Normal 8 2 4 2 3 2" xfId="4443" xr:uid="{61975722-6E0F-45B4-8408-0B744B15C27F}"/>
    <cellStyle name="Normal 8 2 4 2 3 2 2" xfId="8661" xr:uid="{672DD5ED-A0A6-4273-B875-1EB609F3179E}"/>
    <cellStyle name="Normal 8 2 4 2 3 3" xfId="6516" xr:uid="{F5485B58-45D1-4B98-A4B2-6E7663117CEB}"/>
    <cellStyle name="Normal 8 2 4 2 4" xfId="2627" xr:uid="{4EFD660E-A652-4DB3-8897-0C7553209B31}"/>
    <cellStyle name="Normal 8 2 4 2 4 2" xfId="4856" xr:uid="{5CAE2F89-CB4E-44BD-A096-FDFA43C916AC}"/>
    <cellStyle name="Normal 8 2 4 2 4 2 2" xfId="9074" xr:uid="{03BEA39A-1D17-49FE-B289-B6A7A60B269F}"/>
    <cellStyle name="Normal 8 2 4 2 4 3" xfId="6929" xr:uid="{A53F6D0B-26E9-4E07-800D-9C54FD89CB47}"/>
    <cellStyle name="Normal 8 2 4 2 5" xfId="3040" xr:uid="{696BC510-8E1A-4AFE-8EAF-904CA9BE5B86}"/>
    <cellStyle name="Normal 8 2 4 2 5 2" xfId="5269" xr:uid="{B46BE1B1-743F-4A86-B515-5D04417A30AA}"/>
    <cellStyle name="Normal 8 2 4 2 5 2 2" xfId="9487" xr:uid="{8857FC41-9E71-4D2C-A4BE-920C75ADBB02}"/>
    <cellStyle name="Normal 8 2 4 2 5 3" xfId="7342" xr:uid="{DC799F3F-E5D7-4AC4-820A-10F57F1AE96D}"/>
    <cellStyle name="Normal 8 2 4 2 6" xfId="3476" xr:uid="{948C1359-732D-4B58-AB7D-2BC78A68D982}"/>
    <cellStyle name="Normal 8 2 4 2 6 2" xfId="7755" xr:uid="{2C617AEE-911C-4DFE-A06A-2B5173AC23F4}"/>
    <cellStyle name="Normal 8 2 4 2 7" xfId="5690" xr:uid="{915494BB-032C-47BD-A1AC-2547EA477D04}"/>
    <cellStyle name="Normal 8 2 4 2 8" xfId="1386" xr:uid="{1A747AE0-6B80-4EC5-BFF9-076371DB499A}"/>
    <cellStyle name="Normal 8 2 4 3" xfId="967" xr:uid="{00000000-0005-0000-0000-000078030000}"/>
    <cellStyle name="Normal 8 2 4 3 2" xfId="4029" xr:uid="{EA32A47C-122C-4A92-81CD-DDEEEA623928}"/>
    <cellStyle name="Normal 8 2 4 3 2 2" xfId="8247" xr:uid="{D7550258-9A62-40E2-8CAD-2B8D1AB0B4D3}"/>
    <cellStyle name="Normal 8 2 4 3 3" xfId="6102" xr:uid="{69243D8C-B0FB-4D57-A521-7FD875866C0D}"/>
    <cellStyle name="Normal 8 2 4 3 4" xfId="1800" xr:uid="{3E3744B3-7D39-4C80-A412-360470636A96}"/>
    <cellStyle name="Normal 8 2 4 4" xfId="2213" xr:uid="{9B79F0E5-DB0C-45DD-82EB-A411BFFB7463}"/>
    <cellStyle name="Normal 8 2 4 4 2" xfId="4442" xr:uid="{6D5E9462-0060-41BF-BF6F-62C4F9CCE0C9}"/>
    <cellStyle name="Normal 8 2 4 4 2 2" xfId="8660" xr:uid="{6918B2FB-84E5-46F5-8790-437CD9D49F56}"/>
    <cellStyle name="Normal 8 2 4 4 3" xfId="6515" xr:uid="{C92BC9E5-2D96-41A8-BDA6-8691A37E07A6}"/>
    <cellStyle name="Normal 8 2 4 5" xfId="2626" xr:uid="{0D095F1E-5EE8-4CE5-A503-C2B100D0DB15}"/>
    <cellStyle name="Normal 8 2 4 5 2" xfId="4855" xr:uid="{E087E4F4-9AA5-4B96-B7F0-DAACCF2444C7}"/>
    <cellStyle name="Normal 8 2 4 5 2 2" xfId="9073" xr:uid="{B30DC9CD-8E09-4B9D-8444-78E8BB8FAA78}"/>
    <cellStyle name="Normal 8 2 4 5 3" xfId="6928" xr:uid="{140F2737-0397-4DB1-A557-6D1FDBDD2032}"/>
    <cellStyle name="Normal 8 2 4 6" xfId="3039" xr:uid="{914CA6BF-5F82-4C2D-BB1D-D3791D6412A6}"/>
    <cellStyle name="Normal 8 2 4 6 2" xfId="5268" xr:uid="{51EDAFC1-646B-4A24-B1F6-C5EE5EB1BCE6}"/>
    <cellStyle name="Normal 8 2 4 6 2 2" xfId="9486" xr:uid="{BAB3AC40-8AC8-4B82-95E5-1EEE369E6CA0}"/>
    <cellStyle name="Normal 8 2 4 6 3" xfId="7341" xr:uid="{84CB8823-31B5-421C-ACC0-8DA429ADDA26}"/>
    <cellStyle name="Normal 8 2 4 7" xfId="3475" xr:uid="{2AE7AA00-2E9E-4842-B730-4E344108A48B}"/>
    <cellStyle name="Normal 8 2 4 7 2" xfId="7754" xr:uid="{9F0C33E9-76F5-40A4-92FB-85D1804CFDA1}"/>
    <cellStyle name="Normal 8 2 4 8" xfId="5689" xr:uid="{F52828ED-2915-4582-8C1D-AEE3A93FB6AC}"/>
    <cellStyle name="Normal 8 2 4 9" xfId="1385" xr:uid="{9A772507-FF64-47C3-AC2C-18C03A576669}"/>
    <cellStyle name="Normal 8 2 5" xfId="497" xr:uid="{00000000-0005-0000-0000-000079030000}"/>
    <cellStyle name="Normal 8 2 5 2" xfId="969" xr:uid="{00000000-0005-0000-0000-00007A030000}"/>
    <cellStyle name="Normal 8 2 5 2 2" xfId="4031" xr:uid="{28B8124F-1DA0-46A5-9525-280F3DEDA467}"/>
    <cellStyle name="Normal 8 2 5 2 2 2" xfId="8249" xr:uid="{F57B8B26-D671-4950-A2D3-4BD5B226CB0F}"/>
    <cellStyle name="Normal 8 2 5 2 3" xfId="6104" xr:uid="{5C5F9636-FD1A-4265-BC74-2C995DEE1880}"/>
    <cellStyle name="Normal 8 2 5 2 4" xfId="1802" xr:uid="{452BF692-6E2C-4738-A708-2B90992E51A8}"/>
    <cellStyle name="Normal 8 2 5 3" xfId="2215" xr:uid="{7749F5E8-2CE4-4DE0-840F-407348A10659}"/>
    <cellStyle name="Normal 8 2 5 3 2" xfId="4444" xr:uid="{32E8D256-EE3A-424A-8E2C-F2089A50D1D0}"/>
    <cellStyle name="Normal 8 2 5 3 2 2" xfId="8662" xr:uid="{F0D61888-B318-4F00-96B8-3F2A2A246D1F}"/>
    <cellStyle name="Normal 8 2 5 3 3" xfId="6517" xr:uid="{1A151F8A-3DE0-4364-9677-BCA6EFC2696C}"/>
    <cellStyle name="Normal 8 2 5 4" xfId="2628" xr:uid="{E2A045F2-A2AF-43FA-9AFE-7B265936ED31}"/>
    <cellStyle name="Normal 8 2 5 4 2" xfId="4857" xr:uid="{A8E99A7F-EC29-4C1C-928C-7656459CCB3F}"/>
    <cellStyle name="Normal 8 2 5 4 2 2" xfId="9075" xr:uid="{5F9E9BF4-6434-497E-8144-9E84C225C33C}"/>
    <cellStyle name="Normal 8 2 5 4 3" xfId="6930" xr:uid="{FD822AA0-C021-449C-A5CE-A81EC2B81809}"/>
    <cellStyle name="Normal 8 2 5 5" xfId="3041" xr:uid="{7C60DF44-7571-4F44-8510-9D2C40E6125D}"/>
    <cellStyle name="Normal 8 2 5 5 2" xfId="5270" xr:uid="{1E3121CC-B82B-47DC-8994-F36CF48D4615}"/>
    <cellStyle name="Normal 8 2 5 5 2 2" xfId="9488" xr:uid="{BCB46187-3EE7-419F-8899-4EC5826933F4}"/>
    <cellStyle name="Normal 8 2 5 5 3" xfId="7343" xr:uid="{977D41BE-C24D-4D9A-972B-1803ECB6C5CA}"/>
    <cellStyle name="Normal 8 2 5 6" xfId="3477" xr:uid="{22479DAF-D7C2-43AE-92F7-C042BFD7023A}"/>
    <cellStyle name="Normal 8 2 5 6 2" xfId="7756" xr:uid="{E77496B5-903D-4814-B734-02EBDD125325}"/>
    <cellStyle name="Normal 8 2 5 7" xfId="5691" xr:uid="{3811387B-1CAF-4805-8BB5-74FA995C490F}"/>
    <cellStyle name="Normal 8 2 5 8" xfId="1387" xr:uid="{A72ABDB4-B76B-4B83-A1CA-03714E2DC806}"/>
    <cellStyle name="Normal 8 2 6" xfId="954" xr:uid="{00000000-0005-0000-0000-00007B030000}"/>
    <cellStyle name="Normal 8 2 6 2" xfId="4016" xr:uid="{EB49B70D-E351-4A18-8E74-3ABB694A7FC7}"/>
    <cellStyle name="Normal 8 2 6 2 2" xfId="8234" xr:uid="{E8E63653-ACEA-4793-A802-7983C6324175}"/>
    <cellStyle name="Normal 8 2 6 3" xfId="6089" xr:uid="{5D67310A-C053-424F-BF17-8CEBCD8B89D3}"/>
    <cellStyle name="Normal 8 2 6 4" xfId="1787" xr:uid="{421B47C3-FE2D-4806-B2A8-6F55EE37703D}"/>
    <cellStyle name="Normal 8 2 7" xfId="2200" xr:uid="{242B0E09-8A36-4FAB-B153-A5C98C576EC0}"/>
    <cellStyle name="Normal 8 2 7 2" xfId="4429" xr:uid="{B3962E28-5497-4C37-A813-C300EB0478AA}"/>
    <cellStyle name="Normal 8 2 7 2 2" xfId="8647" xr:uid="{6A1E06AB-FAE3-47D0-A48C-D10E597B45C8}"/>
    <cellStyle name="Normal 8 2 7 3" xfId="6502" xr:uid="{548FC371-74C2-4C86-9F92-871A2E86B1A3}"/>
    <cellStyle name="Normal 8 2 8" xfId="2613" xr:uid="{071296B9-A5F7-441F-B59C-D6B304F64797}"/>
    <cellStyle name="Normal 8 2 8 2" xfId="4842" xr:uid="{63E68927-D523-47EF-81F1-83DD5E0D4C32}"/>
    <cellStyle name="Normal 8 2 8 2 2" xfId="9060" xr:uid="{7286FC45-1743-4C90-9CAD-25BF44A16530}"/>
    <cellStyle name="Normal 8 2 8 3" xfId="6915" xr:uid="{00672D6F-D094-4C48-9163-ED3BE8356302}"/>
    <cellStyle name="Normal 8 2 9" xfId="3026" xr:uid="{89160966-B7D6-44E2-9ED2-AE34B64C713A}"/>
    <cellStyle name="Normal 8 2 9 2" xfId="5255" xr:uid="{86EDB8EE-55C0-41F5-8C74-F227E0D97AE5}"/>
    <cellStyle name="Normal 8 2 9 2 2" xfId="9473" xr:uid="{424B25AB-BABB-44F7-AE32-B3391C21236B}"/>
    <cellStyle name="Normal 8 2 9 3" xfId="7328" xr:uid="{31393CC1-1D34-4BA8-9638-53D7834DB4D2}"/>
    <cellStyle name="Normal 8 3" xfId="498" xr:uid="{00000000-0005-0000-0000-00007C030000}"/>
    <cellStyle name="Normal 8 3 10" xfId="5692" xr:uid="{9338BB5B-C257-4557-8E36-73A723C7268D}"/>
    <cellStyle name="Normal 8 3 11" xfId="1388" xr:uid="{3D229E37-95A9-4057-98D1-79D48ADFD764}"/>
    <cellStyle name="Normal 8 3 2" xfId="499" xr:uid="{00000000-0005-0000-0000-00007D030000}"/>
    <cellStyle name="Normal 8 3 2 10" xfId="1389" xr:uid="{F1A9704C-D52B-4911-AD03-7B49254AF11A}"/>
    <cellStyle name="Normal 8 3 2 2" xfId="500" xr:uid="{00000000-0005-0000-0000-00007E030000}"/>
    <cellStyle name="Normal 8 3 2 2 2" xfId="501" xr:uid="{00000000-0005-0000-0000-00007F030000}"/>
    <cellStyle name="Normal 8 3 2 2 2 2" xfId="973" xr:uid="{00000000-0005-0000-0000-000080030000}"/>
    <cellStyle name="Normal 8 3 2 2 2 2 2" xfId="4035" xr:uid="{D22B1204-B768-42E9-A521-02B7BB708CBC}"/>
    <cellStyle name="Normal 8 3 2 2 2 2 2 2" xfId="8253" xr:uid="{E904A6B9-E88A-4B04-886E-7D84BF557B61}"/>
    <cellStyle name="Normal 8 3 2 2 2 2 3" xfId="6108" xr:uid="{1EC0A9A5-CEB9-4082-87E6-BDE7FB51787C}"/>
    <cellStyle name="Normal 8 3 2 2 2 2 4" xfId="1806" xr:uid="{D9ABA188-1EB7-464D-9055-960D3F9C1EC1}"/>
    <cellStyle name="Normal 8 3 2 2 2 3" xfId="2219" xr:uid="{2262B623-04EC-4A63-BD72-1C29D162CD43}"/>
    <cellStyle name="Normal 8 3 2 2 2 3 2" xfId="4448" xr:uid="{C01E3C74-DF38-4C26-8E25-3774CFC29A7F}"/>
    <cellStyle name="Normal 8 3 2 2 2 3 2 2" xfId="8666" xr:uid="{A0B1F2B4-4C20-4FFF-83E5-311A38E22BA4}"/>
    <cellStyle name="Normal 8 3 2 2 2 3 3" xfId="6521" xr:uid="{890A30F7-6D8C-4883-B811-B3E8F9FA0483}"/>
    <cellStyle name="Normal 8 3 2 2 2 4" xfId="2632" xr:uid="{DFC439F9-F54A-4791-9B49-FCD1A000AB41}"/>
    <cellStyle name="Normal 8 3 2 2 2 4 2" xfId="4861" xr:uid="{32C46103-7521-4B79-B291-B4B1F824B24B}"/>
    <cellStyle name="Normal 8 3 2 2 2 4 2 2" xfId="9079" xr:uid="{D4A2C14B-8EEA-474B-80B0-1B864F6F43A0}"/>
    <cellStyle name="Normal 8 3 2 2 2 4 3" xfId="6934" xr:uid="{40343CFF-0687-4557-A4C3-FD574A3534E8}"/>
    <cellStyle name="Normal 8 3 2 2 2 5" xfId="3045" xr:uid="{9DF71CC4-FC42-44F5-9DDC-7612190F4C47}"/>
    <cellStyle name="Normal 8 3 2 2 2 5 2" xfId="5274" xr:uid="{70156151-A3F6-46E9-8592-A8C2F0B8DA8A}"/>
    <cellStyle name="Normal 8 3 2 2 2 5 2 2" xfId="9492" xr:uid="{9647A3B5-615E-40BD-84B8-3B9583344378}"/>
    <cellStyle name="Normal 8 3 2 2 2 5 3" xfId="7347" xr:uid="{ACEB0913-C3D4-4C3A-8CBD-8D2F45BA8AEE}"/>
    <cellStyle name="Normal 8 3 2 2 2 6" xfId="3481" xr:uid="{AE263A19-3DF4-48C8-9B62-8BF80ECE92D4}"/>
    <cellStyle name="Normal 8 3 2 2 2 6 2" xfId="7760" xr:uid="{D9B1747F-6A5D-4956-BE7E-922F80461F1A}"/>
    <cellStyle name="Normal 8 3 2 2 2 7" xfId="5695" xr:uid="{45ED9533-103C-46BB-9307-BA8A9127337A}"/>
    <cellStyle name="Normal 8 3 2 2 2 8" xfId="1391" xr:uid="{6D35D943-928D-434D-B0A6-F2092F178E30}"/>
    <cellStyle name="Normal 8 3 2 2 3" xfId="972" xr:uid="{00000000-0005-0000-0000-000081030000}"/>
    <cellStyle name="Normal 8 3 2 2 3 2" xfId="4034" xr:uid="{962DF1BD-3633-4C53-BEC4-D5D53B2B3CB2}"/>
    <cellStyle name="Normal 8 3 2 2 3 2 2" xfId="8252" xr:uid="{F3D28B7C-E35A-4EC0-8F5C-E8C64AC425CC}"/>
    <cellStyle name="Normal 8 3 2 2 3 3" xfId="6107" xr:uid="{5444A3D9-12EF-4463-A491-1611B233F5EC}"/>
    <cellStyle name="Normal 8 3 2 2 3 4" xfId="1805" xr:uid="{DD00CA28-D4D1-4D0C-AE52-E85CD7786B1A}"/>
    <cellStyle name="Normal 8 3 2 2 4" xfId="2218" xr:uid="{1D6BFF61-B41E-45F3-A88C-1F4B85CC6A04}"/>
    <cellStyle name="Normal 8 3 2 2 4 2" xfId="4447" xr:uid="{E8DFFE09-3288-4EFC-8138-C1B20CF4AFD8}"/>
    <cellStyle name="Normal 8 3 2 2 4 2 2" xfId="8665" xr:uid="{CD16AEDD-D6FB-4268-B5EC-DC79C4DF0AEF}"/>
    <cellStyle name="Normal 8 3 2 2 4 3" xfId="6520" xr:uid="{C7F1F09A-22DC-4E72-B371-6190BAB9D672}"/>
    <cellStyle name="Normal 8 3 2 2 5" xfId="2631" xr:uid="{C3734915-76BE-4926-A7AB-BD64D4A45113}"/>
    <cellStyle name="Normal 8 3 2 2 5 2" xfId="4860" xr:uid="{7EE1D35E-5F2D-4594-B967-C00DD64B5BCC}"/>
    <cellStyle name="Normal 8 3 2 2 5 2 2" xfId="9078" xr:uid="{6618C44F-9707-4AFB-9F26-777744F443EA}"/>
    <cellStyle name="Normal 8 3 2 2 5 3" xfId="6933" xr:uid="{A1E742D3-0164-44E9-8C97-1AFA92135B48}"/>
    <cellStyle name="Normal 8 3 2 2 6" xfId="3044" xr:uid="{DC331E8B-13F0-479C-9527-A923808877AC}"/>
    <cellStyle name="Normal 8 3 2 2 6 2" xfId="5273" xr:uid="{B09F0763-9148-42DA-8C86-B3D4CEA498BE}"/>
    <cellStyle name="Normal 8 3 2 2 6 2 2" xfId="9491" xr:uid="{512E2600-33E5-4A74-918B-D5A36A422B5E}"/>
    <cellStyle name="Normal 8 3 2 2 6 3" xfId="7346" xr:uid="{3FD36D48-571A-4ED4-A760-DD5D98733CEE}"/>
    <cellStyle name="Normal 8 3 2 2 7" xfId="3480" xr:uid="{664C68BF-8081-4C72-ABF0-7C36F3FA1AF2}"/>
    <cellStyle name="Normal 8 3 2 2 7 2" xfId="7759" xr:uid="{1F0B46F7-F67A-46AD-A9F4-EA1568123B88}"/>
    <cellStyle name="Normal 8 3 2 2 8" xfId="5694" xr:uid="{E468A14C-3E8F-434C-8318-35A2C73E8B26}"/>
    <cellStyle name="Normal 8 3 2 2 9" xfId="1390" xr:uid="{4710D574-B606-4E3C-A76F-CC184F6C3728}"/>
    <cellStyle name="Normal 8 3 2 3" xfId="502" xr:uid="{00000000-0005-0000-0000-000082030000}"/>
    <cellStyle name="Normal 8 3 2 3 2" xfId="974" xr:uid="{00000000-0005-0000-0000-000083030000}"/>
    <cellStyle name="Normal 8 3 2 3 2 2" xfId="4036" xr:uid="{9DC76BC8-2F0E-4A20-BB44-8857D4D31FA4}"/>
    <cellStyle name="Normal 8 3 2 3 2 2 2" xfId="8254" xr:uid="{4F948447-4FE8-4619-B82B-C3C83C36586C}"/>
    <cellStyle name="Normal 8 3 2 3 2 3" xfId="6109" xr:uid="{DB529802-44C4-4A59-90B4-5FC7C8B175E4}"/>
    <cellStyle name="Normal 8 3 2 3 2 4" xfId="1807" xr:uid="{797B6C14-227E-4C21-8D7E-52C810246049}"/>
    <cellStyle name="Normal 8 3 2 3 3" xfId="2220" xr:uid="{67B95B96-2583-4172-AE52-A588F951351C}"/>
    <cellStyle name="Normal 8 3 2 3 3 2" xfId="4449" xr:uid="{D9BAAD5E-EDB1-4AA9-9803-57333232CCC8}"/>
    <cellStyle name="Normal 8 3 2 3 3 2 2" xfId="8667" xr:uid="{9EC338FB-4717-4EF9-89D4-0E8D31F5C5A1}"/>
    <cellStyle name="Normal 8 3 2 3 3 3" xfId="6522" xr:uid="{CCDCC6E2-B905-40A2-B85F-B2A6969EB219}"/>
    <cellStyle name="Normal 8 3 2 3 4" xfId="2633" xr:uid="{FAB6B53C-89C3-4D3A-9D2B-7159C39AB46C}"/>
    <cellStyle name="Normal 8 3 2 3 4 2" xfId="4862" xr:uid="{BFCE7793-46F2-425B-87A5-382ABF4855AE}"/>
    <cellStyle name="Normal 8 3 2 3 4 2 2" xfId="9080" xr:uid="{8C302A21-E38A-4BC7-8AB5-C8C5F94EC726}"/>
    <cellStyle name="Normal 8 3 2 3 4 3" xfId="6935" xr:uid="{4B781269-854D-42C8-BA72-F23C9159F050}"/>
    <cellStyle name="Normal 8 3 2 3 5" xfId="3046" xr:uid="{5E5C7530-4752-451A-BACE-FD88E7B6975D}"/>
    <cellStyle name="Normal 8 3 2 3 5 2" xfId="5275" xr:uid="{EEC5ADD3-5BAE-435E-9C44-933241204EFD}"/>
    <cellStyle name="Normal 8 3 2 3 5 2 2" xfId="9493" xr:uid="{B51389A8-06C0-4DEE-B831-E631B1D00EF7}"/>
    <cellStyle name="Normal 8 3 2 3 5 3" xfId="7348" xr:uid="{23FD4B2D-3FD3-4C6C-9EB4-C4DDCC9AAF0C}"/>
    <cellStyle name="Normal 8 3 2 3 6" xfId="3482" xr:uid="{67766EBA-3FF2-44E9-98DD-3F1FA4459BD8}"/>
    <cellStyle name="Normal 8 3 2 3 6 2" xfId="7761" xr:uid="{0DB2563C-D39C-4209-98C7-1182FECFE88E}"/>
    <cellStyle name="Normal 8 3 2 3 7" xfId="5696" xr:uid="{03002FB6-9646-4748-B12E-899684F42D23}"/>
    <cellStyle name="Normal 8 3 2 3 8" xfId="1392" xr:uid="{43D0F140-B34D-451B-8CC4-AA9AB01740F7}"/>
    <cellStyle name="Normal 8 3 2 4" xfId="971" xr:uid="{00000000-0005-0000-0000-000084030000}"/>
    <cellStyle name="Normal 8 3 2 4 2" xfId="4033" xr:uid="{190A00FB-F838-44F4-978F-0E6431FAA75B}"/>
    <cellStyle name="Normal 8 3 2 4 2 2" xfId="8251" xr:uid="{0EBD7CCC-8641-467C-B856-4F5702799693}"/>
    <cellStyle name="Normal 8 3 2 4 3" xfId="6106" xr:uid="{E7768AFF-80E9-415F-90EA-ACBE4DF3D98A}"/>
    <cellStyle name="Normal 8 3 2 4 4" xfId="1804" xr:uid="{863B86A5-27A0-449B-BD8F-00D9563B73A6}"/>
    <cellStyle name="Normal 8 3 2 5" xfId="2217" xr:uid="{AB4AAF9D-CAC0-426E-9638-61E7DC6A0E3F}"/>
    <cellStyle name="Normal 8 3 2 5 2" xfId="4446" xr:uid="{026FCD19-8A3E-4502-9EC6-702357687832}"/>
    <cellStyle name="Normal 8 3 2 5 2 2" xfId="8664" xr:uid="{1ADB593B-942E-487B-A89B-E1A91006C959}"/>
    <cellStyle name="Normal 8 3 2 5 3" xfId="6519" xr:uid="{637B9435-329C-4FB2-9052-31A35313DF20}"/>
    <cellStyle name="Normal 8 3 2 6" xfId="2630" xr:uid="{25016BED-AA92-40ED-8BC5-B7FBFE10BBD4}"/>
    <cellStyle name="Normal 8 3 2 6 2" xfId="4859" xr:uid="{1505B613-0346-4787-B62A-1AA8EAA14AF4}"/>
    <cellStyle name="Normal 8 3 2 6 2 2" xfId="9077" xr:uid="{ABC414EC-3F2E-4EBC-88F7-FB86D0E7A35B}"/>
    <cellStyle name="Normal 8 3 2 6 3" xfId="6932" xr:uid="{311F9C70-A581-4625-8A3C-2D08FA3D489E}"/>
    <cellStyle name="Normal 8 3 2 7" xfId="3043" xr:uid="{7A716FEB-28BB-4EE4-88F7-E9714C0F506C}"/>
    <cellStyle name="Normal 8 3 2 7 2" xfId="5272" xr:uid="{72F18D51-A9EA-4A0B-91DB-A7DB944C3B76}"/>
    <cellStyle name="Normal 8 3 2 7 2 2" xfId="9490" xr:uid="{DF84CF51-1FD3-43DA-AFFF-1C2DE5847ACE}"/>
    <cellStyle name="Normal 8 3 2 7 3" xfId="7345" xr:uid="{9A5B7834-4AF5-42BC-B370-644A5D018BA6}"/>
    <cellStyle name="Normal 8 3 2 8" xfId="3479" xr:uid="{0BED63E3-B8B8-4978-B764-2A793D8BB3B1}"/>
    <cellStyle name="Normal 8 3 2 8 2" xfId="7758" xr:uid="{C32FF81D-34BF-4217-9FC2-577CA7A988ED}"/>
    <cellStyle name="Normal 8 3 2 9" xfId="5693" xr:uid="{06DBA622-E611-428C-8312-EF7724DCDF48}"/>
    <cellStyle name="Normal 8 3 3" xfId="503" xr:uid="{00000000-0005-0000-0000-000085030000}"/>
    <cellStyle name="Normal 8 3 3 2" xfId="504" xr:uid="{00000000-0005-0000-0000-000086030000}"/>
    <cellStyle name="Normal 8 3 3 2 2" xfId="976" xr:uid="{00000000-0005-0000-0000-000087030000}"/>
    <cellStyle name="Normal 8 3 3 2 2 2" xfId="4038" xr:uid="{E9A39111-A961-488C-BCB8-8EA107FAAF8B}"/>
    <cellStyle name="Normal 8 3 3 2 2 2 2" xfId="8256" xr:uid="{E639F95D-147B-4F13-9C4B-AC1EFD2D5284}"/>
    <cellStyle name="Normal 8 3 3 2 2 3" xfId="6111" xr:uid="{C723B5EF-8BCD-4EEF-BD25-1D9ECD708BD3}"/>
    <cellStyle name="Normal 8 3 3 2 2 4" xfId="1809" xr:uid="{F943F90C-98EB-40D6-938D-055D11C61A62}"/>
    <cellStyle name="Normal 8 3 3 2 3" xfId="2222" xr:uid="{10FD5236-AAFD-4B7A-A82F-D350398F7948}"/>
    <cellStyle name="Normal 8 3 3 2 3 2" xfId="4451" xr:uid="{78748CE4-CEB2-424D-AFDE-1261FFE368D9}"/>
    <cellStyle name="Normal 8 3 3 2 3 2 2" xfId="8669" xr:uid="{79C1126A-55FF-44D2-835D-ACCE80201608}"/>
    <cellStyle name="Normal 8 3 3 2 3 3" xfId="6524" xr:uid="{8387DCF2-71C7-44DB-A0B8-99932C541C01}"/>
    <cellStyle name="Normal 8 3 3 2 4" xfId="2635" xr:uid="{BED7DFD5-9E01-4235-8505-FCD848EEFA09}"/>
    <cellStyle name="Normal 8 3 3 2 4 2" xfId="4864" xr:uid="{3EDABE2A-F7B3-4AF5-BC38-8C8D506CCC43}"/>
    <cellStyle name="Normal 8 3 3 2 4 2 2" xfId="9082" xr:uid="{72B03318-35EB-41B9-8C0B-3F748654972D}"/>
    <cellStyle name="Normal 8 3 3 2 4 3" xfId="6937" xr:uid="{6B3ED317-76B7-44A5-A352-C22727468302}"/>
    <cellStyle name="Normal 8 3 3 2 5" xfId="3048" xr:uid="{6BE312E9-B4A1-4D7F-806C-427C4A8067DE}"/>
    <cellStyle name="Normal 8 3 3 2 5 2" xfId="5277" xr:uid="{FC18F0F1-1729-4A46-8B14-6681FA759B99}"/>
    <cellStyle name="Normal 8 3 3 2 5 2 2" xfId="9495" xr:uid="{2A7F19CF-1C3F-4A82-99BC-6E7664231FD9}"/>
    <cellStyle name="Normal 8 3 3 2 5 3" xfId="7350" xr:uid="{8A082D6A-2CC1-4BD2-A3E8-D69BE08F480E}"/>
    <cellStyle name="Normal 8 3 3 2 6" xfId="3484" xr:uid="{13931505-ACD5-45BA-8C5E-2C2A4B5C1EE5}"/>
    <cellStyle name="Normal 8 3 3 2 6 2" xfId="7763" xr:uid="{0AC45001-1BFF-4C0E-9276-CB8A705C157C}"/>
    <cellStyle name="Normal 8 3 3 2 7" xfId="5698" xr:uid="{EAA4E49D-3B08-424D-AF3A-31A55D0511E5}"/>
    <cellStyle name="Normal 8 3 3 2 8" xfId="1394" xr:uid="{85B49FBE-2C53-4F25-9EAF-F4E1196F08C5}"/>
    <cellStyle name="Normal 8 3 3 3" xfId="975" xr:uid="{00000000-0005-0000-0000-000088030000}"/>
    <cellStyle name="Normal 8 3 3 3 2" xfId="4037" xr:uid="{3AA35752-C36C-4D96-BB52-BC7950FA0041}"/>
    <cellStyle name="Normal 8 3 3 3 2 2" xfId="8255" xr:uid="{D6EFC434-3D81-4EE1-9F08-202687E0C62E}"/>
    <cellStyle name="Normal 8 3 3 3 3" xfId="6110" xr:uid="{F0ABC050-2BE5-4C3D-9C29-07A9C4202269}"/>
    <cellStyle name="Normal 8 3 3 3 4" xfId="1808" xr:uid="{C0D8321E-1D05-4633-B27D-EC9BD4701C82}"/>
    <cellStyle name="Normal 8 3 3 4" xfId="2221" xr:uid="{B6A2876A-6893-4A45-9AED-05650742CABD}"/>
    <cellStyle name="Normal 8 3 3 4 2" xfId="4450" xr:uid="{BA53D8FB-B4E9-4941-8624-715D4CC1A342}"/>
    <cellStyle name="Normal 8 3 3 4 2 2" xfId="8668" xr:uid="{2B6BFB59-C9B5-4E79-9BB1-313AF5D3540C}"/>
    <cellStyle name="Normal 8 3 3 4 3" xfId="6523" xr:uid="{9A1F6A1A-D30C-4670-9CC8-FCED77BF4A45}"/>
    <cellStyle name="Normal 8 3 3 5" xfId="2634" xr:uid="{32F84E83-FBA9-4CEF-8703-E18337B99D90}"/>
    <cellStyle name="Normal 8 3 3 5 2" xfId="4863" xr:uid="{8FC558F2-ABBA-4193-B505-B5D2F7A9126A}"/>
    <cellStyle name="Normal 8 3 3 5 2 2" xfId="9081" xr:uid="{711A8CF2-1F86-4478-BEF0-8EAD50CE6026}"/>
    <cellStyle name="Normal 8 3 3 5 3" xfId="6936" xr:uid="{AC2DE44E-316E-4293-910E-A5FD081EDA72}"/>
    <cellStyle name="Normal 8 3 3 6" xfId="3047" xr:uid="{1387BDCB-756A-4AB8-8EF5-0F0EA12DBF92}"/>
    <cellStyle name="Normal 8 3 3 6 2" xfId="5276" xr:uid="{C533A8B6-26D4-45D9-9D74-88598075827B}"/>
    <cellStyle name="Normal 8 3 3 6 2 2" xfId="9494" xr:uid="{C26B70DC-74E1-4BD1-9945-055BD476E319}"/>
    <cellStyle name="Normal 8 3 3 6 3" xfId="7349" xr:uid="{76044595-F924-4334-94A3-A7E23D731D29}"/>
    <cellStyle name="Normal 8 3 3 7" xfId="3483" xr:uid="{F7799481-1574-43DA-BDD7-0E0B985DA96D}"/>
    <cellStyle name="Normal 8 3 3 7 2" xfId="7762" xr:uid="{22F9B17C-B0EA-4AE8-A1BE-231BC11CBEBB}"/>
    <cellStyle name="Normal 8 3 3 8" xfId="5697" xr:uid="{9234837D-4D56-4F48-BF0F-47FCEAC2F14E}"/>
    <cellStyle name="Normal 8 3 3 9" xfId="1393" xr:uid="{55350904-26BA-47DF-953F-322EBAF08635}"/>
    <cellStyle name="Normal 8 3 4" xfId="505" xr:uid="{00000000-0005-0000-0000-000089030000}"/>
    <cellStyle name="Normal 8 3 4 2" xfId="977" xr:uid="{00000000-0005-0000-0000-00008A030000}"/>
    <cellStyle name="Normal 8 3 4 2 2" xfId="4039" xr:uid="{27E8F7DF-347A-45CB-B2C2-8763365B25B0}"/>
    <cellStyle name="Normal 8 3 4 2 2 2" xfId="8257" xr:uid="{40C91D7A-3142-43AE-AFB7-C403FC67F2DD}"/>
    <cellStyle name="Normal 8 3 4 2 3" xfId="6112" xr:uid="{DAA57AC6-FE3B-4646-B289-96FF02C2FBB3}"/>
    <cellStyle name="Normal 8 3 4 2 4" xfId="1810" xr:uid="{7EA367BB-9F0A-4AFE-9F01-1833A739CB30}"/>
    <cellStyle name="Normal 8 3 4 3" xfId="2223" xr:uid="{AB8A129F-83DD-42C1-9E87-D794E4E40B5F}"/>
    <cellStyle name="Normal 8 3 4 3 2" xfId="4452" xr:uid="{AB612B84-D6F7-4B8F-ADA7-08B59984E3AB}"/>
    <cellStyle name="Normal 8 3 4 3 2 2" xfId="8670" xr:uid="{20D02309-06B3-4FAF-A55A-1605CD1CB3DC}"/>
    <cellStyle name="Normal 8 3 4 3 3" xfId="6525" xr:uid="{34B5B846-CF77-40C3-9A10-8BB631EED244}"/>
    <cellStyle name="Normal 8 3 4 4" xfId="2636" xr:uid="{887CFBBA-9726-42E2-8A18-7AF62A5CBB8D}"/>
    <cellStyle name="Normal 8 3 4 4 2" xfId="4865" xr:uid="{F322088A-D960-43CF-B7B1-62687D49ECE3}"/>
    <cellStyle name="Normal 8 3 4 4 2 2" xfId="9083" xr:uid="{97FE7700-AE3E-4078-8E4E-437495A3DB3A}"/>
    <cellStyle name="Normal 8 3 4 4 3" xfId="6938" xr:uid="{B861CA5A-B6FD-45A9-8908-BB23D10F5D9F}"/>
    <cellStyle name="Normal 8 3 4 5" xfId="3049" xr:uid="{8EBB2420-6C71-496C-A7AC-CA1A71659B4F}"/>
    <cellStyle name="Normal 8 3 4 5 2" xfId="5278" xr:uid="{1B5A4F9A-3FA7-41C8-BB04-088504220758}"/>
    <cellStyle name="Normal 8 3 4 5 2 2" xfId="9496" xr:uid="{C19C2FC7-C83B-4F84-B6FC-B395C4565941}"/>
    <cellStyle name="Normal 8 3 4 5 3" xfId="7351" xr:uid="{EBFE0350-C1C5-4C86-AF6A-9D4D110C8979}"/>
    <cellStyle name="Normal 8 3 4 6" xfId="3485" xr:uid="{A4DD3E9C-B14D-407F-ACE1-75E88B3D9792}"/>
    <cellStyle name="Normal 8 3 4 6 2" xfId="7764" xr:uid="{45DF6333-53C0-43A7-A05E-8FF355D2E537}"/>
    <cellStyle name="Normal 8 3 4 7" xfId="5699" xr:uid="{23607BDD-A738-4C26-BDE0-8B5CBFD38A1B}"/>
    <cellStyle name="Normal 8 3 4 8" xfId="1395" xr:uid="{5CF71960-5031-4331-AB3A-AFEFB8B53B8C}"/>
    <cellStyle name="Normal 8 3 5" xfId="970" xr:uid="{00000000-0005-0000-0000-00008B030000}"/>
    <cellStyle name="Normal 8 3 5 2" xfId="4032" xr:uid="{B8157364-9EA8-4C35-ABFA-473DC3F4D924}"/>
    <cellStyle name="Normal 8 3 5 2 2" xfId="8250" xr:uid="{CF5EA52B-A674-45FC-B046-8CDADAB81069}"/>
    <cellStyle name="Normal 8 3 5 3" xfId="6105" xr:uid="{B292864C-79D5-4E37-ACCB-0E3F78AB3579}"/>
    <cellStyle name="Normal 8 3 5 4" xfId="1803" xr:uid="{FCD6113B-2769-4164-A9BD-CC1354F3175C}"/>
    <cellStyle name="Normal 8 3 6" xfId="2216" xr:uid="{8960EBF2-F0CE-4BC5-8529-58A8814E390B}"/>
    <cellStyle name="Normal 8 3 6 2" xfId="4445" xr:uid="{73319D9B-3B7B-4123-8809-6D81DDBB97BB}"/>
    <cellStyle name="Normal 8 3 6 2 2" xfId="8663" xr:uid="{FEC47EDD-EF4F-4F11-962E-8C600EA5AA78}"/>
    <cellStyle name="Normal 8 3 6 3" xfId="6518" xr:uid="{A9312419-7DEF-44F6-96F0-6F9753112835}"/>
    <cellStyle name="Normal 8 3 7" xfId="2629" xr:uid="{7727F06C-F8D6-4BDB-9F08-423B50F8786D}"/>
    <cellStyle name="Normal 8 3 7 2" xfId="4858" xr:uid="{F318D91A-324B-417B-B024-B853D6704889}"/>
    <cellStyle name="Normal 8 3 7 2 2" xfId="9076" xr:uid="{871F17F1-CC01-4125-B4DA-84FB4AE01D0A}"/>
    <cellStyle name="Normal 8 3 7 3" xfId="6931" xr:uid="{B80E07AE-BD86-4FC6-8BDE-5AC0C08EC615}"/>
    <cellStyle name="Normal 8 3 8" xfId="3042" xr:uid="{7683B7F6-2E5F-4D12-B696-34B353027352}"/>
    <cellStyle name="Normal 8 3 8 2" xfId="5271" xr:uid="{EEAC5284-FD2B-456B-9CBE-5F2CDFD27428}"/>
    <cellStyle name="Normal 8 3 8 2 2" xfId="9489" xr:uid="{F743AE10-0C17-4643-853F-E3AA862BB0B4}"/>
    <cellStyle name="Normal 8 3 8 3" xfId="7344" xr:uid="{C74222DE-DF66-4DF1-8A15-BF4143AFDEC3}"/>
    <cellStyle name="Normal 8 3 9" xfId="3478" xr:uid="{540CB884-89F3-41B2-8F93-C686F24ECEDD}"/>
    <cellStyle name="Normal 8 3 9 2" xfId="7757" xr:uid="{7875E194-4E08-40EB-8FD7-7F7E64E1490E}"/>
    <cellStyle name="Normal 8 4" xfId="506" xr:uid="{00000000-0005-0000-0000-00008C030000}"/>
    <cellStyle name="Normal 8 4 10" xfId="1396" xr:uid="{EB1FAE34-EB19-4BCF-82C7-1BB848093038}"/>
    <cellStyle name="Normal 8 4 2" xfId="507" xr:uid="{00000000-0005-0000-0000-00008D030000}"/>
    <cellStyle name="Normal 8 4 2 2" xfId="508" xr:uid="{00000000-0005-0000-0000-00008E030000}"/>
    <cellStyle name="Normal 8 4 2 2 2" xfId="980" xr:uid="{00000000-0005-0000-0000-00008F030000}"/>
    <cellStyle name="Normal 8 4 2 2 2 2" xfId="4042" xr:uid="{C619C28D-EFA1-4996-970D-03D174D238AC}"/>
    <cellStyle name="Normal 8 4 2 2 2 2 2" xfId="8260" xr:uid="{2C243C60-9808-4717-85DF-A0236F44C3E2}"/>
    <cellStyle name="Normal 8 4 2 2 2 3" xfId="6115" xr:uid="{F4E3747F-0BEB-4374-8FF6-1EEF5ADAEF54}"/>
    <cellStyle name="Normal 8 4 2 2 2 4" xfId="1813" xr:uid="{D1365E21-E52E-480D-A03B-E3CA23DB5DF2}"/>
    <cellStyle name="Normal 8 4 2 2 3" xfId="2226" xr:uid="{23C732A3-B742-46FF-BE69-B69F0CE1191E}"/>
    <cellStyle name="Normal 8 4 2 2 3 2" xfId="4455" xr:uid="{BEE6B67F-E83C-4828-920B-925A2E0A602A}"/>
    <cellStyle name="Normal 8 4 2 2 3 2 2" xfId="8673" xr:uid="{A5808F5F-5856-4AA6-A4AC-2E720453694A}"/>
    <cellStyle name="Normal 8 4 2 2 3 3" xfId="6528" xr:uid="{C31E7B0A-10AA-4B49-87CD-3D420FAB2769}"/>
    <cellStyle name="Normal 8 4 2 2 4" xfId="2639" xr:uid="{D2701B2B-2A34-4C04-BF9B-65FDA21DB676}"/>
    <cellStyle name="Normal 8 4 2 2 4 2" xfId="4868" xr:uid="{927B3BDD-F156-4776-A366-C908C28FB978}"/>
    <cellStyle name="Normal 8 4 2 2 4 2 2" xfId="9086" xr:uid="{5335B905-F2BB-4BA9-AA99-DDEB68E0C5EB}"/>
    <cellStyle name="Normal 8 4 2 2 4 3" xfId="6941" xr:uid="{8DC58C7E-3B01-4DAC-B523-714EB9E04FC6}"/>
    <cellStyle name="Normal 8 4 2 2 5" xfId="3052" xr:uid="{CD159C93-5374-43D0-B18C-C96083ECB54A}"/>
    <cellStyle name="Normal 8 4 2 2 5 2" xfId="5281" xr:uid="{C57C732A-CD0B-4249-9C5E-04DD62E4E6F8}"/>
    <cellStyle name="Normal 8 4 2 2 5 2 2" xfId="9499" xr:uid="{F391F5CD-050F-43D6-A76A-D6B37DB1351F}"/>
    <cellStyle name="Normal 8 4 2 2 5 3" xfId="7354" xr:uid="{716B7B85-02DB-49BA-AC26-65143716F9A0}"/>
    <cellStyle name="Normal 8 4 2 2 6" xfId="3488" xr:uid="{0E795E96-222C-451E-82E0-AF869FD06F64}"/>
    <cellStyle name="Normal 8 4 2 2 6 2" xfId="7767" xr:uid="{28CF2599-90A2-4C16-9F77-7688FFCC46F9}"/>
    <cellStyle name="Normal 8 4 2 2 7" xfId="5702" xr:uid="{1D00DE11-5067-4EB9-8438-CAA2EC2AE2ED}"/>
    <cellStyle name="Normal 8 4 2 2 8" xfId="1398" xr:uid="{F4614C9A-35B9-45AD-ACD2-FC2E783F6039}"/>
    <cellStyle name="Normal 8 4 2 3" xfId="979" xr:uid="{00000000-0005-0000-0000-000090030000}"/>
    <cellStyle name="Normal 8 4 2 3 2" xfId="4041" xr:uid="{475DC005-BF13-41E4-A499-18E10D1BF67D}"/>
    <cellStyle name="Normal 8 4 2 3 2 2" xfId="8259" xr:uid="{96FC8429-5A8B-45B7-9927-FA1BEA3FDC2E}"/>
    <cellStyle name="Normal 8 4 2 3 3" xfId="6114" xr:uid="{63C32E5A-18F3-4BC5-A21F-1D799A83D19F}"/>
    <cellStyle name="Normal 8 4 2 3 4" xfId="1812" xr:uid="{27A6E414-4E62-4106-8F29-97FCFBA8DB81}"/>
    <cellStyle name="Normal 8 4 2 4" xfId="2225" xr:uid="{F33ECFD4-7608-47E0-8B41-6515F8D22C9F}"/>
    <cellStyle name="Normal 8 4 2 4 2" xfId="4454" xr:uid="{4FD2D219-DF27-4F66-9BCC-614E65A64E3B}"/>
    <cellStyle name="Normal 8 4 2 4 2 2" xfId="8672" xr:uid="{95637F10-7465-428E-B7C1-BEEC6C3C6A3B}"/>
    <cellStyle name="Normal 8 4 2 4 3" xfId="6527" xr:uid="{7A5F2111-661F-4AE1-BBDA-D0A20ECB0C79}"/>
    <cellStyle name="Normal 8 4 2 5" xfId="2638" xr:uid="{98E0DA96-2907-4694-BEF8-5CCD03291BB9}"/>
    <cellStyle name="Normal 8 4 2 5 2" xfId="4867" xr:uid="{0ADA6821-8D9B-4D99-8ABA-12F92D32C536}"/>
    <cellStyle name="Normal 8 4 2 5 2 2" xfId="9085" xr:uid="{780B7D13-2C4A-4BF4-B2C7-5AEAEA700A7C}"/>
    <cellStyle name="Normal 8 4 2 5 3" xfId="6940" xr:uid="{E2FFC678-04E9-4BAA-96D4-8C3CA4455DD4}"/>
    <cellStyle name="Normal 8 4 2 6" xfId="3051" xr:uid="{AA283680-2268-4F13-AEAA-4FA9DAB13D16}"/>
    <cellStyle name="Normal 8 4 2 6 2" xfId="5280" xr:uid="{C5599DC3-93C7-4778-8326-B8FF79C2B5DA}"/>
    <cellStyle name="Normal 8 4 2 6 2 2" xfId="9498" xr:uid="{F096A119-3A1C-4FAE-A483-E6822CC503C3}"/>
    <cellStyle name="Normal 8 4 2 6 3" xfId="7353" xr:uid="{C806D6AE-3AD6-4129-A9DD-D2149AD7EE2F}"/>
    <cellStyle name="Normal 8 4 2 7" xfId="3487" xr:uid="{A15D380B-B375-4522-959B-6DC513C74E58}"/>
    <cellStyle name="Normal 8 4 2 7 2" xfId="7766" xr:uid="{82DBF15F-77D2-4834-BFD8-564548EF9253}"/>
    <cellStyle name="Normal 8 4 2 8" xfId="5701" xr:uid="{8C9B42E9-6A86-44CA-9503-4E86F6205DEE}"/>
    <cellStyle name="Normal 8 4 2 9" xfId="1397" xr:uid="{592B5081-2FB2-4E6C-B9E8-C56B106ACB14}"/>
    <cellStyle name="Normal 8 4 3" xfId="509" xr:uid="{00000000-0005-0000-0000-000091030000}"/>
    <cellStyle name="Normal 8 4 3 2" xfId="981" xr:uid="{00000000-0005-0000-0000-000092030000}"/>
    <cellStyle name="Normal 8 4 3 2 2" xfId="4043" xr:uid="{550D7CE5-A359-40BB-BE2D-7E71231F3BE7}"/>
    <cellStyle name="Normal 8 4 3 2 2 2" xfId="8261" xr:uid="{0F7C546D-AD8A-4F01-8F48-81F9D4204E47}"/>
    <cellStyle name="Normal 8 4 3 2 3" xfId="6116" xr:uid="{770499E4-3F43-4F75-A206-492F5ABB5A7B}"/>
    <cellStyle name="Normal 8 4 3 2 4" xfId="1814" xr:uid="{6F70F47B-567B-4483-8180-8833146577AC}"/>
    <cellStyle name="Normal 8 4 3 3" xfId="2227" xr:uid="{E00ECC63-7A55-4183-A04C-56597E27B031}"/>
    <cellStyle name="Normal 8 4 3 3 2" xfId="4456" xr:uid="{19E9D2F5-9D08-4AB2-A40D-A8C59376F73C}"/>
    <cellStyle name="Normal 8 4 3 3 2 2" xfId="8674" xr:uid="{1E32DA95-0F2F-4CDA-B81E-622349EBFE7A}"/>
    <cellStyle name="Normal 8 4 3 3 3" xfId="6529" xr:uid="{5B0F43CD-91CE-407B-92C7-DDFD910B4AFC}"/>
    <cellStyle name="Normal 8 4 3 4" xfId="2640" xr:uid="{ABD76496-A8B0-48CB-BA15-999EBF7DFD57}"/>
    <cellStyle name="Normal 8 4 3 4 2" xfId="4869" xr:uid="{2F8ECEF2-EFDD-432F-8092-A89940330726}"/>
    <cellStyle name="Normal 8 4 3 4 2 2" xfId="9087" xr:uid="{56775DB2-EADF-4835-9C06-4CD0C3E76125}"/>
    <cellStyle name="Normal 8 4 3 4 3" xfId="6942" xr:uid="{B3BBCD83-4ED4-4DFB-86D4-E9C42CBE86AB}"/>
    <cellStyle name="Normal 8 4 3 5" xfId="3053" xr:uid="{5EECDDC2-F73D-42C0-847D-ABB25F567819}"/>
    <cellStyle name="Normal 8 4 3 5 2" xfId="5282" xr:uid="{BC35C9DA-BB53-4E68-933C-7A0DF114340B}"/>
    <cellStyle name="Normal 8 4 3 5 2 2" xfId="9500" xr:uid="{79A4BF5C-B350-4ADE-AD0E-0375FE907F50}"/>
    <cellStyle name="Normal 8 4 3 5 3" xfId="7355" xr:uid="{C8321DDE-FE38-405A-B61B-D4CC220E0709}"/>
    <cellStyle name="Normal 8 4 3 6" xfId="3489" xr:uid="{8C8FB380-B960-407F-820F-FC9E15E310C4}"/>
    <cellStyle name="Normal 8 4 3 6 2" xfId="7768" xr:uid="{A0B137B1-4B1C-4B8D-B251-984FFC36F4EA}"/>
    <cellStyle name="Normal 8 4 3 7" xfId="5703" xr:uid="{9ABE1399-E338-479E-B6F7-788B4F31C205}"/>
    <cellStyle name="Normal 8 4 3 8" xfId="1399" xr:uid="{0E56E0F7-D1DD-4891-A56B-E15F1B11EBDA}"/>
    <cellStyle name="Normal 8 4 4" xfId="978" xr:uid="{00000000-0005-0000-0000-000093030000}"/>
    <cellStyle name="Normal 8 4 4 2" xfId="4040" xr:uid="{AB4E294A-5626-452F-8C9F-9875365056CD}"/>
    <cellStyle name="Normal 8 4 4 2 2" xfId="8258" xr:uid="{3F273CC9-AF83-42E7-B3F5-5E81CE01E459}"/>
    <cellStyle name="Normal 8 4 4 3" xfId="6113" xr:uid="{5E83ED22-5567-4A07-9539-20EE6B38142B}"/>
    <cellStyle name="Normal 8 4 4 4" xfId="1811" xr:uid="{5358A21E-3B9F-433F-A32D-9045C6737A6E}"/>
    <cellStyle name="Normal 8 4 5" xfId="2224" xr:uid="{6ECCA1CD-07A2-4187-9D64-51B82672C266}"/>
    <cellStyle name="Normal 8 4 5 2" xfId="4453" xr:uid="{4EF782A1-8386-4A9A-A113-6B4F391D50D8}"/>
    <cellStyle name="Normal 8 4 5 2 2" xfId="8671" xr:uid="{5A129BBE-2972-461E-B5BD-69D7B47CE27B}"/>
    <cellStyle name="Normal 8 4 5 3" xfId="6526" xr:uid="{240543BC-F238-45D8-8007-7746962B4782}"/>
    <cellStyle name="Normal 8 4 6" xfId="2637" xr:uid="{F5D61DAC-F6C9-40F1-A3FF-CA1954B242EA}"/>
    <cellStyle name="Normal 8 4 6 2" xfId="4866" xr:uid="{A8F3DCCA-495D-4CD5-8393-6D536F8FC013}"/>
    <cellStyle name="Normal 8 4 6 2 2" xfId="9084" xr:uid="{7BD90964-865B-48F9-B5C6-364C771843C2}"/>
    <cellStyle name="Normal 8 4 6 3" xfId="6939" xr:uid="{D9463AB9-4B00-4F49-8D8F-835F2CE0798E}"/>
    <cellStyle name="Normal 8 4 7" xfId="3050" xr:uid="{6F0CBAE0-A054-4006-AF78-635C203394F3}"/>
    <cellStyle name="Normal 8 4 7 2" xfId="5279" xr:uid="{71703897-AAF0-4A64-8E81-4253299E6DA4}"/>
    <cellStyle name="Normal 8 4 7 2 2" xfId="9497" xr:uid="{B240F740-8A20-40EC-8469-E6DF66514E2E}"/>
    <cellStyle name="Normal 8 4 7 3" xfId="7352" xr:uid="{1BAFDA09-7DDB-4B74-B600-FF1C36D0EBF1}"/>
    <cellStyle name="Normal 8 4 8" xfId="3486" xr:uid="{187A09C6-6540-4448-A5FA-FC7114398F5A}"/>
    <cellStyle name="Normal 8 4 8 2" xfId="7765" xr:uid="{6B259BB2-F574-4B8C-8127-090DFD531E60}"/>
    <cellStyle name="Normal 8 4 9" xfId="5700" xr:uid="{E9D978B3-ECF2-4024-818A-23DFE8C5299A}"/>
    <cellStyle name="Normal 8 5" xfId="510" xr:uid="{00000000-0005-0000-0000-000094030000}"/>
    <cellStyle name="Normal 8 5 2" xfId="511" xr:uid="{00000000-0005-0000-0000-000095030000}"/>
    <cellStyle name="Normal 8 5 2 2" xfId="983" xr:uid="{00000000-0005-0000-0000-000096030000}"/>
    <cellStyle name="Normal 8 5 2 2 2" xfId="4045" xr:uid="{06A8B5ED-9A32-404A-8293-BB7F3B782BA0}"/>
    <cellStyle name="Normal 8 5 2 2 2 2" xfId="8263" xr:uid="{6EF0BACE-4BC2-46DC-B76E-867D27630516}"/>
    <cellStyle name="Normal 8 5 2 2 3" xfId="6118" xr:uid="{0937A285-434E-49D7-9EB6-22206574E305}"/>
    <cellStyle name="Normal 8 5 2 2 4" xfId="1816" xr:uid="{69BEB41F-0557-438E-A880-250EBB48B5E7}"/>
    <cellStyle name="Normal 8 5 2 3" xfId="2229" xr:uid="{29C9437A-1F30-4A26-BB0D-C9474BF7A6C8}"/>
    <cellStyle name="Normal 8 5 2 3 2" xfId="4458" xr:uid="{B603DC5D-FA0B-456D-85DC-9AAFA3D96F65}"/>
    <cellStyle name="Normal 8 5 2 3 2 2" xfId="8676" xr:uid="{BDA731DB-EC79-4B86-9C5D-88E5118CF35C}"/>
    <cellStyle name="Normal 8 5 2 3 3" xfId="6531" xr:uid="{2410B426-6021-4D7D-870F-C3FD09ED0081}"/>
    <cellStyle name="Normal 8 5 2 4" xfId="2642" xr:uid="{48FDA358-E300-46E0-AA22-410A2F09E2B7}"/>
    <cellStyle name="Normal 8 5 2 4 2" xfId="4871" xr:uid="{CA5F75B7-D294-4AD6-8156-3DC5DDE5CA7B}"/>
    <cellStyle name="Normal 8 5 2 4 2 2" xfId="9089" xr:uid="{1C698EBB-EAB0-45D2-A578-DB63BC2F852A}"/>
    <cellStyle name="Normal 8 5 2 4 3" xfId="6944" xr:uid="{8D9E6431-ECD4-4A12-ABB1-647FB6103B0E}"/>
    <cellStyle name="Normal 8 5 2 5" xfId="3055" xr:uid="{EB309749-4C5B-4683-84B7-D00B1C39816F}"/>
    <cellStyle name="Normal 8 5 2 5 2" xfId="5284" xr:uid="{F234F90C-01C4-44B7-9181-F514D30A5921}"/>
    <cellStyle name="Normal 8 5 2 5 2 2" xfId="9502" xr:uid="{CD5B5E9F-4B30-4885-A11C-5E6FFFA88090}"/>
    <cellStyle name="Normal 8 5 2 5 3" xfId="7357" xr:uid="{F1B75BD9-BBC7-4F24-8E1F-DE34F081E74B}"/>
    <cellStyle name="Normal 8 5 2 6" xfId="3491" xr:uid="{F8CFE4CA-A65E-4A0C-B767-B88FA4C19102}"/>
    <cellStyle name="Normal 8 5 2 6 2" xfId="7770" xr:uid="{220B01B3-4B3D-4414-B495-65C04EB79E76}"/>
    <cellStyle name="Normal 8 5 2 7" xfId="5705" xr:uid="{7A211B86-2496-45EF-8288-3FF39C6DCF57}"/>
    <cellStyle name="Normal 8 5 2 8" xfId="1401" xr:uid="{FA7AF958-72B7-47F6-B66D-FC5F7F0A5A0B}"/>
    <cellStyle name="Normal 8 5 3" xfId="982" xr:uid="{00000000-0005-0000-0000-000097030000}"/>
    <cellStyle name="Normal 8 5 3 2" xfId="4044" xr:uid="{07C41A11-E6C5-428D-BBAC-083F25BAC4C2}"/>
    <cellStyle name="Normal 8 5 3 2 2" xfId="8262" xr:uid="{C3CA46CB-E9A4-4D50-BDF4-9DD86D17B13A}"/>
    <cellStyle name="Normal 8 5 3 3" xfId="6117" xr:uid="{4EC2003D-7767-4CD9-ACC2-63F26C517901}"/>
    <cellStyle name="Normal 8 5 3 4" xfId="1815" xr:uid="{CBEA965C-DB1E-48BB-A4A4-CB43570AEB83}"/>
    <cellStyle name="Normal 8 5 4" xfId="2228" xr:uid="{358B6D12-1CDD-4B86-B0CB-4FEE2F217B1A}"/>
    <cellStyle name="Normal 8 5 4 2" xfId="4457" xr:uid="{DB022A37-6A69-4BFF-AD2C-C9B9B0F83CDC}"/>
    <cellStyle name="Normal 8 5 4 2 2" xfId="8675" xr:uid="{75042096-C99D-411C-A894-68EA2DFE7396}"/>
    <cellStyle name="Normal 8 5 4 3" xfId="6530" xr:uid="{5B97228F-59A2-4455-8C5C-8E2D4F4EFC55}"/>
    <cellStyle name="Normal 8 5 5" xfId="2641" xr:uid="{EACF4DCB-D01B-4BDE-92FB-33B8E6861601}"/>
    <cellStyle name="Normal 8 5 5 2" xfId="4870" xr:uid="{D22D41C3-DF3F-4BBB-A862-BE826B261B31}"/>
    <cellStyle name="Normal 8 5 5 2 2" xfId="9088" xr:uid="{1B40CB58-0BF8-4C9B-B58D-C50DD501BA59}"/>
    <cellStyle name="Normal 8 5 5 3" xfId="6943" xr:uid="{C7FF11E8-D6F6-4647-BBC8-6567AEA24169}"/>
    <cellStyle name="Normal 8 5 6" xfId="3054" xr:uid="{CCEAA6E9-5CDA-461B-B2B6-2F47B8D9BF62}"/>
    <cellStyle name="Normal 8 5 6 2" xfId="5283" xr:uid="{08118468-AC88-4C36-BE1B-880551050740}"/>
    <cellStyle name="Normal 8 5 6 2 2" xfId="9501" xr:uid="{1AD9D913-EE02-4F6D-A801-C863D3E182A5}"/>
    <cellStyle name="Normal 8 5 6 3" xfId="7356" xr:uid="{A7B6E68F-99D2-4A33-910B-9330AE643471}"/>
    <cellStyle name="Normal 8 5 7" xfId="3490" xr:uid="{3FA574B6-ED13-4E45-A6AD-406FA48F0542}"/>
    <cellStyle name="Normal 8 5 7 2" xfId="7769" xr:uid="{4D37B7AD-3D63-4BA4-BA8D-D965340909AC}"/>
    <cellStyle name="Normal 8 5 8" xfId="5704" xr:uid="{EBDCB605-D4B3-4986-AC1E-E6751F6FEF8C}"/>
    <cellStyle name="Normal 8 5 9" xfId="1400" xr:uid="{FB3832C9-4E03-408A-896E-8D4775576016}"/>
    <cellStyle name="Normal 8 6" xfId="512" xr:uid="{00000000-0005-0000-0000-000098030000}"/>
    <cellStyle name="Normal 8 6 2" xfId="984" xr:uid="{00000000-0005-0000-0000-000099030000}"/>
    <cellStyle name="Normal 8 6 2 2" xfId="4046" xr:uid="{D75BF510-9865-4941-97A5-C208FACB8F9E}"/>
    <cellStyle name="Normal 8 6 2 2 2" xfId="8264" xr:uid="{7E311804-D6B1-4700-A336-128D375761A1}"/>
    <cellStyle name="Normal 8 6 2 3" xfId="6119" xr:uid="{AB3441BB-9FBD-4C0F-A5AA-F887ACFE69A2}"/>
    <cellStyle name="Normal 8 6 2 4" xfId="1817" xr:uid="{04759B1A-A3EC-48E8-B559-AF84653B0AA1}"/>
    <cellStyle name="Normal 8 6 3" xfId="2230" xr:uid="{A78A0D00-2924-435B-80E9-0C181FA48F79}"/>
    <cellStyle name="Normal 8 6 3 2" xfId="4459" xr:uid="{CF47DC48-4D90-44C7-A032-8AB42EFE354D}"/>
    <cellStyle name="Normal 8 6 3 2 2" xfId="8677" xr:uid="{1136FB9C-A556-4D50-96DA-219F3732858F}"/>
    <cellStyle name="Normal 8 6 3 3" xfId="6532" xr:uid="{D85DB5E3-CCE2-4E16-B0C9-DAEA58E5C3D5}"/>
    <cellStyle name="Normal 8 6 4" xfId="2643" xr:uid="{708D909F-CA03-4398-AFC8-4E5724E825B1}"/>
    <cellStyle name="Normal 8 6 4 2" xfId="4872" xr:uid="{DD7D33F9-9B37-4EE5-A02F-C67C6132029A}"/>
    <cellStyle name="Normal 8 6 4 2 2" xfId="9090" xr:uid="{D98DA40A-DE44-4A54-8229-CBDAFBC60C33}"/>
    <cellStyle name="Normal 8 6 4 3" xfId="6945" xr:uid="{8780BAD7-A701-4588-94E0-DBC0A76F1C84}"/>
    <cellStyle name="Normal 8 6 5" xfId="3056" xr:uid="{21545E1F-5908-411C-8941-3B6AEE038215}"/>
    <cellStyle name="Normal 8 6 5 2" xfId="5285" xr:uid="{CB23E38C-3D64-4EC1-8A92-DD2FCD38DCB9}"/>
    <cellStyle name="Normal 8 6 5 2 2" xfId="9503" xr:uid="{2AC2E460-3E1C-4258-93B6-4208E0D6C2BE}"/>
    <cellStyle name="Normal 8 6 5 3" xfId="7358" xr:uid="{91BA11D1-C838-42E0-A171-483C537BC9DB}"/>
    <cellStyle name="Normal 8 6 6" xfId="3492" xr:uid="{988E5383-97D2-4F02-BB32-B1D13788E739}"/>
    <cellStyle name="Normal 8 6 6 2" xfId="7771" xr:uid="{78904A5D-BE0C-4640-AECE-7E7656806EFC}"/>
    <cellStyle name="Normal 8 6 7" xfId="5706" xr:uid="{309AA495-DE4D-4445-8E58-55F695B78851}"/>
    <cellStyle name="Normal 8 6 8" xfId="1402" xr:uid="{284E7BB1-D21C-41CC-AD0D-F4E6C917014B}"/>
    <cellStyle name="Normal 8 7" xfId="953" xr:uid="{00000000-0005-0000-0000-00009A030000}"/>
    <cellStyle name="Normal 8 7 2" xfId="4015" xr:uid="{D3ACA8FD-C4A4-49EE-97C5-AED39E39C6D8}"/>
    <cellStyle name="Normal 8 7 2 2" xfId="8233" xr:uid="{7D0B1E69-7CA0-4800-BB30-B27A42FF1F8D}"/>
    <cellStyle name="Normal 8 7 3" xfId="6088" xr:uid="{CBB38C00-171B-4737-81D8-1D868B8E8661}"/>
    <cellStyle name="Normal 8 7 4" xfId="1786" xr:uid="{D5DD07AF-0F61-4233-B62B-68C22252CF4E}"/>
    <cellStyle name="Normal 8 8" xfId="2199" xr:uid="{F63072BE-6DA0-49EE-941B-3E136BA22E97}"/>
    <cellStyle name="Normal 8 8 2" xfId="4428" xr:uid="{9DE8DEEF-141B-47BE-B84F-86946633B6BD}"/>
    <cellStyle name="Normal 8 8 2 2" xfId="8646" xr:uid="{7B40E5BF-7D2D-487E-8D3B-75A217C33778}"/>
    <cellStyle name="Normal 8 8 3" xfId="6501" xr:uid="{34C0F00A-AA29-4B52-8848-326F90C3D591}"/>
    <cellStyle name="Normal 8 9" xfId="2612" xr:uid="{CE64570E-3605-4924-8841-78943B18C039}"/>
    <cellStyle name="Normal 8 9 2" xfId="4841" xr:uid="{C76A56F5-6E5F-41ED-9CFB-C11755DA1E5B}"/>
    <cellStyle name="Normal 8 9 2 2" xfId="9059" xr:uid="{7BFEFBF8-991D-4C49-9BE0-F78811077399}"/>
    <cellStyle name="Normal 8 9 3" xfId="6914" xr:uid="{214063A4-4CE0-45F0-867A-7DB82FEE729C}"/>
    <cellStyle name="Normal 9" xfId="513" xr:uid="{00000000-0005-0000-0000-00009B030000}"/>
    <cellStyle name="Normal 9 2" xfId="514" xr:uid="{00000000-0005-0000-0000-00009C030000}"/>
    <cellStyle name="Normal 9 2 10" xfId="3493" xr:uid="{50761B6C-00D0-4798-8B0D-7AAEE2767A3B}"/>
    <cellStyle name="Normal 9 2 10 2" xfId="7772" xr:uid="{B0B2EC90-2142-49AC-BEBE-33242FF21F5B}"/>
    <cellStyle name="Normal 9 2 11" xfId="5707" xr:uid="{234017CE-E795-4277-9B56-945FDB082885}"/>
    <cellStyle name="Normal 9 2 12" xfId="1403" xr:uid="{5F13FDEF-245E-45FD-8E04-9F9577234F3C}"/>
    <cellStyle name="Normal 9 2 2" xfId="515" xr:uid="{00000000-0005-0000-0000-00009D030000}"/>
    <cellStyle name="Normal 9 2 2 10" xfId="5708" xr:uid="{E957E5CA-7B3E-4166-A9A5-3C710951458B}"/>
    <cellStyle name="Normal 9 2 2 11" xfId="1404" xr:uid="{A7CFDADA-0ED8-44A3-9BB2-361405527E64}"/>
    <cellStyle name="Normal 9 2 2 2" xfId="516" xr:uid="{00000000-0005-0000-0000-00009E030000}"/>
    <cellStyle name="Normal 9 2 2 2 10" xfId="1405" xr:uid="{910562CB-33BE-40BD-8F68-C0155831A616}"/>
    <cellStyle name="Normal 9 2 2 2 2" xfId="517" xr:uid="{00000000-0005-0000-0000-00009F030000}"/>
    <cellStyle name="Normal 9 2 2 2 2 2" xfId="518" xr:uid="{00000000-0005-0000-0000-0000A0030000}"/>
    <cellStyle name="Normal 9 2 2 2 2 2 2" xfId="990" xr:uid="{00000000-0005-0000-0000-0000A1030000}"/>
    <cellStyle name="Normal 9 2 2 2 2 2 2 2" xfId="4051" xr:uid="{142788F8-3806-4703-9E66-939BF0255BEA}"/>
    <cellStyle name="Normal 9 2 2 2 2 2 2 2 2" xfId="8269" xr:uid="{6F7EBFCE-FF27-4E5A-817D-231846FBB0F0}"/>
    <cellStyle name="Normal 9 2 2 2 2 2 2 3" xfId="6124" xr:uid="{46ACD582-71F4-454B-BAC6-8EABC4EE350D}"/>
    <cellStyle name="Normal 9 2 2 2 2 2 2 4" xfId="1822" xr:uid="{A41189BC-85BB-47E7-BF38-06BAE3C47E63}"/>
    <cellStyle name="Normal 9 2 2 2 2 2 3" xfId="2235" xr:uid="{991EC73B-CE0A-43FA-BFF0-B022448371D5}"/>
    <cellStyle name="Normal 9 2 2 2 2 2 3 2" xfId="4464" xr:uid="{A1A6296D-41C9-4AC3-9E54-8DC4025438D6}"/>
    <cellStyle name="Normal 9 2 2 2 2 2 3 2 2" xfId="8682" xr:uid="{C87685EC-2ABB-40AA-B5A1-E9D607E3A02E}"/>
    <cellStyle name="Normal 9 2 2 2 2 2 3 3" xfId="6537" xr:uid="{897397B8-B70D-4F12-80CA-F472076B159B}"/>
    <cellStyle name="Normal 9 2 2 2 2 2 4" xfId="2648" xr:uid="{E04C066A-F38D-4F54-A88B-6AA167A09E21}"/>
    <cellStyle name="Normal 9 2 2 2 2 2 4 2" xfId="4877" xr:uid="{A664B824-8D7E-4558-A85F-0A80651EB11F}"/>
    <cellStyle name="Normal 9 2 2 2 2 2 4 2 2" xfId="9095" xr:uid="{B182496E-60A5-4D4D-9A80-63AADCC3ACE3}"/>
    <cellStyle name="Normal 9 2 2 2 2 2 4 3" xfId="6950" xr:uid="{CBF38642-3863-4FE9-A72B-8277D4FC4DBE}"/>
    <cellStyle name="Normal 9 2 2 2 2 2 5" xfId="3061" xr:uid="{373959EC-973B-4F6F-B917-E02FBD318EF4}"/>
    <cellStyle name="Normal 9 2 2 2 2 2 5 2" xfId="5290" xr:uid="{0A0DCA2C-C120-4B2B-9C89-78DDD1F248DD}"/>
    <cellStyle name="Normal 9 2 2 2 2 2 5 2 2" xfId="9508" xr:uid="{047F4135-A1D6-4BBA-AC35-364F460A957C}"/>
    <cellStyle name="Normal 9 2 2 2 2 2 5 3" xfId="7363" xr:uid="{FBA7134C-039A-4422-B28E-0AADF0379673}"/>
    <cellStyle name="Normal 9 2 2 2 2 2 6" xfId="3497" xr:uid="{39C42350-753A-4DA4-BBAD-BD85617CD6BD}"/>
    <cellStyle name="Normal 9 2 2 2 2 2 6 2" xfId="7776" xr:uid="{F326A567-690E-4137-8F60-AE19D5587331}"/>
    <cellStyle name="Normal 9 2 2 2 2 2 7" xfId="5711" xr:uid="{8D31500F-6112-4998-8B80-B93C7BCF5EF6}"/>
    <cellStyle name="Normal 9 2 2 2 2 2 8" xfId="1407" xr:uid="{96302522-31F4-4720-BE6B-88E847F882AE}"/>
    <cellStyle name="Normal 9 2 2 2 2 3" xfId="989" xr:uid="{00000000-0005-0000-0000-0000A2030000}"/>
    <cellStyle name="Normal 9 2 2 2 2 3 2" xfId="4050" xr:uid="{DD3B87BE-D8D0-45D9-BCA0-8FB92CCE2B1F}"/>
    <cellStyle name="Normal 9 2 2 2 2 3 2 2" xfId="8268" xr:uid="{1701EF78-FFB5-4303-95A0-09F808926D3A}"/>
    <cellStyle name="Normal 9 2 2 2 2 3 3" xfId="6123" xr:uid="{A6347FAE-4705-4F04-81B0-6B1AFBC36AD4}"/>
    <cellStyle name="Normal 9 2 2 2 2 3 4" xfId="1821" xr:uid="{F0288B53-9A31-4A46-8EE2-B78193DB7864}"/>
    <cellStyle name="Normal 9 2 2 2 2 4" xfId="2234" xr:uid="{33EED032-08BB-4B0A-89D6-C7323BE5DFE6}"/>
    <cellStyle name="Normal 9 2 2 2 2 4 2" xfId="4463" xr:uid="{EE7B50BC-8707-4D31-9B19-6C73096043F6}"/>
    <cellStyle name="Normal 9 2 2 2 2 4 2 2" xfId="8681" xr:uid="{00332F49-52CE-422F-83EE-9923629FC82F}"/>
    <cellStyle name="Normal 9 2 2 2 2 4 3" xfId="6536" xr:uid="{B6082B6D-2CFA-4B0B-81FB-3F10450E6E01}"/>
    <cellStyle name="Normal 9 2 2 2 2 5" xfId="2647" xr:uid="{C180084D-9198-4916-9DEB-83CD30A104A0}"/>
    <cellStyle name="Normal 9 2 2 2 2 5 2" xfId="4876" xr:uid="{CA569C7F-D84C-4724-B5CE-6F1CEFF86546}"/>
    <cellStyle name="Normal 9 2 2 2 2 5 2 2" xfId="9094" xr:uid="{3887E20D-7248-45EE-BBA6-90C4538380FC}"/>
    <cellStyle name="Normal 9 2 2 2 2 5 3" xfId="6949" xr:uid="{7C5C42D1-116D-4941-B94D-5FAFBFCCFBD5}"/>
    <cellStyle name="Normal 9 2 2 2 2 6" xfId="3060" xr:uid="{0D432DEB-B9AD-4679-AFF5-195E58971D41}"/>
    <cellStyle name="Normal 9 2 2 2 2 6 2" xfId="5289" xr:uid="{DFE9E32B-9B9D-4876-B124-9549D5D7806E}"/>
    <cellStyle name="Normal 9 2 2 2 2 6 2 2" xfId="9507" xr:uid="{DD94940D-07AC-491A-8952-A09DC0EA9DBF}"/>
    <cellStyle name="Normal 9 2 2 2 2 6 3" xfId="7362" xr:uid="{08F9A9B0-5BA4-49C7-B64B-296FEE6FBCD1}"/>
    <cellStyle name="Normal 9 2 2 2 2 7" xfId="3496" xr:uid="{0AFE71D6-8080-445B-9305-A78D81A67763}"/>
    <cellStyle name="Normal 9 2 2 2 2 7 2" xfId="7775" xr:uid="{A4209A9B-354F-4CCE-94B0-782F17A6ACBA}"/>
    <cellStyle name="Normal 9 2 2 2 2 8" xfId="5710" xr:uid="{80DA6ADF-0056-4292-BD44-0C1BA1C7F790}"/>
    <cellStyle name="Normal 9 2 2 2 2 9" xfId="1406" xr:uid="{412CD0D1-FDA6-425D-8C9F-3C1FBC5F770D}"/>
    <cellStyle name="Normal 9 2 2 2 3" xfId="519" xr:uid="{00000000-0005-0000-0000-0000A3030000}"/>
    <cellStyle name="Normal 9 2 2 2 3 2" xfId="991" xr:uid="{00000000-0005-0000-0000-0000A4030000}"/>
    <cellStyle name="Normal 9 2 2 2 3 2 2" xfId="4052" xr:uid="{25629F93-9ED9-4C20-B0A3-ED4AA6673846}"/>
    <cellStyle name="Normal 9 2 2 2 3 2 2 2" xfId="8270" xr:uid="{EF9573B5-5B37-479B-B072-D790DC8182B4}"/>
    <cellStyle name="Normal 9 2 2 2 3 2 3" xfId="6125" xr:uid="{47BF797B-1F41-4F5A-91FB-D8BF8BBD1BEA}"/>
    <cellStyle name="Normal 9 2 2 2 3 2 4" xfId="1823" xr:uid="{D4B990E7-D76A-4329-AD6B-DC299EAA8518}"/>
    <cellStyle name="Normal 9 2 2 2 3 3" xfId="2236" xr:uid="{B37BABF8-DD40-4316-A91F-3B754B602462}"/>
    <cellStyle name="Normal 9 2 2 2 3 3 2" xfId="4465" xr:uid="{6162F55C-77DF-4036-96D2-5F2B788D53C7}"/>
    <cellStyle name="Normal 9 2 2 2 3 3 2 2" xfId="8683" xr:uid="{C8DFC6FD-666F-4809-B7B4-F4E6517F1C0D}"/>
    <cellStyle name="Normal 9 2 2 2 3 3 3" xfId="6538" xr:uid="{990DDBE0-4E1D-4B4C-851C-FBBB77164843}"/>
    <cellStyle name="Normal 9 2 2 2 3 4" xfId="2649" xr:uid="{25C0BD64-DEDC-4C2D-B418-38B32F9CD3C6}"/>
    <cellStyle name="Normal 9 2 2 2 3 4 2" xfId="4878" xr:uid="{8384A54E-8687-4750-8250-76D7A560DBBC}"/>
    <cellStyle name="Normal 9 2 2 2 3 4 2 2" xfId="9096" xr:uid="{44F22334-9DA5-405D-8852-B045EF3DBB25}"/>
    <cellStyle name="Normal 9 2 2 2 3 4 3" xfId="6951" xr:uid="{9ADC7CD9-3F31-426C-885D-63475E66EE25}"/>
    <cellStyle name="Normal 9 2 2 2 3 5" xfId="3062" xr:uid="{9A5A1C86-C172-4FCA-A5E2-B7A18F52AEDA}"/>
    <cellStyle name="Normal 9 2 2 2 3 5 2" xfId="5291" xr:uid="{88177D40-907A-42C1-BC40-458DA7981629}"/>
    <cellStyle name="Normal 9 2 2 2 3 5 2 2" xfId="9509" xr:uid="{AA0AC553-FCF3-48A4-9433-83EBEE9E5DB7}"/>
    <cellStyle name="Normal 9 2 2 2 3 5 3" xfId="7364" xr:uid="{9DDAC724-A3C4-45A9-A6C1-479329FB6871}"/>
    <cellStyle name="Normal 9 2 2 2 3 6" xfId="3498" xr:uid="{B83F366B-8B58-4720-B883-14FB34DA2367}"/>
    <cellStyle name="Normal 9 2 2 2 3 6 2" xfId="7777" xr:uid="{F82F95EC-0269-4230-9F0D-F179687AE07A}"/>
    <cellStyle name="Normal 9 2 2 2 3 7" xfId="5712" xr:uid="{5C4885B3-30E0-4011-8861-240E637C5BC5}"/>
    <cellStyle name="Normal 9 2 2 2 3 8" xfId="1408" xr:uid="{D48979BD-D922-4C06-841F-CF70A47E4F2E}"/>
    <cellStyle name="Normal 9 2 2 2 4" xfId="988" xr:uid="{00000000-0005-0000-0000-0000A5030000}"/>
    <cellStyle name="Normal 9 2 2 2 4 2" xfId="4049" xr:uid="{C90DF538-CE44-4FA8-B0E0-CC64520959E5}"/>
    <cellStyle name="Normal 9 2 2 2 4 2 2" xfId="8267" xr:uid="{9406F9C3-91ED-4A8F-BD5E-DF44A817D58C}"/>
    <cellStyle name="Normal 9 2 2 2 4 3" xfId="6122" xr:uid="{DEE4A75F-96D7-4462-9A67-F0441D7FC1AC}"/>
    <cellStyle name="Normal 9 2 2 2 4 4" xfId="1820" xr:uid="{872F05FB-294B-464F-95EB-F03BBE7B1814}"/>
    <cellStyle name="Normal 9 2 2 2 5" xfId="2233" xr:uid="{AF4ED3FD-D13A-405D-8150-80E68D4DEB71}"/>
    <cellStyle name="Normal 9 2 2 2 5 2" xfId="4462" xr:uid="{7BCE5ACD-8122-4A7E-BE12-E5E902E20F3C}"/>
    <cellStyle name="Normal 9 2 2 2 5 2 2" xfId="8680" xr:uid="{3556AE30-0F62-44E0-8D60-D64042647AFD}"/>
    <cellStyle name="Normal 9 2 2 2 5 3" xfId="6535" xr:uid="{F7931B30-6B63-4C48-87C9-2F3F94C5538A}"/>
    <cellStyle name="Normal 9 2 2 2 6" xfId="2646" xr:uid="{93272527-61E7-4BC5-A424-AC88A42C6C87}"/>
    <cellStyle name="Normal 9 2 2 2 6 2" xfId="4875" xr:uid="{FA1466D5-689B-4F9C-8119-3F9CEADDB1D4}"/>
    <cellStyle name="Normal 9 2 2 2 6 2 2" xfId="9093" xr:uid="{91020BDB-B5BC-4E4C-AEA4-B76B764C6A26}"/>
    <cellStyle name="Normal 9 2 2 2 6 3" xfId="6948" xr:uid="{629E1AF4-FF9B-4919-8E8E-14D9DDBBFB7E}"/>
    <cellStyle name="Normal 9 2 2 2 7" xfId="3059" xr:uid="{8F498BC8-1D2F-4FCB-9382-FBB8B8C5FD6F}"/>
    <cellStyle name="Normal 9 2 2 2 7 2" xfId="5288" xr:uid="{6486EF54-850E-476E-8C9B-C009AD9DFDC9}"/>
    <cellStyle name="Normal 9 2 2 2 7 2 2" xfId="9506" xr:uid="{C1ADF08C-028A-4126-8C09-7BD595A15042}"/>
    <cellStyle name="Normal 9 2 2 2 7 3" xfId="7361" xr:uid="{50541F12-AA66-45FC-862B-C53E8FCB8B78}"/>
    <cellStyle name="Normal 9 2 2 2 8" xfId="3495" xr:uid="{F58561E1-7D4D-413C-87B2-0D5290934946}"/>
    <cellStyle name="Normal 9 2 2 2 8 2" xfId="7774" xr:uid="{B8157D1B-3D83-433A-AB61-17146EA503FB}"/>
    <cellStyle name="Normal 9 2 2 2 9" xfId="5709" xr:uid="{9175BA6B-C869-42B4-B9BC-9DE1CF776CD4}"/>
    <cellStyle name="Normal 9 2 2 3" xfId="520" xr:uid="{00000000-0005-0000-0000-0000A6030000}"/>
    <cellStyle name="Normal 9 2 2 3 2" xfId="521" xr:uid="{00000000-0005-0000-0000-0000A7030000}"/>
    <cellStyle name="Normal 9 2 2 3 2 2" xfId="993" xr:uid="{00000000-0005-0000-0000-0000A8030000}"/>
    <cellStyle name="Normal 9 2 2 3 2 2 2" xfId="4054" xr:uid="{DB43581F-AB97-4AF6-80C5-852158066B9D}"/>
    <cellStyle name="Normal 9 2 2 3 2 2 2 2" xfId="8272" xr:uid="{95712000-31DB-464D-8640-D5D8A603E0E4}"/>
    <cellStyle name="Normal 9 2 2 3 2 2 3" xfId="6127" xr:uid="{43053DDB-C93C-4A15-AB95-BA16500BAF07}"/>
    <cellStyle name="Normal 9 2 2 3 2 2 4" xfId="1825" xr:uid="{97899C9D-16D7-44E5-BF47-1BE94D0AF0C9}"/>
    <cellStyle name="Normal 9 2 2 3 2 3" xfId="2238" xr:uid="{1364D699-6A6C-42DE-B875-2B41BB18B73C}"/>
    <cellStyle name="Normal 9 2 2 3 2 3 2" xfId="4467" xr:uid="{28E376A8-839F-4A70-B4FB-8716AB6BC963}"/>
    <cellStyle name="Normal 9 2 2 3 2 3 2 2" xfId="8685" xr:uid="{1AC4ED16-AEF2-4294-8ACD-3329EE84C367}"/>
    <cellStyle name="Normal 9 2 2 3 2 3 3" xfId="6540" xr:uid="{086409BC-0E36-4BC0-AEB0-A1426CAD20BA}"/>
    <cellStyle name="Normal 9 2 2 3 2 4" xfId="2651" xr:uid="{9180F0DD-8F3E-4956-9E7D-1C3F04EB9B3C}"/>
    <cellStyle name="Normal 9 2 2 3 2 4 2" xfId="4880" xr:uid="{4E35A969-008E-4A1C-B9F8-1A2E3B791CCE}"/>
    <cellStyle name="Normal 9 2 2 3 2 4 2 2" xfId="9098" xr:uid="{2490F539-A626-4A9E-9AAC-C8DD5540712A}"/>
    <cellStyle name="Normal 9 2 2 3 2 4 3" xfId="6953" xr:uid="{E2CB2B2D-B01A-43F6-95B3-9793C4C807DB}"/>
    <cellStyle name="Normal 9 2 2 3 2 5" xfId="3064" xr:uid="{23427890-0B60-4600-B444-7DD61E446799}"/>
    <cellStyle name="Normal 9 2 2 3 2 5 2" xfId="5293" xr:uid="{E26D3D95-F648-4304-8C6C-D1436D14DB14}"/>
    <cellStyle name="Normal 9 2 2 3 2 5 2 2" xfId="9511" xr:uid="{C7DAFB2B-B50E-4ED5-8927-984DCDBE6A8B}"/>
    <cellStyle name="Normal 9 2 2 3 2 5 3" xfId="7366" xr:uid="{2E78D7F3-C27A-454A-B415-402D5E35A454}"/>
    <cellStyle name="Normal 9 2 2 3 2 6" xfId="3500" xr:uid="{8AED61E9-CE31-4C77-87CE-FE439012A8DB}"/>
    <cellStyle name="Normal 9 2 2 3 2 6 2" xfId="7779" xr:uid="{BA31B07C-D3E1-4C82-850A-AB867250CB63}"/>
    <cellStyle name="Normal 9 2 2 3 2 7" xfId="5714" xr:uid="{ED975674-3E9C-4566-8B97-2CF67A0EA91B}"/>
    <cellStyle name="Normal 9 2 2 3 2 8" xfId="1410" xr:uid="{87D9918F-D983-4769-B9A3-7F60F9F4D4C1}"/>
    <cellStyle name="Normal 9 2 2 3 3" xfId="992" xr:uid="{00000000-0005-0000-0000-0000A9030000}"/>
    <cellStyle name="Normal 9 2 2 3 3 2" xfId="4053" xr:uid="{579794E5-B024-4EBD-AFDD-039406CB50A7}"/>
    <cellStyle name="Normal 9 2 2 3 3 2 2" xfId="8271" xr:uid="{D47540CF-4BBC-4AD8-A6B7-5410EDF76FA8}"/>
    <cellStyle name="Normal 9 2 2 3 3 3" xfId="6126" xr:uid="{E85B9F3C-372E-48D2-A87E-B4D93AA78FD9}"/>
    <cellStyle name="Normal 9 2 2 3 3 4" xfId="1824" xr:uid="{A0279261-1FA0-4E62-949A-ECDA05BF6A5B}"/>
    <cellStyle name="Normal 9 2 2 3 4" xfId="2237" xr:uid="{FEAD3C79-A7B9-42CF-B30B-FFDCBE8ECA2F}"/>
    <cellStyle name="Normal 9 2 2 3 4 2" xfId="4466" xr:uid="{4893DB95-73C4-4F8A-A41D-0537E7848FDB}"/>
    <cellStyle name="Normal 9 2 2 3 4 2 2" xfId="8684" xr:uid="{0A26244C-C1E7-48F2-B2F5-945C83124566}"/>
    <cellStyle name="Normal 9 2 2 3 4 3" xfId="6539" xr:uid="{57C5D782-7426-4A0E-AC18-87677F6774D2}"/>
    <cellStyle name="Normal 9 2 2 3 5" xfId="2650" xr:uid="{5835E56B-87D0-407E-BFC2-62D59C58AD7B}"/>
    <cellStyle name="Normal 9 2 2 3 5 2" xfId="4879" xr:uid="{0CE398E3-C854-4EC6-B9B9-C1AD31C16DB2}"/>
    <cellStyle name="Normal 9 2 2 3 5 2 2" xfId="9097" xr:uid="{7C651462-8901-4345-B7F9-60C9E04A2B5D}"/>
    <cellStyle name="Normal 9 2 2 3 5 3" xfId="6952" xr:uid="{3EC4C781-2C66-4C14-B06C-C31F4F451C4E}"/>
    <cellStyle name="Normal 9 2 2 3 6" xfId="3063" xr:uid="{540A2AA6-3B01-45CB-B1B5-9A63D7A0EC1D}"/>
    <cellStyle name="Normal 9 2 2 3 6 2" xfId="5292" xr:uid="{DCAD738F-D875-4382-8212-8D47D3E73648}"/>
    <cellStyle name="Normal 9 2 2 3 6 2 2" xfId="9510" xr:uid="{3F8CABE8-D9DA-46B8-AE4D-CC8285A4BDB4}"/>
    <cellStyle name="Normal 9 2 2 3 6 3" xfId="7365" xr:uid="{7A7A50C9-9E56-46D8-B466-1850DBE3CFE1}"/>
    <cellStyle name="Normal 9 2 2 3 7" xfId="3499" xr:uid="{B405DCA1-BFD7-44FB-9677-F5315DA51E18}"/>
    <cellStyle name="Normal 9 2 2 3 7 2" xfId="7778" xr:uid="{97748E35-E7B5-4540-B07F-0312EC0977A5}"/>
    <cellStyle name="Normal 9 2 2 3 8" xfId="5713" xr:uid="{B6C31098-3161-4695-8AC9-0AF1B06EDA2A}"/>
    <cellStyle name="Normal 9 2 2 3 9" xfId="1409" xr:uid="{CCD57209-A7E8-4E4C-B237-5203907F0DB3}"/>
    <cellStyle name="Normal 9 2 2 4" xfId="522" xr:uid="{00000000-0005-0000-0000-0000AA030000}"/>
    <cellStyle name="Normal 9 2 2 4 2" xfId="994" xr:uid="{00000000-0005-0000-0000-0000AB030000}"/>
    <cellStyle name="Normal 9 2 2 4 2 2" xfId="4055" xr:uid="{12B77170-143F-409F-A046-A6B48D2172D1}"/>
    <cellStyle name="Normal 9 2 2 4 2 2 2" xfId="8273" xr:uid="{4E9199DB-B723-48EE-8559-0A9FB064CEB5}"/>
    <cellStyle name="Normal 9 2 2 4 2 3" xfId="6128" xr:uid="{B985353C-C8C5-4C8D-8F48-0E25667451C5}"/>
    <cellStyle name="Normal 9 2 2 4 2 4" xfId="1826" xr:uid="{FBD2E11E-AFCE-49CF-B785-F37B90144E27}"/>
    <cellStyle name="Normal 9 2 2 4 3" xfId="2239" xr:uid="{DFAD6584-3F09-4F2B-9886-6EA3794F9DFF}"/>
    <cellStyle name="Normal 9 2 2 4 3 2" xfId="4468" xr:uid="{7C6D901C-4FDE-4E5D-A7C6-1E81BBD7974E}"/>
    <cellStyle name="Normal 9 2 2 4 3 2 2" xfId="8686" xr:uid="{02591F08-D2F0-41F1-BF90-45F85A6D66AB}"/>
    <cellStyle name="Normal 9 2 2 4 3 3" xfId="6541" xr:uid="{E7E19B63-C132-41DD-B8E3-CAFE8C7A64BD}"/>
    <cellStyle name="Normal 9 2 2 4 4" xfId="2652" xr:uid="{7836C334-0504-40DA-A92F-C8370390DF62}"/>
    <cellStyle name="Normal 9 2 2 4 4 2" xfId="4881" xr:uid="{547EFCB8-7360-41B4-9678-B373F971B520}"/>
    <cellStyle name="Normal 9 2 2 4 4 2 2" xfId="9099" xr:uid="{52475F60-A048-4586-9246-0CC7DD2B46D8}"/>
    <cellStyle name="Normal 9 2 2 4 4 3" xfId="6954" xr:uid="{9567A1CA-F535-4A4A-9A46-EB6715115F0C}"/>
    <cellStyle name="Normal 9 2 2 4 5" xfId="3065" xr:uid="{5329DE93-2CD3-4C27-8B3B-861479FD4844}"/>
    <cellStyle name="Normal 9 2 2 4 5 2" xfId="5294" xr:uid="{C52A760C-A1F5-4175-B321-E938FCA4C0D1}"/>
    <cellStyle name="Normal 9 2 2 4 5 2 2" xfId="9512" xr:uid="{3E7CBA9F-8BE9-4775-B7AC-2A026AA02969}"/>
    <cellStyle name="Normal 9 2 2 4 5 3" xfId="7367" xr:uid="{C29A34B6-CC36-478D-9B88-D40841DB9F48}"/>
    <cellStyle name="Normal 9 2 2 4 6" xfId="3501" xr:uid="{C99E340D-7E4D-4FB7-9858-46959BB87B53}"/>
    <cellStyle name="Normal 9 2 2 4 6 2" xfId="7780" xr:uid="{5BEADC09-8D99-420B-B34D-75C48762D122}"/>
    <cellStyle name="Normal 9 2 2 4 7" xfId="5715" xr:uid="{C49F9778-8F4E-4D33-8858-B7CFC5FB121F}"/>
    <cellStyle name="Normal 9 2 2 4 8" xfId="1411" xr:uid="{81B37F9C-9377-4C29-8B4D-D7398CE360EC}"/>
    <cellStyle name="Normal 9 2 2 5" xfId="987" xr:uid="{00000000-0005-0000-0000-0000AC030000}"/>
    <cellStyle name="Normal 9 2 2 5 2" xfId="4048" xr:uid="{855DB591-18DB-48C1-97A2-131DD64F7FAC}"/>
    <cellStyle name="Normal 9 2 2 5 2 2" xfId="8266" xr:uid="{425C5FBA-CB2D-433F-8905-B69CF3887F38}"/>
    <cellStyle name="Normal 9 2 2 5 3" xfId="6121" xr:uid="{7DDFFCC3-037E-4660-AE5E-DEC0B9E41298}"/>
    <cellStyle name="Normal 9 2 2 5 4" xfId="1819" xr:uid="{F06A0F68-CE72-4F30-A0D6-CCE18F6F62FD}"/>
    <cellStyle name="Normal 9 2 2 6" xfId="2232" xr:uid="{97879254-E05E-4C40-A0F1-BF39ABA0B316}"/>
    <cellStyle name="Normal 9 2 2 6 2" xfId="4461" xr:uid="{04F1B0A7-7724-4721-9F8D-82ED56A0A646}"/>
    <cellStyle name="Normal 9 2 2 6 2 2" xfId="8679" xr:uid="{282910E7-A285-40AB-9BD9-90C9A25EDF1E}"/>
    <cellStyle name="Normal 9 2 2 6 3" xfId="6534" xr:uid="{1D70462D-1786-44DE-A6E7-52878D939DDD}"/>
    <cellStyle name="Normal 9 2 2 7" xfId="2645" xr:uid="{7FAEDF71-72E0-46A4-82B1-AA8E3094EE02}"/>
    <cellStyle name="Normal 9 2 2 7 2" xfId="4874" xr:uid="{30FE2E23-8DC5-4E71-A437-157F53001917}"/>
    <cellStyle name="Normal 9 2 2 7 2 2" xfId="9092" xr:uid="{C1C81A54-0ECC-4DED-AF5F-4A1F09A77A2F}"/>
    <cellStyle name="Normal 9 2 2 7 3" xfId="6947" xr:uid="{0BD0BC0F-772E-4872-9FD8-24647E57C1A3}"/>
    <cellStyle name="Normal 9 2 2 8" xfId="3058" xr:uid="{D83F4050-1222-4B7F-AF37-85DC1BC88713}"/>
    <cellStyle name="Normal 9 2 2 8 2" xfId="5287" xr:uid="{4E8977A0-4235-42DB-BCFA-81185A635C12}"/>
    <cellStyle name="Normal 9 2 2 8 2 2" xfId="9505" xr:uid="{FBECC9CC-500D-4FB6-9BC9-C4D11DEE2935}"/>
    <cellStyle name="Normal 9 2 2 8 3" xfId="7360" xr:uid="{17877727-D255-497E-9161-C4392FC7F34D}"/>
    <cellStyle name="Normal 9 2 2 9" xfId="3494" xr:uid="{A7B5F053-E2D8-4B95-B915-1D92CA1638F9}"/>
    <cellStyle name="Normal 9 2 2 9 2" xfId="7773" xr:uid="{F37CDC71-0728-4557-8EE6-F58AD2B42BF4}"/>
    <cellStyle name="Normal 9 2 3" xfId="523" xr:uid="{00000000-0005-0000-0000-0000AD030000}"/>
    <cellStyle name="Normal 9 2 3 10" xfId="1412" xr:uid="{FCF41B72-0BCE-4379-88BF-AD6A188A022E}"/>
    <cellStyle name="Normal 9 2 3 2" xfId="524" xr:uid="{00000000-0005-0000-0000-0000AE030000}"/>
    <cellStyle name="Normal 9 2 3 2 2" xfId="525" xr:uid="{00000000-0005-0000-0000-0000AF030000}"/>
    <cellStyle name="Normal 9 2 3 2 2 2" xfId="997" xr:uid="{00000000-0005-0000-0000-0000B0030000}"/>
    <cellStyle name="Normal 9 2 3 2 2 2 2" xfId="4058" xr:uid="{6FD13A94-6D76-4941-934D-AC2F95AB2BC1}"/>
    <cellStyle name="Normal 9 2 3 2 2 2 2 2" xfId="8276" xr:uid="{617ADD16-8984-4AC7-87BD-31C6C46F255A}"/>
    <cellStyle name="Normal 9 2 3 2 2 2 3" xfId="6131" xr:uid="{5DF87745-65EB-45AD-BD64-B81F90A3D198}"/>
    <cellStyle name="Normal 9 2 3 2 2 2 4" xfId="1829" xr:uid="{1C448213-5BF5-4B6A-865F-53AFC1E086BB}"/>
    <cellStyle name="Normal 9 2 3 2 2 3" xfId="2242" xr:uid="{E39AA886-ECCE-49D1-87FF-74C3DD5F8617}"/>
    <cellStyle name="Normal 9 2 3 2 2 3 2" xfId="4471" xr:uid="{A798E150-5CF2-4F76-9204-87E5B689D933}"/>
    <cellStyle name="Normal 9 2 3 2 2 3 2 2" xfId="8689" xr:uid="{3312A813-0DE5-4C06-BA82-F70FBF3A514F}"/>
    <cellStyle name="Normal 9 2 3 2 2 3 3" xfId="6544" xr:uid="{4AAB5C9A-F721-4F9C-A647-EFFAD45DC430}"/>
    <cellStyle name="Normal 9 2 3 2 2 4" xfId="2655" xr:uid="{128E52D8-1032-455E-98AF-7DD478BB5F36}"/>
    <cellStyle name="Normal 9 2 3 2 2 4 2" xfId="4884" xr:uid="{A2D6F059-D88A-46AF-8C53-09A8237109DD}"/>
    <cellStyle name="Normal 9 2 3 2 2 4 2 2" xfId="9102" xr:uid="{795200B1-4B81-4CD1-BC10-3D993DC6638A}"/>
    <cellStyle name="Normal 9 2 3 2 2 4 3" xfId="6957" xr:uid="{F0799659-83E1-4372-AFE9-FC5DF86FF6C0}"/>
    <cellStyle name="Normal 9 2 3 2 2 5" xfId="3068" xr:uid="{EAAC83A5-D2AE-43EF-AFF6-477917F77D15}"/>
    <cellStyle name="Normal 9 2 3 2 2 5 2" xfId="5297" xr:uid="{BBA7A7DB-8CC5-48D8-A3BC-84D4BEE53BE0}"/>
    <cellStyle name="Normal 9 2 3 2 2 5 2 2" xfId="9515" xr:uid="{CF094E95-B021-4D78-9626-8A621BBDBDCE}"/>
    <cellStyle name="Normal 9 2 3 2 2 5 3" xfId="7370" xr:uid="{F716DF28-7D9A-465E-9ECF-01F3530F7030}"/>
    <cellStyle name="Normal 9 2 3 2 2 6" xfId="3504" xr:uid="{52EC8538-481F-4CB4-8860-C55CCCFB5329}"/>
    <cellStyle name="Normal 9 2 3 2 2 6 2" xfId="7783" xr:uid="{E6C992A0-81E5-4D87-9122-8DBED69E55C9}"/>
    <cellStyle name="Normal 9 2 3 2 2 7" xfId="5718" xr:uid="{12D8A5B9-6915-4D22-BE35-F134B0D03AE9}"/>
    <cellStyle name="Normal 9 2 3 2 2 8" xfId="1414" xr:uid="{BE1CD958-9A67-4671-9DC3-26A8FF93243B}"/>
    <cellStyle name="Normal 9 2 3 2 3" xfId="996" xr:uid="{00000000-0005-0000-0000-0000B1030000}"/>
    <cellStyle name="Normal 9 2 3 2 3 2" xfId="4057" xr:uid="{00CEF0A7-23AA-4715-941E-7717B7BE6C52}"/>
    <cellStyle name="Normal 9 2 3 2 3 2 2" xfId="8275" xr:uid="{9BD25372-6FA9-4CB0-99D5-6FB025CD5C90}"/>
    <cellStyle name="Normal 9 2 3 2 3 3" xfId="6130" xr:uid="{7C928C44-7B1A-423C-BB3A-4DE9DF8D234E}"/>
    <cellStyle name="Normal 9 2 3 2 3 4" xfId="1828" xr:uid="{6BDB3A78-5204-4146-892B-DC12CACFFD0D}"/>
    <cellStyle name="Normal 9 2 3 2 4" xfId="2241" xr:uid="{5527E284-433B-4EAE-BE62-2E32110F4D29}"/>
    <cellStyle name="Normal 9 2 3 2 4 2" xfId="4470" xr:uid="{11418938-0093-456D-9917-382CED9DE5E0}"/>
    <cellStyle name="Normal 9 2 3 2 4 2 2" xfId="8688" xr:uid="{59625406-B18F-4A50-8750-87B862A5F49A}"/>
    <cellStyle name="Normal 9 2 3 2 4 3" xfId="6543" xr:uid="{809CAD59-9B98-45A8-84FD-47833B7DB154}"/>
    <cellStyle name="Normal 9 2 3 2 5" xfId="2654" xr:uid="{26FB5AB9-18CE-439D-90B6-D8B6169C5097}"/>
    <cellStyle name="Normal 9 2 3 2 5 2" xfId="4883" xr:uid="{471643BC-A2E6-4D99-85E7-0A5600AAEB28}"/>
    <cellStyle name="Normal 9 2 3 2 5 2 2" xfId="9101" xr:uid="{1810626D-086A-4CE6-B53B-50316EE2449C}"/>
    <cellStyle name="Normal 9 2 3 2 5 3" xfId="6956" xr:uid="{FAE37686-0809-47BD-AE20-B2F2CED6F384}"/>
    <cellStyle name="Normal 9 2 3 2 6" xfId="3067" xr:uid="{044F4296-2A41-4174-AFEA-1BB124A5D969}"/>
    <cellStyle name="Normal 9 2 3 2 6 2" xfId="5296" xr:uid="{37A2980E-C3D5-4995-9C4D-621EAF5FC5DF}"/>
    <cellStyle name="Normal 9 2 3 2 6 2 2" xfId="9514" xr:uid="{F8F18A4E-6DF2-455B-8A5A-8AD07F6C2CB2}"/>
    <cellStyle name="Normal 9 2 3 2 6 3" xfId="7369" xr:uid="{557191BC-331C-4B96-9E04-C28DC9C44324}"/>
    <cellStyle name="Normal 9 2 3 2 7" xfId="3503" xr:uid="{65CC6882-3D74-4BE0-81F9-E62A109C11F5}"/>
    <cellStyle name="Normal 9 2 3 2 7 2" xfId="7782" xr:uid="{82DB49BB-EC48-4FE3-898E-DD58ECDD1150}"/>
    <cellStyle name="Normal 9 2 3 2 8" xfId="5717" xr:uid="{D13E2E19-C734-483B-BD80-D3C73184BB3E}"/>
    <cellStyle name="Normal 9 2 3 2 9" xfId="1413" xr:uid="{DDD06ABD-F59A-413D-8A23-6C14CAAC02D9}"/>
    <cellStyle name="Normal 9 2 3 3" xfId="526" xr:uid="{00000000-0005-0000-0000-0000B2030000}"/>
    <cellStyle name="Normal 9 2 3 3 2" xfId="998" xr:uid="{00000000-0005-0000-0000-0000B3030000}"/>
    <cellStyle name="Normal 9 2 3 3 2 2" xfId="4059" xr:uid="{22D00EF9-4D4F-46D4-AB22-0962EC8561FB}"/>
    <cellStyle name="Normal 9 2 3 3 2 2 2" xfId="8277" xr:uid="{90E2D610-1E0B-4B7F-952D-973EE9EB1731}"/>
    <cellStyle name="Normal 9 2 3 3 2 3" xfId="6132" xr:uid="{4268CECB-D13F-482B-8AFA-9A77D6E752B8}"/>
    <cellStyle name="Normal 9 2 3 3 2 4" xfId="1830" xr:uid="{882CB98B-88D2-40A1-AC7B-B5054BB8BBC3}"/>
    <cellStyle name="Normal 9 2 3 3 3" xfId="2243" xr:uid="{53827A71-31FE-4696-82D1-2D28919D3041}"/>
    <cellStyle name="Normal 9 2 3 3 3 2" xfId="4472" xr:uid="{BA7FEE05-45F1-4AD8-A310-0A2386346EBF}"/>
    <cellStyle name="Normal 9 2 3 3 3 2 2" xfId="8690" xr:uid="{7DDF5964-AA2A-49CD-84EC-FC7679753C86}"/>
    <cellStyle name="Normal 9 2 3 3 3 3" xfId="6545" xr:uid="{8B9B76B2-F8F7-402A-A475-598F59AA1AF6}"/>
    <cellStyle name="Normal 9 2 3 3 4" xfId="2656" xr:uid="{6A40F7AC-4537-43F0-96DE-A022C218857B}"/>
    <cellStyle name="Normal 9 2 3 3 4 2" xfId="4885" xr:uid="{EEE2832D-A503-42EC-9DD1-F10473C00F46}"/>
    <cellStyle name="Normal 9 2 3 3 4 2 2" xfId="9103" xr:uid="{D1ABFDF9-0EC6-4B66-B321-E6C648140D84}"/>
    <cellStyle name="Normal 9 2 3 3 4 3" xfId="6958" xr:uid="{61D0CE0D-1E57-404C-8BE0-CAEEAB085B61}"/>
    <cellStyle name="Normal 9 2 3 3 5" xfId="3069" xr:uid="{9DD8F51D-AAA6-4D9F-8A4B-B44D6246C451}"/>
    <cellStyle name="Normal 9 2 3 3 5 2" xfId="5298" xr:uid="{738E103C-1723-4EA7-8849-798217DD6B93}"/>
    <cellStyle name="Normal 9 2 3 3 5 2 2" xfId="9516" xr:uid="{4A4CA748-18A6-4449-B8DD-7140484C89B8}"/>
    <cellStyle name="Normal 9 2 3 3 5 3" xfId="7371" xr:uid="{BF9EB0AD-3BB8-4322-BBF5-3DD1F49E34A9}"/>
    <cellStyle name="Normal 9 2 3 3 6" xfId="3505" xr:uid="{0024A269-85CC-47E1-8C4C-77E53EA0F404}"/>
    <cellStyle name="Normal 9 2 3 3 6 2" xfId="7784" xr:uid="{2794CBCB-2A4F-4B33-8575-7CF6C4639A4D}"/>
    <cellStyle name="Normal 9 2 3 3 7" xfId="5719" xr:uid="{621CB3EC-1CD6-49A6-9A80-D2131B3DE117}"/>
    <cellStyle name="Normal 9 2 3 3 8" xfId="1415" xr:uid="{7BDDB5D7-FB7F-4111-9273-96C7D98DDF92}"/>
    <cellStyle name="Normal 9 2 3 4" xfId="995" xr:uid="{00000000-0005-0000-0000-0000B4030000}"/>
    <cellStyle name="Normal 9 2 3 4 2" xfId="4056" xr:uid="{B4A1AF47-639B-4BE7-84FD-58EC999462F3}"/>
    <cellStyle name="Normal 9 2 3 4 2 2" xfId="8274" xr:uid="{5E6ACA20-7716-4EE3-B000-4F0C9E0CB399}"/>
    <cellStyle name="Normal 9 2 3 4 3" xfId="6129" xr:uid="{CEB904A4-EC83-4F2A-85A9-05AAF1555023}"/>
    <cellStyle name="Normal 9 2 3 4 4" xfId="1827" xr:uid="{D3703069-BE6B-4EA2-BC9E-910805ACFD5A}"/>
    <cellStyle name="Normal 9 2 3 5" xfId="2240" xr:uid="{A860AD05-A04D-4098-8C6C-2FAC95849C34}"/>
    <cellStyle name="Normal 9 2 3 5 2" xfId="4469" xr:uid="{1C15CE72-50BC-45E4-8FB4-3D8594B30EFA}"/>
    <cellStyle name="Normal 9 2 3 5 2 2" xfId="8687" xr:uid="{C48A0D18-C517-42F6-A656-07767EEE78FC}"/>
    <cellStyle name="Normal 9 2 3 5 3" xfId="6542" xr:uid="{6E712182-5D33-4BC8-B8F7-27F15260889A}"/>
    <cellStyle name="Normal 9 2 3 6" xfId="2653" xr:uid="{506C4858-7B1B-459B-9D48-4089B0167C0A}"/>
    <cellStyle name="Normal 9 2 3 6 2" xfId="4882" xr:uid="{98B5B3C3-18EB-4DE5-AC44-CAF87F4AB858}"/>
    <cellStyle name="Normal 9 2 3 6 2 2" xfId="9100" xr:uid="{7CAF9DA9-F39F-4612-8B1B-C72C2C7DBB8C}"/>
    <cellStyle name="Normal 9 2 3 6 3" xfId="6955" xr:uid="{F7BAA188-0DE0-47D4-A69C-EFA1B2B02236}"/>
    <cellStyle name="Normal 9 2 3 7" xfId="3066" xr:uid="{75A44D9C-D1B8-401D-BB5C-624BBECE2AC6}"/>
    <cellStyle name="Normal 9 2 3 7 2" xfId="5295" xr:uid="{78DF64E7-95E8-4E28-AF9A-99EF2D286F89}"/>
    <cellStyle name="Normal 9 2 3 7 2 2" xfId="9513" xr:uid="{C397F345-A823-4CB9-810D-6574901A5160}"/>
    <cellStyle name="Normal 9 2 3 7 3" xfId="7368" xr:uid="{D2147972-43ED-4D00-B42F-BD2D6A866659}"/>
    <cellStyle name="Normal 9 2 3 8" xfId="3502" xr:uid="{4337872F-9A3D-424E-A1B6-818D10998C71}"/>
    <cellStyle name="Normal 9 2 3 8 2" xfId="7781" xr:uid="{F5573F51-710B-4F7F-8553-0FBA2576F7F7}"/>
    <cellStyle name="Normal 9 2 3 9" xfId="5716" xr:uid="{FA3B2FDF-5603-43A0-91A7-E8E88340A59D}"/>
    <cellStyle name="Normal 9 2 4" xfId="527" xr:uid="{00000000-0005-0000-0000-0000B5030000}"/>
    <cellStyle name="Normal 9 2 4 2" xfId="528" xr:uid="{00000000-0005-0000-0000-0000B6030000}"/>
    <cellStyle name="Normal 9 2 4 2 2" xfId="1000" xr:uid="{00000000-0005-0000-0000-0000B7030000}"/>
    <cellStyle name="Normal 9 2 4 2 2 2" xfId="4061" xr:uid="{F2BFC3F7-9EAB-4BCF-AB48-4EF3CB7C131D}"/>
    <cellStyle name="Normal 9 2 4 2 2 2 2" xfId="8279" xr:uid="{AD564D5A-720C-4ED3-AE5A-32902F03A30D}"/>
    <cellStyle name="Normal 9 2 4 2 2 3" xfId="6134" xr:uid="{51F078E2-64F5-4C62-937B-652E07D089F8}"/>
    <cellStyle name="Normal 9 2 4 2 2 4" xfId="1832" xr:uid="{64330CB7-F1EB-4460-AFC9-A83F52FD4AD1}"/>
    <cellStyle name="Normal 9 2 4 2 3" xfId="2245" xr:uid="{C1189D53-9389-4B6F-852B-41BA9924DD28}"/>
    <cellStyle name="Normal 9 2 4 2 3 2" xfId="4474" xr:uid="{7EE97762-9EC9-4205-A636-27506041614E}"/>
    <cellStyle name="Normal 9 2 4 2 3 2 2" xfId="8692" xr:uid="{0FA17F44-1F42-4051-AEF0-B939444ECABB}"/>
    <cellStyle name="Normal 9 2 4 2 3 3" xfId="6547" xr:uid="{9AFDDDCF-1170-4795-9765-67E28D7C96F2}"/>
    <cellStyle name="Normal 9 2 4 2 4" xfId="2658" xr:uid="{5676B433-1FD4-4335-AA93-1097713C10C1}"/>
    <cellStyle name="Normal 9 2 4 2 4 2" xfId="4887" xr:uid="{6FB7F391-3A18-4180-B090-8EA2DF7C29CA}"/>
    <cellStyle name="Normal 9 2 4 2 4 2 2" xfId="9105" xr:uid="{92CA1282-59F0-47A7-B43A-FA1971FFC3F0}"/>
    <cellStyle name="Normal 9 2 4 2 4 3" xfId="6960" xr:uid="{B0D52109-E465-44E6-9462-1381C255C466}"/>
    <cellStyle name="Normal 9 2 4 2 5" xfId="3071" xr:uid="{37EDEFB0-44B5-4341-8C47-04382DC3FDAF}"/>
    <cellStyle name="Normal 9 2 4 2 5 2" xfId="5300" xr:uid="{9DFBE0FB-627D-422E-86A1-2FEABA5B26D0}"/>
    <cellStyle name="Normal 9 2 4 2 5 2 2" xfId="9518" xr:uid="{9B06B353-15EA-4D8D-8DF2-DB045E9B304C}"/>
    <cellStyle name="Normal 9 2 4 2 5 3" xfId="7373" xr:uid="{F598F980-FE98-445B-8163-3ABCB997981C}"/>
    <cellStyle name="Normal 9 2 4 2 6" xfId="3507" xr:uid="{50227520-0FFD-4C26-B678-1113110029BD}"/>
    <cellStyle name="Normal 9 2 4 2 6 2" xfId="7786" xr:uid="{F5ACC410-BBB8-425A-9FCD-E4CF67C84303}"/>
    <cellStyle name="Normal 9 2 4 2 7" xfId="5721" xr:uid="{2B337876-F9A4-4C27-BB80-24FC735BD0B2}"/>
    <cellStyle name="Normal 9 2 4 2 8" xfId="1417" xr:uid="{966883E4-F761-44D1-9114-76B1B414214E}"/>
    <cellStyle name="Normal 9 2 4 3" xfId="999" xr:uid="{00000000-0005-0000-0000-0000B8030000}"/>
    <cellStyle name="Normal 9 2 4 3 2" xfId="4060" xr:uid="{3829E104-283A-4D3E-9041-0E84E7C509BC}"/>
    <cellStyle name="Normal 9 2 4 3 2 2" xfId="8278" xr:uid="{B054CCB8-09B3-4068-BB71-BBFCC90A20D4}"/>
    <cellStyle name="Normal 9 2 4 3 3" xfId="6133" xr:uid="{1A78699F-64CA-42DC-AFBE-C103B7CD0656}"/>
    <cellStyle name="Normal 9 2 4 3 4" xfId="1831" xr:uid="{0AD620A5-BCE0-41BB-85E9-AA948F9BADEA}"/>
    <cellStyle name="Normal 9 2 4 4" xfId="2244" xr:uid="{19B968EF-9D29-4F9B-BE8C-D1C5C8621182}"/>
    <cellStyle name="Normal 9 2 4 4 2" xfId="4473" xr:uid="{8D96F4C3-50D9-4E6F-A314-9038DCAA2D27}"/>
    <cellStyle name="Normal 9 2 4 4 2 2" xfId="8691" xr:uid="{4FBDBE0F-9E0E-4AE7-85D5-0E712042D598}"/>
    <cellStyle name="Normal 9 2 4 4 3" xfId="6546" xr:uid="{F87CB1A9-0306-40CA-800C-CFAAB1A3586C}"/>
    <cellStyle name="Normal 9 2 4 5" xfId="2657" xr:uid="{8F802880-EFB8-491F-97FE-64EA865307A7}"/>
    <cellStyle name="Normal 9 2 4 5 2" xfId="4886" xr:uid="{D0EC0907-FF91-40BD-9F89-0A81CB0E5186}"/>
    <cellStyle name="Normal 9 2 4 5 2 2" xfId="9104" xr:uid="{78C2D0BA-F0B3-40D6-9F76-92CDA544A2BF}"/>
    <cellStyle name="Normal 9 2 4 5 3" xfId="6959" xr:uid="{B8886A11-953A-40C9-BF12-2ABBD70522B7}"/>
    <cellStyle name="Normal 9 2 4 6" xfId="3070" xr:uid="{C4BFEDC6-0847-4A1A-A064-F1A21908508F}"/>
    <cellStyle name="Normal 9 2 4 6 2" xfId="5299" xr:uid="{E784A877-1E46-4752-A794-5898101A1AE4}"/>
    <cellStyle name="Normal 9 2 4 6 2 2" xfId="9517" xr:uid="{653C6140-7F04-48BA-87B1-F51D318ADC4E}"/>
    <cellStyle name="Normal 9 2 4 6 3" xfId="7372" xr:uid="{1707F5AF-DEC4-438E-96BF-0AB274D15F60}"/>
    <cellStyle name="Normal 9 2 4 7" xfId="3506" xr:uid="{04CCD93A-8B55-4A3A-B2E1-986F09D6C0F9}"/>
    <cellStyle name="Normal 9 2 4 7 2" xfId="7785" xr:uid="{1A533C45-E8F2-47AE-AFB6-C0F5102426F7}"/>
    <cellStyle name="Normal 9 2 4 8" xfId="5720" xr:uid="{0576D847-C11E-4BF1-BE63-50C2DFF6F54C}"/>
    <cellStyle name="Normal 9 2 4 9" xfId="1416" xr:uid="{2940BE0E-CCF4-4B8D-B164-96E6270EA980}"/>
    <cellStyle name="Normal 9 2 5" xfId="529" xr:uid="{00000000-0005-0000-0000-0000B9030000}"/>
    <cellStyle name="Normal 9 2 5 2" xfId="1001" xr:uid="{00000000-0005-0000-0000-0000BA030000}"/>
    <cellStyle name="Normal 9 2 5 2 2" xfId="4062" xr:uid="{E8FE6B3B-0322-41D9-82C6-0720086826A4}"/>
    <cellStyle name="Normal 9 2 5 2 2 2" xfId="8280" xr:uid="{15222590-B4FD-4343-A171-C7D9572A7B01}"/>
    <cellStyle name="Normal 9 2 5 2 3" xfId="6135" xr:uid="{81C2575D-DD8F-4D21-B2C0-7EAB9C676F50}"/>
    <cellStyle name="Normal 9 2 5 2 4" xfId="1833" xr:uid="{5FF91638-31B3-49C0-9604-2003349ACA1F}"/>
    <cellStyle name="Normal 9 2 5 3" xfId="2246" xr:uid="{0C003B36-0B4A-4C4E-B629-A7E1F5275FD1}"/>
    <cellStyle name="Normal 9 2 5 3 2" xfId="4475" xr:uid="{C84531DF-A997-493B-AB21-43EC299BE888}"/>
    <cellStyle name="Normal 9 2 5 3 2 2" xfId="8693" xr:uid="{C5BFDD5A-29C8-4EC2-9EC0-62EC76A76A4D}"/>
    <cellStyle name="Normal 9 2 5 3 3" xfId="6548" xr:uid="{11ECBFE6-0A3D-4E75-9075-EDEFE800B424}"/>
    <cellStyle name="Normal 9 2 5 4" xfId="2659" xr:uid="{3D9DEC81-3097-4E5E-8563-B94DE4AF23EB}"/>
    <cellStyle name="Normal 9 2 5 4 2" xfId="4888" xr:uid="{1A87B8C8-01CF-4509-A3F9-7D3F0D4EDE0E}"/>
    <cellStyle name="Normal 9 2 5 4 2 2" xfId="9106" xr:uid="{CD339AAC-E87E-49C6-AB8A-41747FEA50B8}"/>
    <cellStyle name="Normal 9 2 5 4 3" xfId="6961" xr:uid="{85D59EBE-E35C-4281-B41D-5DCD79425FFB}"/>
    <cellStyle name="Normal 9 2 5 5" xfId="3072" xr:uid="{542050A7-B073-4586-B837-69D613A4827B}"/>
    <cellStyle name="Normal 9 2 5 5 2" xfId="5301" xr:uid="{437942E1-509F-47E3-BC1A-A035F18918D0}"/>
    <cellStyle name="Normal 9 2 5 5 2 2" xfId="9519" xr:uid="{C3DE39DC-03A4-4153-A385-35EA6638145A}"/>
    <cellStyle name="Normal 9 2 5 5 3" xfId="7374" xr:uid="{D9DC400F-65DD-4B4A-84B2-04BE2E0FDE66}"/>
    <cellStyle name="Normal 9 2 5 6" xfId="3508" xr:uid="{88537211-E71C-488D-881A-37412DBB3FD8}"/>
    <cellStyle name="Normal 9 2 5 6 2" xfId="7787" xr:uid="{C3D9D931-C5B1-447F-81EF-004FDC79B3C3}"/>
    <cellStyle name="Normal 9 2 5 7" xfId="5722" xr:uid="{FA3A75B6-7352-4665-9688-68F6EFB25571}"/>
    <cellStyle name="Normal 9 2 5 8" xfId="1418" xr:uid="{B0F9977C-3CCD-4D71-AA17-03C5D46B4C49}"/>
    <cellStyle name="Normal 9 2 6" xfId="986" xr:uid="{00000000-0005-0000-0000-0000BB030000}"/>
    <cellStyle name="Normal 9 2 6 2" xfId="4047" xr:uid="{8F1713FD-EAE1-4A05-80DF-624A7662511A}"/>
    <cellStyle name="Normal 9 2 6 2 2" xfId="8265" xr:uid="{CA3AD8D9-016B-4E01-9ABB-8F37E632BF70}"/>
    <cellStyle name="Normal 9 2 6 3" xfId="6120" xr:uid="{644FE64B-1B47-4D53-84BB-6673B958CFA9}"/>
    <cellStyle name="Normal 9 2 6 4" xfId="1818" xr:uid="{D52D5749-F003-430D-BC97-902F0CE8BDF1}"/>
    <cellStyle name="Normal 9 2 7" xfId="2231" xr:uid="{F5A0D3A7-73E1-45C6-A9EA-8B2BA42A8A91}"/>
    <cellStyle name="Normal 9 2 7 2" xfId="4460" xr:uid="{0C694221-4DF4-4720-9F12-2E624774C6DE}"/>
    <cellStyle name="Normal 9 2 7 2 2" xfId="8678" xr:uid="{8C529E19-99AC-49A0-8CE9-173527EE20E1}"/>
    <cellStyle name="Normal 9 2 7 3" xfId="6533" xr:uid="{381C5962-08D1-4CFE-8AB1-D928E90AA2A7}"/>
    <cellStyle name="Normal 9 2 8" xfId="2644" xr:uid="{D430C1C0-7E7E-453F-A477-8415020B152D}"/>
    <cellStyle name="Normal 9 2 8 2" xfId="4873" xr:uid="{8BA4F4A3-417F-405C-AE33-4270401E77B8}"/>
    <cellStyle name="Normal 9 2 8 2 2" xfId="9091" xr:uid="{ECA73E00-D776-4709-8668-48D35B2AEE11}"/>
    <cellStyle name="Normal 9 2 8 3" xfId="6946" xr:uid="{1FA2AABC-DEED-4972-BB43-4255275FC53C}"/>
    <cellStyle name="Normal 9 2 9" xfId="3057" xr:uid="{72FC5DB4-F013-4CCE-9126-9C954327E177}"/>
    <cellStyle name="Normal 9 2 9 2" xfId="5286" xr:uid="{B11619C6-47D5-44C7-9660-BDA3D1A4942B}"/>
    <cellStyle name="Normal 9 2 9 2 2" xfId="9504" xr:uid="{0A0B287F-6051-43BA-AC01-3BEDE64AF1E7}"/>
    <cellStyle name="Normal 9 2 9 3" xfId="7359" xr:uid="{2979750D-7F61-4982-A49C-BEA42500C413}"/>
    <cellStyle name="Normal 9 3" xfId="530" xr:uid="{00000000-0005-0000-0000-0000BC030000}"/>
    <cellStyle name="Normal 9 3 10" xfId="5723" xr:uid="{8630DD94-19A7-4EC3-9B01-29EF31D1143A}"/>
    <cellStyle name="Normal 9 3 11" xfId="1419" xr:uid="{65B68550-38DA-4D10-ADE8-7D1104A969FE}"/>
    <cellStyle name="Normal 9 3 2" xfId="531" xr:uid="{00000000-0005-0000-0000-0000BD030000}"/>
    <cellStyle name="Normal 9 3 2 10" xfId="1420" xr:uid="{7F20AA19-A52E-43B4-AF7B-AB18DB158B8B}"/>
    <cellStyle name="Normal 9 3 2 2" xfId="532" xr:uid="{00000000-0005-0000-0000-0000BE030000}"/>
    <cellStyle name="Normal 9 3 2 2 2" xfId="533" xr:uid="{00000000-0005-0000-0000-0000BF030000}"/>
    <cellStyle name="Normal 9 3 2 2 2 2" xfId="1005" xr:uid="{00000000-0005-0000-0000-0000C0030000}"/>
    <cellStyle name="Normal 9 3 2 2 2 2 2" xfId="4066" xr:uid="{E3408233-97D5-4C54-A421-B1E2E7065ED8}"/>
    <cellStyle name="Normal 9 3 2 2 2 2 2 2" xfId="8284" xr:uid="{167E5F1A-447B-48B4-9257-16B823902615}"/>
    <cellStyle name="Normal 9 3 2 2 2 2 3" xfId="6139" xr:uid="{3B8EB543-D2BD-4BC3-9EA4-C29649D8AAD3}"/>
    <cellStyle name="Normal 9 3 2 2 2 2 4" xfId="1837" xr:uid="{FB757D35-DE4F-4DB9-8C81-8C59AD0BEBD1}"/>
    <cellStyle name="Normal 9 3 2 2 2 3" xfId="2250" xr:uid="{2422B366-B624-4C36-9792-D503D0D4BE67}"/>
    <cellStyle name="Normal 9 3 2 2 2 3 2" xfId="4479" xr:uid="{422646EA-8F01-4DD1-A1FE-CD9E410F58B0}"/>
    <cellStyle name="Normal 9 3 2 2 2 3 2 2" xfId="8697" xr:uid="{89A38CAF-7705-4AB8-B970-A10BF60F8A3F}"/>
    <cellStyle name="Normal 9 3 2 2 2 3 3" xfId="6552" xr:uid="{641C9657-C409-438A-9BEC-EFB7A390C119}"/>
    <cellStyle name="Normal 9 3 2 2 2 4" xfId="2663" xr:uid="{0BF0C392-64F5-45AA-888E-BE429F237119}"/>
    <cellStyle name="Normal 9 3 2 2 2 4 2" xfId="4892" xr:uid="{BA95D5C3-95D9-4F24-916F-6E1A8A548B8D}"/>
    <cellStyle name="Normal 9 3 2 2 2 4 2 2" xfId="9110" xr:uid="{0F0E16F1-1791-45F1-973E-16587E17EB8F}"/>
    <cellStyle name="Normal 9 3 2 2 2 4 3" xfId="6965" xr:uid="{B8D2F262-509D-406A-B2BF-F7DBD2153981}"/>
    <cellStyle name="Normal 9 3 2 2 2 5" xfId="3076" xr:uid="{DE75AF0A-53BE-4586-9B11-941B53AF81C2}"/>
    <cellStyle name="Normal 9 3 2 2 2 5 2" xfId="5305" xr:uid="{964A7A59-69AE-4709-97D2-7BB0F0973E07}"/>
    <cellStyle name="Normal 9 3 2 2 2 5 2 2" xfId="9523" xr:uid="{FE83C962-A937-4669-8875-4223DE0FE536}"/>
    <cellStyle name="Normal 9 3 2 2 2 5 3" xfId="7378" xr:uid="{8F80AC0A-954D-4E3E-A6B2-E571340E1C28}"/>
    <cellStyle name="Normal 9 3 2 2 2 6" xfId="3512" xr:uid="{BEE420A3-17DA-4D16-BD9E-77C0F0EBD700}"/>
    <cellStyle name="Normal 9 3 2 2 2 6 2" xfId="7791" xr:uid="{4FCDF2AE-E446-4150-AD10-683E4BC04176}"/>
    <cellStyle name="Normal 9 3 2 2 2 7" xfId="5726" xr:uid="{29B6AD71-77E7-4159-84BD-AE8D119F2546}"/>
    <cellStyle name="Normal 9 3 2 2 2 8" xfId="1422" xr:uid="{A7BD8917-E127-4D9E-9186-D80F9B540FB9}"/>
    <cellStyle name="Normal 9 3 2 2 3" xfId="1004" xr:uid="{00000000-0005-0000-0000-0000C1030000}"/>
    <cellStyle name="Normal 9 3 2 2 3 2" xfId="4065" xr:uid="{8FC9E260-F568-47AE-BCCB-D02F79FF4E35}"/>
    <cellStyle name="Normal 9 3 2 2 3 2 2" xfId="8283" xr:uid="{EA109AC9-CC61-4345-A3E7-C1D1A3C65ED2}"/>
    <cellStyle name="Normal 9 3 2 2 3 3" xfId="6138" xr:uid="{E6A87E0F-9336-42E0-8C5C-856B2156DE4F}"/>
    <cellStyle name="Normal 9 3 2 2 3 4" xfId="1836" xr:uid="{87104575-B851-45A0-8CF6-DF0D0E456E0F}"/>
    <cellStyle name="Normal 9 3 2 2 4" xfId="2249" xr:uid="{6AADB085-6A3C-4F3D-BA19-82349C6CD6AB}"/>
    <cellStyle name="Normal 9 3 2 2 4 2" xfId="4478" xr:uid="{69CE2C1B-3D61-46FA-89F0-A85F9D4870CC}"/>
    <cellStyle name="Normal 9 3 2 2 4 2 2" xfId="8696" xr:uid="{A5C16D45-5C03-40AB-871A-A5042A5B3204}"/>
    <cellStyle name="Normal 9 3 2 2 4 3" xfId="6551" xr:uid="{28F4A10A-87A3-47D0-B6AD-A18332C36BE8}"/>
    <cellStyle name="Normal 9 3 2 2 5" xfId="2662" xr:uid="{1AEFEE7A-670E-4EA8-9B0C-0A347CC81250}"/>
    <cellStyle name="Normal 9 3 2 2 5 2" xfId="4891" xr:uid="{0530A1C1-0E7D-4077-A63B-5237BDB9FEF0}"/>
    <cellStyle name="Normal 9 3 2 2 5 2 2" xfId="9109" xr:uid="{6008B582-802C-4522-B6DF-AD19046C5DA1}"/>
    <cellStyle name="Normal 9 3 2 2 5 3" xfId="6964" xr:uid="{4BD04CBF-D604-44DB-B29C-D252EB83ACAD}"/>
    <cellStyle name="Normal 9 3 2 2 6" xfId="3075" xr:uid="{EF85CEC4-11F1-4909-B2C9-2CB81C962E4B}"/>
    <cellStyle name="Normal 9 3 2 2 6 2" xfId="5304" xr:uid="{5C8C4EE3-7765-4C56-A6A7-C2AB348FEBF1}"/>
    <cellStyle name="Normal 9 3 2 2 6 2 2" xfId="9522" xr:uid="{DE1F3861-6A7E-4525-8912-0D1CAAEE0F25}"/>
    <cellStyle name="Normal 9 3 2 2 6 3" xfId="7377" xr:uid="{0B73A842-A2BD-4DA2-A892-7EE3862C13AA}"/>
    <cellStyle name="Normal 9 3 2 2 7" xfId="3511" xr:uid="{D01FB27F-FE51-4A78-B980-9B6770273588}"/>
    <cellStyle name="Normal 9 3 2 2 7 2" xfId="7790" xr:uid="{20DE8406-D901-4723-9DAC-925753810EC1}"/>
    <cellStyle name="Normal 9 3 2 2 8" xfId="5725" xr:uid="{04D72665-9CAA-4223-AF63-9EC26D2D6F12}"/>
    <cellStyle name="Normal 9 3 2 2 9" xfId="1421" xr:uid="{2E3B7E3B-FB64-49C5-B20A-4865174D9DAD}"/>
    <cellStyle name="Normal 9 3 2 3" xfId="534" xr:uid="{00000000-0005-0000-0000-0000C2030000}"/>
    <cellStyle name="Normal 9 3 2 3 2" xfId="1006" xr:uid="{00000000-0005-0000-0000-0000C3030000}"/>
    <cellStyle name="Normal 9 3 2 3 2 2" xfId="4067" xr:uid="{678D11EA-E40B-4661-A7A8-83D8E386B570}"/>
    <cellStyle name="Normal 9 3 2 3 2 2 2" xfId="8285" xr:uid="{EBA09A10-2779-4DB8-BF9D-AEC3EA80FD7F}"/>
    <cellStyle name="Normal 9 3 2 3 2 3" xfId="6140" xr:uid="{DD82FBAF-6EFA-4DF3-BBCE-C839368C2E42}"/>
    <cellStyle name="Normal 9 3 2 3 2 4" xfId="1838" xr:uid="{D642658C-D79B-4FEA-B8C4-BCBB6A2EA168}"/>
    <cellStyle name="Normal 9 3 2 3 3" xfId="2251" xr:uid="{5F75EF92-F172-4C4E-A9B6-60CB78C1222B}"/>
    <cellStyle name="Normal 9 3 2 3 3 2" xfId="4480" xr:uid="{E6980D40-081E-40D5-8A5D-E3CC74F34C2B}"/>
    <cellStyle name="Normal 9 3 2 3 3 2 2" xfId="8698" xr:uid="{7F2BDB98-9BA5-42FF-BF4B-771B1DD45324}"/>
    <cellStyle name="Normal 9 3 2 3 3 3" xfId="6553" xr:uid="{A2FAE6B8-AF14-4B70-9E80-3EB3687C73F3}"/>
    <cellStyle name="Normal 9 3 2 3 4" xfId="2664" xr:uid="{D1156301-041E-4CF8-AA33-D1871A4115B7}"/>
    <cellStyle name="Normal 9 3 2 3 4 2" xfId="4893" xr:uid="{3DC7A8A2-12CF-4C2E-9658-FEEC1A3F8902}"/>
    <cellStyle name="Normal 9 3 2 3 4 2 2" xfId="9111" xr:uid="{37439353-1830-4191-BD5E-92CBF4E64636}"/>
    <cellStyle name="Normal 9 3 2 3 4 3" xfId="6966" xr:uid="{DBF14011-AF9D-40CA-9C07-3AF9714D76A9}"/>
    <cellStyle name="Normal 9 3 2 3 5" xfId="3077" xr:uid="{6DF018AD-8628-446B-8D8E-1949F7D611E1}"/>
    <cellStyle name="Normal 9 3 2 3 5 2" xfId="5306" xr:uid="{970FF824-07B5-4250-9213-856F4BD0995F}"/>
    <cellStyle name="Normal 9 3 2 3 5 2 2" xfId="9524" xr:uid="{43702BCB-EA23-4FDE-9437-28B3EBFEDDCD}"/>
    <cellStyle name="Normal 9 3 2 3 5 3" xfId="7379" xr:uid="{BD15C3EC-4066-4DC4-A625-1515A1C6CC21}"/>
    <cellStyle name="Normal 9 3 2 3 6" xfId="3513" xr:uid="{1F8B4409-8A9E-4A32-9701-DCDD8D3D05EA}"/>
    <cellStyle name="Normal 9 3 2 3 6 2" xfId="7792" xr:uid="{C288F821-B17F-429D-886C-78560430A646}"/>
    <cellStyle name="Normal 9 3 2 3 7" xfId="5727" xr:uid="{597D98ED-F548-4582-80F6-EDFEE94AD809}"/>
    <cellStyle name="Normal 9 3 2 3 8" xfId="1423" xr:uid="{1C0E0743-F334-481E-8477-710DCB64FE7B}"/>
    <cellStyle name="Normal 9 3 2 4" xfId="1003" xr:uid="{00000000-0005-0000-0000-0000C4030000}"/>
    <cellStyle name="Normal 9 3 2 4 2" xfId="4064" xr:uid="{7938D772-3EE2-4F52-A15B-C56ECCFC85AA}"/>
    <cellStyle name="Normal 9 3 2 4 2 2" xfId="8282" xr:uid="{2FE77E06-20F4-4813-A814-63588794564C}"/>
    <cellStyle name="Normal 9 3 2 4 3" xfId="6137" xr:uid="{37CACF11-700A-49E7-A22E-48BD6DFF5044}"/>
    <cellStyle name="Normal 9 3 2 4 4" xfId="1835" xr:uid="{2EE4C0E4-039F-4852-A5EA-6737C4F104D8}"/>
    <cellStyle name="Normal 9 3 2 5" xfId="2248" xr:uid="{7AE897F4-9E37-427B-B7BE-6885E00A9609}"/>
    <cellStyle name="Normal 9 3 2 5 2" xfId="4477" xr:uid="{FC5CCB8E-94D2-46A9-9C75-68439A16C0FD}"/>
    <cellStyle name="Normal 9 3 2 5 2 2" xfId="8695" xr:uid="{76311459-67DE-46B5-B364-6F7D77F96505}"/>
    <cellStyle name="Normal 9 3 2 5 3" xfId="6550" xr:uid="{0F774221-5070-4049-BE02-72E3CA115CD4}"/>
    <cellStyle name="Normal 9 3 2 6" xfId="2661" xr:uid="{C51DEECA-9899-41AA-8708-263816DF9563}"/>
    <cellStyle name="Normal 9 3 2 6 2" xfId="4890" xr:uid="{FE29F888-5629-471A-9E04-D0A4D2803830}"/>
    <cellStyle name="Normal 9 3 2 6 2 2" xfId="9108" xr:uid="{21BBE418-486A-4BCC-9EA1-00051B5C1B3F}"/>
    <cellStyle name="Normal 9 3 2 6 3" xfId="6963" xr:uid="{2EEE48E4-C003-4B1B-991F-290DFD79E0BD}"/>
    <cellStyle name="Normal 9 3 2 7" xfId="3074" xr:uid="{A74216EE-7D68-4553-ACF9-10B93526C3FF}"/>
    <cellStyle name="Normal 9 3 2 7 2" xfId="5303" xr:uid="{9637C88D-563C-45CC-A905-EED13D0C5534}"/>
    <cellStyle name="Normal 9 3 2 7 2 2" xfId="9521" xr:uid="{13E9AE3F-2911-43CD-890F-80DD87A581A0}"/>
    <cellStyle name="Normal 9 3 2 7 3" xfId="7376" xr:uid="{D979B785-D0CD-4D73-B22D-D3CC193D7820}"/>
    <cellStyle name="Normal 9 3 2 8" xfId="3510" xr:uid="{09C13B27-76C0-48B8-ABF9-FA27B5737A7D}"/>
    <cellStyle name="Normal 9 3 2 8 2" xfId="7789" xr:uid="{F195158D-8CEF-49CB-A0FF-69610303E87E}"/>
    <cellStyle name="Normal 9 3 2 9" xfId="5724" xr:uid="{0115C0C2-F964-4AA9-AA2D-E9D868CD07C8}"/>
    <cellStyle name="Normal 9 3 3" xfId="535" xr:uid="{00000000-0005-0000-0000-0000C5030000}"/>
    <cellStyle name="Normal 9 3 3 2" xfId="536" xr:uid="{00000000-0005-0000-0000-0000C6030000}"/>
    <cellStyle name="Normal 9 3 3 2 2" xfId="1008" xr:uid="{00000000-0005-0000-0000-0000C7030000}"/>
    <cellStyle name="Normal 9 3 3 2 2 2" xfId="4069" xr:uid="{BE28708F-32A7-4AF0-B745-2D8A400655DE}"/>
    <cellStyle name="Normal 9 3 3 2 2 2 2" xfId="8287" xr:uid="{465F7E52-723E-4582-86B5-3E854177B8AC}"/>
    <cellStyle name="Normal 9 3 3 2 2 3" xfId="6142" xr:uid="{FCD9BBAD-B27C-4059-BE40-1660655E711E}"/>
    <cellStyle name="Normal 9 3 3 2 2 4" xfId="1840" xr:uid="{BEDA8A75-900F-4A3E-8F8C-97232DF9ED89}"/>
    <cellStyle name="Normal 9 3 3 2 3" xfId="2253" xr:uid="{F3A855EF-795B-4A77-ACF0-B25A8B5E7204}"/>
    <cellStyle name="Normal 9 3 3 2 3 2" xfId="4482" xr:uid="{6E377617-AEA8-40F5-B08A-DAC24494E905}"/>
    <cellStyle name="Normal 9 3 3 2 3 2 2" xfId="8700" xr:uid="{28BECFF3-B8EB-4528-9ACE-63A0DC31585E}"/>
    <cellStyle name="Normal 9 3 3 2 3 3" xfId="6555" xr:uid="{786D8C4D-530E-4CFD-9D7D-E3EDC7CCC6CE}"/>
    <cellStyle name="Normal 9 3 3 2 4" xfId="2666" xr:uid="{F37A1659-9050-4EC7-B226-3C7B2C1AAF68}"/>
    <cellStyle name="Normal 9 3 3 2 4 2" xfId="4895" xr:uid="{0CD18101-F3D6-44FB-BAA9-140F9ABCD629}"/>
    <cellStyle name="Normal 9 3 3 2 4 2 2" xfId="9113" xr:uid="{1EBB05C9-A4A2-4FDC-8877-6D1270571B37}"/>
    <cellStyle name="Normal 9 3 3 2 4 3" xfId="6968" xr:uid="{3D43839F-DBF3-4F3A-92F9-58F277CEE67C}"/>
    <cellStyle name="Normal 9 3 3 2 5" xfId="3079" xr:uid="{86E21489-1DD3-4629-949C-DDE543333BDC}"/>
    <cellStyle name="Normal 9 3 3 2 5 2" xfId="5308" xr:uid="{7B8C7A66-6CE5-4385-B31A-FA6A4FF7E5B6}"/>
    <cellStyle name="Normal 9 3 3 2 5 2 2" xfId="9526" xr:uid="{34E482E4-5FD7-4BD5-B1F3-D40C1E36E7F9}"/>
    <cellStyle name="Normal 9 3 3 2 5 3" xfId="7381" xr:uid="{DC74EE46-AB5F-47E7-9AF9-F4BBBF95BA01}"/>
    <cellStyle name="Normal 9 3 3 2 6" xfId="3515" xr:uid="{C75ADACE-174D-4D9A-873A-7246F55237BC}"/>
    <cellStyle name="Normal 9 3 3 2 6 2" xfId="7794" xr:uid="{E472B58A-C7A9-47A0-AF73-261D3AEC6953}"/>
    <cellStyle name="Normal 9 3 3 2 7" xfId="5729" xr:uid="{10B35CB9-27A9-417D-8284-595F6AE52DB1}"/>
    <cellStyle name="Normal 9 3 3 2 8" xfId="1425" xr:uid="{73991CFF-9C5C-4391-8BA0-9058ACC15643}"/>
    <cellStyle name="Normal 9 3 3 3" xfId="1007" xr:uid="{00000000-0005-0000-0000-0000C8030000}"/>
    <cellStyle name="Normal 9 3 3 3 2" xfId="4068" xr:uid="{4E03E374-29F1-4BB2-815C-D03F228BB971}"/>
    <cellStyle name="Normal 9 3 3 3 2 2" xfId="8286" xr:uid="{F79ABFDD-97D9-4308-8298-8B0EA982557F}"/>
    <cellStyle name="Normal 9 3 3 3 3" xfId="6141" xr:uid="{301D913F-441F-4357-9946-18DEFC549E22}"/>
    <cellStyle name="Normal 9 3 3 3 4" xfId="1839" xr:uid="{0563EF6D-C8AA-407D-9500-1AECA4DB9DD9}"/>
    <cellStyle name="Normal 9 3 3 4" xfId="2252" xr:uid="{5C939C6D-4342-494D-8535-4E354E9D2853}"/>
    <cellStyle name="Normal 9 3 3 4 2" xfId="4481" xr:uid="{86AD6945-36A0-4695-8FB7-159DE3E49C38}"/>
    <cellStyle name="Normal 9 3 3 4 2 2" xfId="8699" xr:uid="{BC0041DA-9165-471B-8982-FA5476EEDF9D}"/>
    <cellStyle name="Normal 9 3 3 4 3" xfId="6554" xr:uid="{C4979707-FBE3-421A-8C6A-4F99B55E5334}"/>
    <cellStyle name="Normal 9 3 3 5" xfId="2665" xr:uid="{57D11197-1023-4856-889D-B6EBFAF54109}"/>
    <cellStyle name="Normal 9 3 3 5 2" xfId="4894" xr:uid="{3B0EE8C6-7C50-4C42-B528-C029729E8BDE}"/>
    <cellStyle name="Normal 9 3 3 5 2 2" xfId="9112" xr:uid="{84041649-FC71-48AC-8D1C-40B5695E2513}"/>
    <cellStyle name="Normal 9 3 3 5 3" xfId="6967" xr:uid="{C3B403AD-DFDA-4B3C-9542-E0C6526358FB}"/>
    <cellStyle name="Normal 9 3 3 6" xfId="3078" xr:uid="{CD357E61-03CA-4C8D-B65D-EF33CA01A661}"/>
    <cellStyle name="Normal 9 3 3 6 2" xfId="5307" xr:uid="{92171CC4-91BC-446D-BB1F-2E09EA4BB3C3}"/>
    <cellStyle name="Normal 9 3 3 6 2 2" xfId="9525" xr:uid="{37CAE6CF-D33E-4D69-B959-A7F328724A71}"/>
    <cellStyle name="Normal 9 3 3 6 3" xfId="7380" xr:uid="{995EF201-7807-49D1-817B-32ED519BDD34}"/>
    <cellStyle name="Normal 9 3 3 7" xfId="3514" xr:uid="{7D8FDC76-FBB6-4A7C-A430-72C39D673C25}"/>
    <cellStyle name="Normal 9 3 3 7 2" xfId="7793" xr:uid="{70B9EA0B-C039-4E61-8070-2EB4359B2D34}"/>
    <cellStyle name="Normal 9 3 3 8" xfId="5728" xr:uid="{39E6C07E-90D7-495F-91C7-81C8D3099F07}"/>
    <cellStyle name="Normal 9 3 3 9" xfId="1424" xr:uid="{2E0A68DE-8E8D-46FA-BF92-B2DF80B67FD9}"/>
    <cellStyle name="Normal 9 3 4" xfId="537" xr:uid="{00000000-0005-0000-0000-0000C9030000}"/>
    <cellStyle name="Normal 9 3 4 2" xfId="1009" xr:uid="{00000000-0005-0000-0000-0000CA030000}"/>
    <cellStyle name="Normal 9 3 4 2 2" xfId="4070" xr:uid="{8A3C745D-3B6B-403E-872C-140901638FE2}"/>
    <cellStyle name="Normal 9 3 4 2 2 2" xfId="8288" xr:uid="{89CF79B8-AF5E-43F5-B4BC-69889BF7D4FB}"/>
    <cellStyle name="Normal 9 3 4 2 3" xfId="6143" xr:uid="{03941596-1723-41B7-B933-C042CD9A5345}"/>
    <cellStyle name="Normal 9 3 4 2 4" xfId="1841" xr:uid="{7C9306DB-A51E-4E61-B74E-1D445FBDB9C4}"/>
    <cellStyle name="Normal 9 3 4 3" xfId="2254" xr:uid="{6353363C-B941-49E0-9592-A0FCCA2455BD}"/>
    <cellStyle name="Normal 9 3 4 3 2" xfId="4483" xr:uid="{69DF1586-C425-462F-AB8C-D47EC7D18954}"/>
    <cellStyle name="Normal 9 3 4 3 2 2" xfId="8701" xr:uid="{3A14761F-A507-49E2-8582-219FE7BF4DA3}"/>
    <cellStyle name="Normal 9 3 4 3 3" xfId="6556" xr:uid="{AD156980-4EF8-493C-873F-A36DBE622854}"/>
    <cellStyle name="Normal 9 3 4 4" xfId="2667" xr:uid="{B53F4A4B-7E53-4AF6-A506-8F362FFB2C2A}"/>
    <cellStyle name="Normal 9 3 4 4 2" xfId="4896" xr:uid="{D2FAF8D2-1936-40D8-9019-A51D78BD0AF0}"/>
    <cellStyle name="Normal 9 3 4 4 2 2" xfId="9114" xr:uid="{97C8B58D-227D-4632-972E-33920829C212}"/>
    <cellStyle name="Normal 9 3 4 4 3" xfId="6969" xr:uid="{50F4949C-7488-46D5-AE08-E60632EDFAB4}"/>
    <cellStyle name="Normal 9 3 4 5" xfId="3080" xr:uid="{11C53E59-17D1-40D8-9DA4-B654E00788D6}"/>
    <cellStyle name="Normal 9 3 4 5 2" xfId="5309" xr:uid="{25BCA846-78A3-46F2-B8AB-5540037B325D}"/>
    <cellStyle name="Normal 9 3 4 5 2 2" xfId="9527" xr:uid="{EE7ACC8B-50F6-4F6B-B09F-54736DC8D22F}"/>
    <cellStyle name="Normal 9 3 4 5 3" xfId="7382" xr:uid="{088E6AD4-0A84-4846-BFEA-455AB71C1F03}"/>
    <cellStyle name="Normal 9 3 4 6" xfId="3516" xr:uid="{1FFD55BF-AF8A-489F-9C21-FA669944C5D5}"/>
    <cellStyle name="Normal 9 3 4 6 2" xfId="7795" xr:uid="{35AC83BD-0AAF-4293-BE96-A607203461A1}"/>
    <cellStyle name="Normal 9 3 4 7" xfId="5730" xr:uid="{8790E369-A41B-4635-8333-0B0A061D3B27}"/>
    <cellStyle name="Normal 9 3 4 8" xfId="1426" xr:uid="{27DD13BC-05DF-478D-B912-94A571920E38}"/>
    <cellStyle name="Normal 9 3 5" xfId="1002" xr:uid="{00000000-0005-0000-0000-0000CB030000}"/>
    <cellStyle name="Normal 9 3 5 2" xfId="4063" xr:uid="{0EC6DEA9-F83E-4B2D-89C3-56C7E7E51704}"/>
    <cellStyle name="Normal 9 3 5 2 2" xfId="8281" xr:uid="{00900946-461A-4665-850B-9617FB758878}"/>
    <cellStyle name="Normal 9 3 5 3" xfId="6136" xr:uid="{A71C28B3-6907-40FC-8705-6D89BE79E9C7}"/>
    <cellStyle name="Normal 9 3 5 4" xfId="1834" xr:uid="{EAE15BFE-4EFB-4B61-B697-2197C85671D0}"/>
    <cellStyle name="Normal 9 3 6" xfId="2247" xr:uid="{7DB61846-5804-47A3-A0D0-2FD973EBE8D3}"/>
    <cellStyle name="Normal 9 3 6 2" xfId="4476" xr:uid="{62D0D872-9974-45D5-8862-EAEE1EFEE8F2}"/>
    <cellStyle name="Normal 9 3 6 2 2" xfId="8694" xr:uid="{93AE65CB-2C2C-44A6-8EB8-8BA87FE04242}"/>
    <cellStyle name="Normal 9 3 6 3" xfId="6549" xr:uid="{7A062247-9266-4A4E-88D4-3AAC8E671293}"/>
    <cellStyle name="Normal 9 3 7" xfId="2660" xr:uid="{A420FCE6-5C97-4EC5-ACC2-856EB5A2EF39}"/>
    <cellStyle name="Normal 9 3 7 2" xfId="4889" xr:uid="{ED13031C-3310-4CD4-8369-2DFA29EF9BEE}"/>
    <cellStyle name="Normal 9 3 7 2 2" xfId="9107" xr:uid="{52BEC5B9-232F-4CC2-BD46-F6C2BA0FE6EE}"/>
    <cellStyle name="Normal 9 3 7 3" xfId="6962" xr:uid="{5FFEE638-0DCA-47B9-995A-5D65A2718920}"/>
    <cellStyle name="Normal 9 3 8" xfId="3073" xr:uid="{A429E753-6CF2-44FA-BB53-C632A0304A93}"/>
    <cellStyle name="Normal 9 3 8 2" xfId="5302" xr:uid="{9804CB6A-56CF-464C-9C82-F319C81FC862}"/>
    <cellStyle name="Normal 9 3 8 2 2" xfId="9520" xr:uid="{60258E8C-D5EF-46EE-9611-C6688D4D29BE}"/>
    <cellStyle name="Normal 9 3 8 3" xfId="7375" xr:uid="{A6451E9B-4F51-40A9-8F4B-034BE1CB9302}"/>
    <cellStyle name="Normal 9 3 9" xfId="3509" xr:uid="{A48E5EC1-1C3A-4F14-B898-A44F9BCA13E7}"/>
    <cellStyle name="Normal 9 3 9 2" xfId="7788" xr:uid="{2D3451E4-A06E-4DAB-A8BF-528C6A981BE2}"/>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4072" xr:uid="{31CDE84E-1327-4246-84E6-2A809E88B382}"/>
    <cellStyle name="Normal 9 5 2 2 2 2" xfId="8290" xr:uid="{3809CA67-00CC-4060-9159-791FEA190DC0}"/>
    <cellStyle name="Normal 9 5 2 2 3" xfId="6145" xr:uid="{D141D5E3-5B59-4624-B304-CD95EF41779B}"/>
    <cellStyle name="Normal 9 5 2 2 4" xfId="1843" xr:uid="{A1AA6F51-48E4-4A20-830F-4FA516D97831}"/>
    <cellStyle name="Normal 9 5 2 3" xfId="2256" xr:uid="{BC1EF73E-C442-4E88-A6DD-BA700BF5134D}"/>
    <cellStyle name="Normal 9 5 2 3 2" xfId="4485" xr:uid="{EBB91D80-2D98-4308-91A9-B35986EAB41B}"/>
    <cellStyle name="Normal 9 5 2 3 2 2" xfId="8703" xr:uid="{9F2F8C13-6661-4C77-9734-C69F680B3EBA}"/>
    <cellStyle name="Normal 9 5 2 3 3" xfId="6558" xr:uid="{778BA2E4-0F00-45D5-AF0A-0AF8941513AD}"/>
    <cellStyle name="Normal 9 5 2 4" xfId="2669" xr:uid="{857E72D4-2656-47EB-BF2D-F3547DCCDB46}"/>
    <cellStyle name="Normal 9 5 2 4 2" xfId="4898" xr:uid="{BCF79425-798C-4C48-B1DA-259E18A31909}"/>
    <cellStyle name="Normal 9 5 2 4 2 2" xfId="9116" xr:uid="{9890CCBE-BB40-4AE7-BA9C-F941814F7D4A}"/>
    <cellStyle name="Normal 9 5 2 4 3" xfId="6971" xr:uid="{17DA688A-28AA-4988-934E-2D87F58CB572}"/>
    <cellStyle name="Normal 9 5 2 5" xfId="3082" xr:uid="{E349B277-AAE0-41C2-A047-E3396AF77A38}"/>
    <cellStyle name="Normal 9 5 2 5 2" xfId="5311" xr:uid="{48EA8718-5F29-4430-B55F-9A3699C4A20C}"/>
    <cellStyle name="Normal 9 5 2 5 2 2" xfId="9529" xr:uid="{2D8E27EE-F22A-461E-B5FF-58706885F2B2}"/>
    <cellStyle name="Normal 9 5 2 5 3" xfId="7384" xr:uid="{619DD60D-2977-4ED4-963D-9A85C99551D4}"/>
    <cellStyle name="Normal 9 5 2 6" xfId="3518" xr:uid="{72449856-02B9-4A44-B48A-D47B3C272C2C}"/>
    <cellStyle name="Normal 9 5 2 6 2" xfId="7797" xr:uid="{5A93CB16-0B12-4D1C-9FCD-C860F00E83BE}"/>
    <cellStyle name="Normal 9 5 2 7" xfId="5732" xr:uid="{56D9DE71-9D98-449A-95F9-CE57D521903B}"/>
    <cellStyle name="Normal 9 5 2 8" xfId="1428" xr:uid="{EF491615-24CA-479A-A5FF-B251F8DD692B}"/>
    <cellStyle name="Normal 9 5 3" xfId="1011" xr:uid="{00000000-0005-0000-0000-0000D1030000}"/>
    <cellStyle name="Normal 9 5 3 2" xfId="4071" xr:uid="{BB96EB76-6D53-4C04-8A82-4A1A652C4899}"/>
    <cellStyle name="Normal 9 5 3 2 2" xfId="8289" xr:uid="{191C612C-254C-40AD-AA33-468FE7E67139}"/>
    <cellStyle name="Normal 9 5 3 3" xfId="6144" xr:uid="{0BA7F3E8-5C1D-44CD-8A4D-1D5C9D533AE0}"/>
    <cellStyle name="Normal 9 5 3 4" xfId="1842" xr:uid="{388BD670-2156-492C-89BF-BC7EBC08EAEF}"/>
    <cellStyle name="Normal 9 5 4" xfId="2255" xr:uid="{46F2E9A7-31FE-4249-B30A-BFB43F859AF7}"/>
    <cellStyle name="Normal 9 5 4 2" xfId="4484" xr:uid="{563E6874-ACB7-410C-AD0A-FD9DAB369CAC}"/>
    <cellStyle name="Normal 9 5 4 2 2" xfId="8702" xr:uid="{5964F981-B41F-4979-8FE6-CE0718453C73}"/>
    <cellStyle name="Normal 9 5 4 3" xfId="6557" xr:uid="{51000227-8D28-4553-A40F-E027095AEFBD}"/>
    <cellStyle name="Normal 9 5 5" xfId="2668" xr:uid="{B242B2D9-4488-4C65-9E42-A4DE31590E18}"/>
    <cellStyle name="Normal 9 5 5 2" xfId="4897" xr:uid="{A3F18AAB-4228-453C-B450-878E02E45778}"/>
    <cellStyle name="Normal 9 5 5 2 2" xfId="9115" xr:uid="{0A2B4B87-7B48-4053-AA4E-9B6F9D017EAE}"/>
    <cellStyle name="Normal 9 5 5 3" xfId="6970" xr:uid="{5A164A2E-FE9B-4BFD-AC4B-8FB65571E54F}"/>
    <cellStyle name="Normal 9 5 6" xfId="3081" xr:uid="{BE7A714E-E924-4D09-B980-F0D36D037049}"/>
    <cellStyle name="Normal 9 5 6 2" xfId="5310" xr:uid="{D1349704-D956-4E85-9058-BCCCA2A36944}"/>
    <cellStyle name="Normal 9 5 6 2 2" xfId="9528" xr:uid="{D092C84B-70EC-4CBA-BBC3-1FD4E482072F}"/>
    <cellStyle name="Normal 9 5 6 3" xfId="7383" xr:uid="{46E68B85-B9E1-44B4-8E7C-897741C13854}"/>
    <cellStyle name="Normal 9 5 7" xfId="3517" xr:uid="{7255093B-AD45-4CBC-81D9-140F116E1815}"/>
    <cellStyle name="Normal 9 5 7 2" xfId="7796" xr:uid="{3AC6CE9D-D93B-4F5B-AE02-93BC297A010B}"/>
    <cellStyle name="Normal 9 5 8" xfId="5731" xr:uid="{E3439AE3-B7CB-4FA4-8F00-3FC62F391228}"/>
    <cellStyle name="Normal 9 5 9" xfId="1427" xr:uid="{CA0273A1-5C90-4728-BBAC-BD17AAEAF78F}"/>
    <cellStyle name="Normal 9 6" xfId="541" xr:uid="{00000000-0005-0000-0000-0000D2030000}"/>
    <cellStyle name="Normal 9 6 2" xfId="1013" xr:uid="{00000000-0005-0000-0000-0000D3030000}"/>
    <cellStyle name="Normal 9 6 2 2" xfId="4073" xr:uid="{F2C97023-F20F-4895-9710-83F824BA1AE1}"/>
    <cellStyle name="Normal 9 6 2 2 2" xfId="8291" xr:uid="{781BF708-99A7-45D1-BB5C-EA09D3909477}"/>
    <cellStyle name="Normal 9 6 2 3" xfId="6146" xr:uid="{8B10B74C-3099-4AB9-BDDE-01D3AA4BF0F9}"/>
    <cellStyle name="Normal 9 6 2 4" xfId="1844" xr:uid="{8A988C62-67C0-40C1-B6D7-20E99D3C9F1F}"/>
    <cellStyle name="Normal 9 6 3" xfId="2257" xr:uid="{ABCCA1D8-5273-4E87-9B4E-052A042F9776}"/>
    <cellStyle name="Normal 9 6 3 2" xfId="4486" xr:uid="{D4C3A393-E681-47D5-9C00-EEB5DAA1AF22}"/>
    <cellStyle name="Normal 9 6 3 2 2" xfId="8704" xr:uid="{82562956-E924-46FD-B47A-580A26ED9382}"/>
    <cellStyle name="Normal 9 6 3 3" xfId="6559" xr:uid="{1948F152-B576-420E-B406-9D242E90724D}"/>
    <cellStyle name="Normal 9 6 4" xfId="2670" xr:uid="{23A7D6AD-BAF7-42F4-AF5D-28A0BF2B250A}"/>
    <cellStyle name="Normal 9 6 4 2" xfId="4899" xr:uid="{E807EDC0-AA28-467B-AB38-1E50DBACB116}"/>
    <cellStyle name="Normal 9 6 4 2 2" xfId="9117" xr:uid="{ADC94EF8-FDC2-4CB8-8AF3-ADF230EA393B}"/>
    <cellStyle name="Normal 9 6 4 3" xfId="6972" xr:uid="{4DF38803-8E78-4399-BC74-DBAA7804109C}"/>
    <cellStyle name="Normal 9 6 5" xfId="3083" xr:uid="{391D5E95-C6A2-410A-84B8-A6326D186D4C}"/>
    <cellStyle name="Normal 9 6 5 2" xfId="5312" xr:uid="{4699EB12-7A82-4B29-8133-F3894A7D5C77}"/>
    <cellStyle name="Normal 9 6 5 2 2" xfId="9530" xr:uid="{4AABF261-27AA-41A4-967C-703BCEBD7935}"/>
    <cellStyle name="Normal 9 6 5 3" xfId="7385" xr:uid="{498EF2F4-8FC9-44CC-B01E-DC2F406AC719}"/>
    <cellStyle name="Normal 9 6 6" xfId="3519" xr:uid="{278F4C75-7E96-4717-BCA6-59DFF3EE1182}"/>
    <cellStyle name="Normal 9 6 6 2" xfId="7798" xr:uid="{5B552D65-39E5-4319-B6B9-BD98C0291213}"/>
    <cellStyle name="Normal 9 6 7" xfId="5733" xr:uid="{A43F9CC3-9B30-4160-B375-0671B0D77357}"/>
    <cellStyle name="Normal 9 6 8" xfId="1429" xr:uid="{CB03B025-58B8-443A-B1B7-9C302E7342C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3660" xr:uid="{DBB6D635-A840-4C22-BF30-BF1AFBAAEBB7}"/>
    <cellStyle name="Note 2 2 10 2" xfId="7879" xr:uid="{921E7879-CC9F-4F92-B188-0BBE70122423}"/>
    <cellStyle name="Note 2 2 11" xfId="5734" xr:uid="{889E7015-570C-444E-82D4-EF79A3E09D58}"/>
    <cellStyle name="Note 2 2 12" xfId="1430" xr:uid="{493CCA40-FD07-4510-BACC-A10B4414C0FF}"/>
    <cellStyle name="Note 2 2 2" xfId="550" xr:uid="{00000000-0005-0000-0000-0000DD030000}"/>
    <cellStyle name="Note 2 2 2 10" xfId="5735" xr:uid="{A7C77789-7ED5-43A0-A5A3-67661C4FD5BA}"/>
    <cellStyle name="Note 2 2 2 11" xfId="1431" xr:uid="{F8B6C898-33F6-492D-9D78-0CA57B65C8F0}"/>
    <cellStyle name="Note 2 2 2 2" xfId="551" xr:uid="{00000000-0005-0000-0000-0000DE030000}"/>
    <cellStyle name="Note 2 2 2 2 10" xfId="1432" xr:uid="{EBF2382D-6403-4441-9B90-6D4B19F07DE4}"/>
    <cellStyle name="Note 2 2 2 2 2" xfId="1016" xr:uid="{00000000-0005-0000-0000-0000DF030000}"/>
    <cellStyle name="Note 2 2 2 2 2 2" xfId="4076" xr:uid="{0165041A-170F-40A8-8FF1-48191C0F53B4}"/>
    <cellStyle name="Note 2 2 2 2 2 2 2" xfId="8294" xr:uid="{865D206E-3A27-4607-95D7-55A769612F97}"/>
    <cellStyle name="Note 2 2 2 2 2 3" xfId="6149" xr:uid="{6251A3F4-F220-4DB1-80B3-005AC03D11B3}"/>
    <cellStyle name="Note 2 2 2 2 2 4" xfId="1847" xr:uid="{44B2D886-5A8F-4AD9-BC81-D8CC211B4DB1}"/>
    <cellStyle name="Note 2 2 2 2 3" xfId="2260" xr:uid="{4E7B66E3-03BB-4587-8145-5627AA7C9DC0}"/>
    <cellStyle name="Note 2 2 2 2 3 2" xfId="4489" xr:uid="{C6AF467B-B875-4735-AC84-6D68FE557AE0}"/>
    <cellStyle name="Note 2 2 2 2 3 2 2" xfId="8707" xr:uid="{D5A69E8E-33F6-448D-BF73-8EB7B2A5B85E}"/>
    <cellStyle name="Note 2 2 2 2 3 3" xfId="6562" xr:uid="{1667C138-6741-4BB2-B8D1-142ADB01BFA5}"/>
    <cellStyle name="Note 2 2 2 2 4" xfId="2673" xr:uid="{5A940A18-FA5D-4791-BA5E-658C610E0142}"/>
    <cellStyle name="Note 2 2 2 2 4 2" xfId="4902" xr:uid="{6FA796F9-1682-4DBC-91A6-2EF4E3D82044}"/>
    <cellStyle name="Note 2 2 2 2 4 2 2" xfId="9120" xr:uid="{B4FE3A16-0DA4-4005-BECE-9EAE1AF269AF}"/>
    <cellStyle name="Note 2 2 2 2 4 3" xfId="6975" xr:uid="{1EA5709C-6724-4096-83AC-E8F2663C3A3B}"/>
    <cellStyle name="Note 2 2 2 2 5" xfId="3086" xr:uid="{A3EFA7E9-8F93-4033-8C47-4E65716C62FF}"/>
    <cellStyle name="Note 2 2 2 2 5 2" xfId="5315" xr:uid="{7150933C-04B7-4B49-8930-E839EA71E663}"/>
    <cellStyle name="Note 2 2 2 2 5 2 2" xfId="9533" xr:uid="{93F726C8-12DE-47FA-BB5F-4D3B82C1AF09}"/>
    <cellStyle name="Note 2 2 2 2 5 3" xfId="7388" xr:uid="{93129B97-93FC-422D-94C0-FC433F0E41DB}"/>
    <cellStyle name="Note 2 2 2 2 6" xfId="3522" xr:uid="{01BF1A06-13F2-46BC-9BD4-2A1948A6EB24}"/>
    <cellStyle name="Note 2 2 2 2 6 2" xfId="7801" xr:uid="{3BD7D740-1EC8-47AE-9FF4-D819751D3A2E}"/>
    <cellStyle name="Note 2 2 2 2 7" xfId="3581" xr:uid="{7A087B2B-D389-4116-B1EC-00D24BFCE4A1}"/>
    <cellStyle name="Note 2 2 2 2 8" xfId="3662" xr:uid="{9800B833-BD62-461D-9276-3F2E1F76BC40}"/>
    <cellStyle name="Note 2 2 2 2 8 2" xfId="7881" xr:uid="{73A8E4B3-07E5-4A6B-AC96-AFB5D88134A0}"/>
    <cellStyle name="Note 2 2 2 2 9" xfId="5736" xr:uid="{3CCD479D-85CC-4B75-93B9-3B8CC2610A99}"/>
    <cellStyle name="Note 2 2 2 3" xfId="1015" xr:uid="{00000000-0005-0000-0000-0000E0030000}"/>
    <cellStyle name="Note 2 2 2 3 2" xfId="4075" xr:uid="{BF1F4DEA-859D-4B16-9A81-4844110BDCA8}"/>
    <cellStyle name="Note 2 2 2 3 2 2" xfId="8293" xr:uid="{0FF4CAED-9FE8-401A-9F66-2B8D4746B8F9}"/>
    <cellStyle name="Note 2 2 2 3 3" xfId="6148" xr:uid="{77B1117A-6AA6-4FA1-9BFF-E358014A7154}"/>
    <cellStyle name="Note 2 2 2 3 4" xfId="1846" xr:uid="{C2E92BA3-C392-4614-A4BB-B1F376D7E17C}"/>
    <cellStyle name="Note 2 2 2 4" xfId="2259" xr:uid="{0C1F4672-047B-4A43-BD55-D4CF74E0CA98}"/>
    <cellStyle name="Note 2 2 2 4 2" xfId="4488" xr:uid="{F10D780E-60B0-4609-B750-30ACC585A420}"/>
    <cellStyle name="Note 2 2 2 4 2 2" xfId="8706" xr:uid="{BDD5D96C-83B8-4D89-B468-928AE4E12103}"/>
    <cellStyle name="Note 2 2 2 4 3" xfId="6561" xr:uid="{5DBC92B2-1560-4138-8BC4-DA6BE6D166B1}"/>
    <cellStyle name="Note 2 2 2 5" xfId="2672" xr:uid="{F4886E7D-529A-4C56-9B65-C562980B5CC1}"/>
    <cellStyle name="Note 2 2 2 5 2" xfId="4901" xr:uid="{B9677A06-62E6-44D0-80AC-BF36C34B58AF}"/>
    <cellStyle name="Note 2 2 2 5 2 2" xfId="9119" xr:uid="{55B7B12E-4954-4BAF-9CBF-A622F72F7B8D}"/>
    <cellStyle name="Note 2 2 2 5 3" xfId="6974" xr:uid="{883854C2-62EA-4101-BCA1-54CA9476EEB4}"/>
    <cellStyle name="Note 2 2 2 6" xfId="3085" xr:uid="{64D8E4AA-4AEA-4EAC-8563-8CFA4F243F9C}"/>
    <cellStyle name="Note 2 2 2 6 2" xfId="5314" xr:uid="{0B8FD6A6-955B-4A14-B38D-7924668353DA}"/>
    <cellStyle name="Note 2 2 2 6 2 2" xfId="9532" xr:uid="{83E13E13-5582-48D6-8241-61D18B968B19}"/>
    <cellStyle name="Note 2 2 2 6 3" xfId="7387" xr:uid="{615172DE-F2DB-472F-B81C-25227658AEDF}"/>
    <cellStyle name="Note 2 2 2 7" xfId="3521" xr:uid="{1451F00B-8AAB-45F4-BBF4-331121BCB63E}"/>
    <cellStyle name="Note 2 2 2 7 2" xfId="7800" xr:uid="{6FA11322-0D89-4289-B31C-F912454761A2}"/>
    <cellStyle name="Note 2 2 2 8" xfId="3580" xr:uid="{38FCF52F-ACE9-4662-98BA-BAFBBAE8F76B}"/>
    <cellStyle name="Note 2 2 2 9" xfId="3661" xr:uid="{4BEDD02B-570B-4D33-A67A-B359D142578E}"/>
    <cellStyle name="Note 2 2 2 9 2" xfId="7880" xr:uid="{9867DE9C-CE13-4E56-8794-A4DF926D8CA3}"/>
    <cellStyle name="Note 2 2 3" xfId="552" xr:uid="{00000000-0005-0000-0000-0000E1030000}"/>
    <cellStyle name="Note 2 2 3 10" xfId="1433" xr:uid="{F51B87D2-FB2A-4D20-9C16-DC628E415EB3}"/>
    <cellStyle name="Note 2 2 3 2" xfId="1017" xr:uid="{00000000-0005-0000-0000-0000E2030000}"/>
    <cellStyle name="Note 2 2 3 2 2" xfId="4077" xr:uid="{4A44C417-7A7F-4FE3-937C-B7AF4139E3C3}"/>
    <cellStyle name="Note 2 2 3 2 2 2" xfId="8295" xr:uid="{FC8B9A0B-7611-4D34-8865-68F3A02F67B2}"/>
    <cellStyle name="Note 2 2 3 2 3" xfId="6150" xr:uid="{F651F25C-76B6-49FE-9A1B-73BCD3FD64F2}"/>
    <cellStyle name="Note 2 2 3 2 4" xfId="1848" xr:uid="{E75A9D2F-09A8-4260-9702-61323E180E93}"/>
    <cellStyle name="Note 2 2 3 3" xfId="2261" xr:uid="{75436B43-24BA-4A6E-BCBB-D28CE1A8206F}"/>
    <cellStyle name="Note 2 2 3 3 2" xfId="4490" xr:uid="{9C9C7131-B351-4028-9E89-428A33A51F5D}"/>
    <cellStyle name="Note 2 2 3 3 2 2" xfId="8708" xr:uid="{16C590BF-D08C-480F-B276-8968A239BF49}"/>
    <cellStyle name="Note 2 2 3 3 3" xfId="6563" xr:uid="{5114A069-7B12-408B-88DC-8030DEF7EAED}"/>
    <cellStyle name="Note 2 2 3 4" xfId="2674" xr:uid="{0E13B496-3A70-4EC9-883D-A23D0F332914}"/>
    <cellStyle name="Note 2 2 3 4 2" xfId="4903" xr:uid="{66CAACD0-36AE-4AAB-871F-760B23D3739C}"/>
    <cellStyle name="Note 2 2 3 4 2 2" xfId="9121" xr:uid="{23FCBC4F-799E-4529-A30C-2A6A9DFD978A}"/>
    <cellStyle name="Note 2 2 3 4 3" xfId="6976" xr:uid="{4A24679A-C470-44E3-A9DB-28B81F273E02}"/>
    <cellStyle name="Note 2 2 3 5" xfId="3087" xr:uid="{2EEC3C75-7477-4358-8EFF-AFBAD4A30797}"/>
    <cellStyle name="Note 2 2 3 5 2" xfId="5316" xr:uid="{73855B3F-17E5-491A-80C9-3DC1ED53A46A}"/>
    <cellStyle name="Note 2 2 3 5 2 2" xfId="9534" xr:uid="{E19BC215-D50E-45CE-BABA-869DEAFC8665}"/>
    <cellStyle name="Note 2 2 3 5 3" xfId="7389" xr:uid="{D4B1CEA9-8FC6-442A-95CC-2290CD32EE43}"/>
    <cellStyle name="Note 2 2 3 6" xfId="3523" xr:uid="{7B4A3C84-0172-48B8-AC47-1CFD791D762F}"/>
    <cellStyle name="Note 2 2 3 6 2" xfId="7802" xr:uid="{78EC2829-CA60-46FD-B6F8-81715A32B432}"/>
    <cellStyle name="Note 2 2 3 7" xfId="3582" xr:uid="{CAD794F3-7066-4793-9C23-6794932593DF}"/>
    <cellStyle name="Note 2 2 3 8" xfId="3663" xr:uid="{D58F5580-E2D5-41AA-88CF-7354E10474E1}"/>
    <cellStyle name="Note 2 2 3 8 2" xfId="7882" xr:uid="{2FD89082-D294-42D4-A4FD-EE34BCE5528C}"/>
    <cellStyle name="Note 2 2 3 9" xfId="5737" xr:uid="{C415AF66-F51D-436E-9F01-995D79CFB4C0}"/>
    <cellStyle name="Note 2 2 4" xfId="1014" xr:uid="{00000000-0005-0000-0000-0000E3030000}"/>
    <cellStyle name="Note 2 2 4 2" xfId="4074" xr:uid="{51BC3E65-552E-4A4C-A267-ADAD37A6F6A5}"/>
    <cellStyle name="Note 2 2 4 2 2" xfId="8292" xr:uid="{4F3CC679-85F7-40A4-BBFA-C9334749482B}"/>
    <cellStyle name="Note 2 2 4 3" xfId="6147" xr:uid="{C1EDFF03-6D5B-4BFA-939D-9D798BC3EECF}"/>
    <cellStyle name="Note 2 2 4 4" xfId="1845" xr:uid="{03BB556A-B03A-4CFF-B15E-1BB066F2BFFA}"/>
    <cellStyle name="Note 2 2 5" xfId="2258" xr:uid="{B5A7BE9F-175E-4F72-8086-1D196B6202F2}"/>
    <cellStyle name="Note 2 2 5 2" xfId="4487" xr:uid="{14C25DFB-4814-4533-906F-4765A59FC0EA}"/>
    <cellStyle name="Note 2 2 5 2 2" xfId="8705" xr:uid="{60D0CD27-5473-48E1-9965-3D50FFA4244D}"/>
    <cellStyle name="Note 2 2 5 3" xfId="6560" xr:uid="{6B7818E9-1C82-4C21-BECD-663662E3E44D}"/>
    <cellStyle name="Note 2 2 6" xfId="2671" xr:uid="{033FFFBB-E821-420A-AF35-A51B105588BD}"/>
    <cellStyle name="Note 2 2 6 2" xfId="4900" xr:uid="{058A9197-C4AC-4808-B396-6B357875D636}"/>
    <cellStyle name="Note 2 2 6 2 2" xfId="9118" xr:uid="{62DD213E-E3CD-4DFD-BBF8-6E0370DA90E5}"/>
    <cellStyle name="Note 2 2 6 3" xfId="6973" xr:uid="{C3772A94-982B-458C-8565-E708AA5111EF}"/>
    <cellStyle name="Note 2 2 7" xfId="3084" xr:uid="{5CD8D4F0-75A1-40F9-9EE9-A6B62EB04895}"/>
    <cellStyle name="Note 2 2 7 2" xfId="5313" xr:uid="{EF14DC70-3370-43B3-B6AE-4D4812DB1C4D}"/>
    <cellStyle name="Note 2 2 7 2 2" xfId="9531" xr:uid="{0B4E9E33-6E0D-45D1-90DE-FAD79BAC0CB4}"/>
    <cellStyle name="Note 2 2 7 3" xfId="7386" xr:uid="{ED55ED3C-DC53-4353-962C-FDFC9EC71090}"/>
    <cellStyle name="Note 2 2 8" xfId="3520" xr:uid="{7BA86C61-BBAA-4350-8358-CEA5F6001FDB}"/>
    <cellStyle name="Note 2 2 8 2" xfId="7799" xr:uid="{6E03A887-5854-46D2-BF3E-7C6D57F3BDD7}"/>
    <cellStyle name="Note 2 2 9" xfId="3579" xr:uid="{134AA3E2-9F41-42FF-85BA-705F85D4B5AD}"/>
    <cellStyle name="Note 2 3" xfId="553" xr:uid="{00000000-0005-0000-0000-0000E4030000}"/>
    <cellStyle name="Note 2 3 10" xfId="5738" xr:uid="{6E3191B2-8B12-4EAC-BACA-DDCFEC7B3B7B}"/>
    <cellStyle name="Note 2 3 11" xfId="1434" xr:uid="{BB8BA13D-673F-4403-9365-B72F8DF6C14C}"/>
    <cellStyle name="Note 2 3 2" xfId="554" xr:uid="{00000000-0005-0000-0000-0000E5030000}"/>
    <cellStyle name="Note 2 3 2 10" xfId="1435" xr:uid="{D7820AA5-02EF-49B4-A13F-DE333AC71BE1}"/>
    <cellStyle name="Note 2 3 2 2" xfId="1019" xr:uid="{00000000-0005-0000-0000-0000E6030000}"/>
    <cellStyle name="Note 2 3 2 2 2" xfId="4079" xr:uid="{168CFF9B-23CB-4C50-A3FD-2E50CE1E2E5A}"/>
    <cellStyle name="Note 2 3 2 2 2 2" xfId="8297" xr:uid="{7A518B73-96E9-42CD-9D3C-27D763D84301}"/>
    <cellStyle name="Note 2 3 2 2 3" xfId="6152" xr:uid="{78BCD110-D6F1-45D6-AC78-32B555258B51}"/>
    <cellStyle name="Note 2 3 2 2 4" xfId="1850" xr:uid="{C887A209-CBB2-4DAD-97A9-8E3FF7FBBD80}"/>
    <cellStyle name="Note 2 3 2 3" xfId="2263" xr:uid="{425F1D16-EE12-40C1-A9A0-C3DC9855CA84}"/>
    <cellStyle name="Note 2 3 2 3 2" xfId="4492" xr:uid="{FD9E68EC-EA3C-4470-B88D-DF7DCC74B54B}"/>
    <cellStyle name="Note 2 3 2 3 2 2" xfId="8710" xr:uid="{2A765F15-8E90-4380-8824-4DF609D787F4}"/>
    <cellStyle name="Note 2 3 2 3 3" xfId="6565" xr:uid="{E32CE852-803E-4106-B026-CBEFE2F1037D}"/>
    <cellStyle name="Note 2 3 2 4" xfId="2676" xr:uid="{1FF8C5E7-1144-40D0-8B75-DEF2A13DF575}"/>
    <cellStyle name="Note 2 3 2 4 2" xfId="4905" xr:uid="{E6EAA3C7-90F2-41A3-99E3-C24AD357A728}"/>
    <cellStyle name="Note 2 3 2 4 2 2" xfId="9123" xr:uid="{F323CCF5-DA4D-4CC6-826B-76A437C94F35}"/>
    <cellStyle name="Note 2 3 2 4 3" xfId="6978" xr:uid="{716A47E0-4A8D-46F9-A667-EFBC60272C13}"/>
    <cellStyle name="Note 2 3 2 5" xfId="3089" xr:uid="{5C4A0329-CC63-49CD-8218-EB674C26F04B}"/>
    <cellStyle name="Note 2 3 2 5 2" xfId="5318" xr:uid="{688F2BAD-DF3E-48FC-96D6-C665226E1075}"/>
    <cellStyle name="Note 2 3 2 5 2 2" xfId="9536" xr:uid="{C2ADCAAC-5B08-4350-B714-02B704C5D34B}"/>
    <cellStyle name="Note 2 3 2 5 3" xfId="7391" xr:uid="{CE902646-C4DC-4E7A-9409-8BBCF898169C}"/>
    <cellStyle name="Note 2 3 2 6" xfId="3525" xr:uid="{D3607F08-7439-4697-B8DD-9C3B327E4DB5}"/>
    <cellStyle name="Note 2 3 2 6 2" xfId="7804" xr:uid="{9C39911B-45B8-446A-B669-E83EED93EF04}"/>
    <cellStyle name="Note 2 3 2 7" xfId="3584" xr:uid="{A799BE99-AB8C-4C81-BF21-3000A10627EA}"/>
    <cellStyle name="Note 2 3 2 8" xfId="3665" xr:uid="{250F5DB0-1D2D-4B3B-A11F-CAEDD80D236D}"/>
    <cellStyle name="Note 2 3 2 8 2" xfId="7884" xr:uid="{2D9CE135-368B-4F72-8EC1-8845E3CE0BF5}"/>
    <cellStyle name="Note 2 3 2 9" xfId="5739" xr:uid="{CD4248AF-1F12-4CC7-9242-1B57C1D0A186}"/>
    <cellStyle name="Note 2 3 3" xfId="1018" xr:uid="{00000000-0005-0000-0000-0000E7030000}"/>
    <cellStyle name="Note 2 3 3 2" xfId="4078" xr:uid="{BE0413E8-8C6B-431F-B48C-9CA30C802FA2}"/>
    <cellStyle name="Note 2 3 3 2 2" xfId="8296" xr:uid="{4BCEE241-1748-4849-8A41-072C9BF2D981}"/>
    <cellStyle name="Note 2 3 3 3" xfId="6151" xr:uid="{BC76961B-1A17-4E42-876D-A0F30ED7364A}"/>
    <cellStyle name="Note 2 3 3 4" xfId="1849" xr:uid="{151C93F2-D757-4D86-8159-311CAE4405B6}"/>
    <cellStyle name="Note 2 3 4" xfId="2262" xr:uid="{4A567B18-4757-4A0A-89EA-A850E2A6742C}"/>
    <cellStyle name="Note 2 3 4 2" xfId="4491" xr:uid="{CD8AB6B2-A9DD-4305-A3AF-A235F0609839}"/>
    <cellStyle name="Note 2 3 4 2 2" xfId="8709" xr:uid="{D7F414F8-64B2-4E52-B096-9D6CD02BC5E0}"/>
    <cellStyle name="Note 2 3 4 3" xfId="6564" xr:uid="{4E99E3B9-87F8-4B64-A05B-6B694876F487}"/>
    <cellStyle name="Note 2 3 5" xfId="2675" xr:uid="{37B5D29E-2347-440D-B873-62E0021E48E2}"/>
    <cellStyle name="Note 2 3 5 2" xfId="4904" xr:uid="{21AF79C2-1118-42E2-8EAF-B4F9E4BE8C5A}"/>
    <cellStyle name="Note 2 3 5 2 2" xfId="9122" xr:uid="{5240A2E7-5F63-493C-9437-DFA97041C5E7}"/>
    <cellStyle name="Note 2 3 5 3" xfId="6977" xr:uid="{4AFDE12B-6593-47B4-95FE-6C720B7AFD57}"/>
    <cellStyle name="Note 2 3 6" xfId="3088" xr:uid="{91883273-44C6-47D8-B7CC-DFA34698B313}"/>
    <cellStyle name="Note 2 3 6 2" xfId="5317" xr:uid="{F8E50F6B-D689-40C4-A163-6DBF0441BFDD}"/>
    <cellStyle name="Note 2 3 6 2 2" xfId="9535" xr:uid="{B11E752F-E0D4-473A-95F9-43548A1C32F9}"/>
    <cellStyle name="Note 2 3 6 3" xfId="7390" xr:uid="{112C714E-94FD-4743-80E4-E3F33EB59FEA}"/>
    <cellStyle name="Note 2 3 7" xfId="3524" xr:uid="{5B7CEF3D-B16C-43CC-95E7-1F096E108E68}"/>
    <cellStyle name="Note 2 3 7 2" xfId="7803" xr:uid="{93537F23-DAB9-45DA-AB15-0D349F310E7B}"/>
    <cellStyle name="Note 2 3 8" xfId="3583" xr:uid="{275D8E3A-FFA1-4405-AA87-4EF29F4F8110}"/>
    <cellStyle name="Note 2 3 9" xfId="3664" xr:uid="{F66B89AA-B66B-49E8-8915-CB8234AF8255}"/>
    <cellStyle name="Note 2 3 9 2" xfId="7883" xr:uid="{96285C53-A5F7-474C-8DE6-B80458E27A6A}"/>
    <cellStyle name="Note 2 4" xfId="555" xr:uid="{00000000-0005-0000-0000-0000E8030000}"/>
    <cellStyle name="Note 2 4 10" xfId="1436" xr:uid="{16D0FD48-A3BB-41D8-BF0B-26C38E7E5944}"/>
    <cellStyle name="Note 2 4 2" xfId="1020" xr:uid="{00000000-0005-0000-0000-0000E9030000}"/>
    <cellStyle name="Note 2 4 2 2" xfId="4080" xr:uid="{A85603B1-807F-4F87-80A1-F2CC0CAFFA63}"/>
    <cellStyle name="Note 2 4 2 2 2" xfId="8298" xr:uid="{72050FC5-D137-4064-A4DB-027316EEC161}"/>
    <cellStyle name="Note 2 4 2 3" xfId="6153" xr:uid="{D5C11783-B6C2-4614-A785-BF6E885077D5}"/>
    <cellStyle name="Note 2 4 2 4" xfId="1851" xr:uid="{9F040624-2C7A-4C31-9208-A32C9AAC533A}"/>
    <cellStyle name="Note 2 4 3" xfId="2264" xr:uid="{13E0F296-B32C-47A3-9F94-FB8A0385CDC3}"/>
    <cellStyle name="Note 2 4 3 2" xfId="4493" xr:uid="{2221CDD5-4777-416F-B1EB-E3D46E1CCC8F}"/>
    <cellStyle name="Note 2 4 3 2 2" xfId="8711" xr:uid="{189F58A7-9262-4274-ACA4-037DCEC3EEF6}"/>
    <cellStyle name="Note 2 4 3 3" xfId="6566" xr:uid="{39C09210-B3F6-4FF4-81E9-0395B6D63D88}"/>
    <cellStyle name="Note 2 4 4" xfId="2677" xr:uid="{77277A10-B73E-4828-91D3-4B7F70190B5E}"/>
    <cellStyle name="Note 2 4 4 2" xfId="4906" xr:uid="{5A4BDF0A-FF9C-4E4C-BDA4-82CEFFBB82B5}"/>
    <cellStyle name="Note 2 4 4 2 2" xfId="9124" xr:uid="{422C5CDF-C9B3-4D5B-BD8B-65B117B7A4D3}"/>
    <cellStyle name="Note 2 4 4 3" xfId="6979" xr:uid="{B12DC994-1E66-492D-AF14-5D4FA3758273}"/>
    <cellStyle name="Note 2 4 5" xfId="3090" xr:uid="{5B80AF45-5524-47A2-8A6F-86BA4B2DD3D4}"/>
    <cellStyle name="Note 2 4 5 2" xfId="5319" xr:uid="{552522EB-6A46-40AD-B5D3-7A9789612E92}"/>
    <cellStyle name="Note 2 4 5 2 2" xfId="9537" xr:uid="{30BFCD2D-09D0-461E-AD22-4A8163AAFE73}"/>
    <cellStyle name="Note 2 4 5 3" xfId="7392" xr:uid="{FC591064-08A2-4945-A44C-3A08C6BBDD66}"/>
    <cellStyle name="Note 2 4 6" xfId="3526" xr:uid="{814E0D52-EA4F-4E8F-A59D-3C43E10355AD}"/>
    <cellStyle name="Note 2 4 6 2" xfId="7805" xr:uid="{E72956FB-1B38-43ED-B5BD-13C71EA48880}"/>
    <cellStyle name="Note 2 4 7" xfId="3585" xr:uid="{D90190D3-607A-4EFF-BABD-1C40DB742009}"/>
    <cellStyle name="Note 2 4 8" xfId="3666" xr:uid="{AB8FA4EF-E321-409F-8F33-4A3FE025E1D6}"/>
    <cellStyle name="Note 2 4 8 2" xfId="7885" xr:uid="{0B26D51C-74CD-49C9-AF65-670C7308AE3D}"/>
    <cellStyle name="Note 2 4 9" xfId="5740" xr:uid="{B76FD3BD-C7F3-4A9A-B037-087B27A64374}"/>
    <cellStyle name="Note 2 5" xfId="556" xr:uid="{00000000-0005-0000-0000-0000EA030000}"/>
    <cellStyle name="Note 2 5 10" xfId="1437" xr:uid="{115444D9-98BD-4924-A9FE-DC68D03BAD13}"/>
    <cellStyle name="Note 2 5 2" xfId="1021" xr:uid="{00000000-0005-0000-0000-0000EB030000}"/>
    <cellStyle name="Note 2 5 2 2" xfId="4081" xr:uid="{8123CF7E-2C5A-4804-9362-78DFE8A7A24C}"/>
    <cellStyle name="Note 2 5 2 2 2" xfId="8299" xr:uid="{D2A5501A-93FC-47C7-9C35-DF27F530DCA2}"/>
    <cellStyle name="Note 2 5 2 3" xfId="6154" xr:uid="{D6FA3139-4668-40E3-AEBF-9AECDECBCD4B}"/>
    <cellStyle name="Note 2 5 2 4" xfId="1852" xr:uid="{61C21FCA-3F8F-464D-BEF8-D8C39E01DD85}"/>
    <cellStyle name="Note 2 5 3" xfId="2265" xr:uid="{AEF740D4-290E-4AD3-AFC5-ED5035090E78}"/>
    <cellStyle name="Note 2 5 3 2" xfId="4494" xr:uid="{F8510473-0B54-45FE-B4EF-203ACE8627D6}"/>
    <cellStyle name="Note 2 5 3 2 2" xfId="8712" xr:uid="{88D4A877-3826-45FD-84A8-000727147195}"/>
    <cellStyle name="Note 2 5 3 3" xfId="6567" xr:uid="{98DC35DE-12A1-476D-B241-1CC6FB31C1AF}"/>
    <cellStyle name="Note 2 5 4" xfId="2678" xr:uid="{4D0A2C84-6E36-4E07-9E83-0E9F10EF6E8C}"/>
    <cellStyle name="Note 2 5 4 2" xfId="4907" xr:uid="{E9D6D4A9-7CAC-4DBB-AC3E-016AA30E9131}"/>
    <cellStyle name="Note 2 5 4 2 2" xfId="9125" xr:uid="{C53DDCC1-81E5-4359-9CFB-B96785B8D423}"/>
    <cellStyle name="Note 2 5 4 3" xfId="6980" xr:uid="{93DE80EE-270C-432E-8782-B8E04BDC2437}"/>
    <cellStyle name="Note 2 5 5" xfId="3091" xr:uid="{4419E0C0-8ACB-4E46-8AE2-49BB5BA85481}"/>
    <cellStyle name="Note 2 5 5 2" xfId="5320" xr:uid="{43EB26CB-51EB-4815-8C59-A42CEA2F92A5}"/>
    <cellStyle name="Note 2 5 5 2 2" xfId="9538" xr:uid="{68DE45DD-7C96-4249-8522-A94C5E78616C}"/>
    <cellStyle name="Note 2 5 5 3" xfId="7393" xr:uid="{C574F941-0109-4720-81EA-E560165F9CE7}"/>
    <cellStyle name="Note 2 5 6" xfId="3527" xr:uid="{5E2955AE-27EE-4FE5-AC9A-E7125306C581}"/>
    <cellStyle name="Note 2 5 6 2" xfId="7806" xr:uid="{E298BCCE-5FAA-42B8-82A7-BB95A190D92A}"/>
    <cellStyle name="Note 2 5 7" xfId="3586" xr:uid="{006E2477-CAD3-452F-ACED-19FB6E539960}"/>
    <cellStyle name="Note 2 5 8" xfId="3667" xr:uid="{61A1B52A-58BC-4C73-9DE1-A580B9EA5D30}"/>
    <cellStyle name="Note 2 5 8 2" xfId="7886" xr:uid="{DC12EEDF-B3A4-442E-B22E-A9DB0C9AC6DB}"/>
    <cellStyle name="Note 2 5 9" xfId="5741" xr:uid="{C4A77F50-7271-4C32-A70B-4E1691DCBF18}"/>
    <cellStyle name="Note 3" xfId="557" xr:uid="{00000000-0005-0000-0000-0000EC030000}"/>
    <cellStyle name="Note 3 2" xfId="558" xr:uid="{00000000-0005-0000-0000-0000ED030000}"/>
    <cellStyle name="Note 3 2 10" xfId="3668" xr:uid="{536F0A91-F054-402C-9CBF-B830947A8208}"/>
    <cellStyle name="Note 3 2 10 2" xfId="7887" xr:uid="{117E08D4-EBD1-4C5D-99D3-EF15E17DB2D2}"/>
    <cellStyle name="Note 3 2 11" xfId="5742" xr:uid="{46E393E6-25C1-49D8-9314-65CE69AA0CDB}"/>
    <cellStyle name="Note 3 2 12" xfId="1438" xr:uid="{04C12008-86AD-447D-8D1B-7AD7C4799170}"/>
    <cellStyle name="Note 3 2 2" xfId="559" xr:uid="{00000000-0005-0000-0000-0000EE030000}"/>
    <cellStyle name="Note 3 2 2 10" xfId="5743" xr:uid="{5F77075F-7198-4DBB-B330-2C83972DA4DF}"/>
    <cellStyle name="Note 3 2 2 11" xfId="1439" xr:uid="{A4732C9A-32DA-41BF-8F56-45D90F0B64A6}"/>
    <cellStyle name="Note 3 2 2 2" xfId="560" xr:uid="{00000000-0005-0000-0000-0000EF030000}"/>
    <cellStyle name="Note 3 2 2 2 10" xfId="1440" xr:uid="{5AE315F1-82A9-4E63-BAB6-3B4E73598DDA}"/>
    <cellStyle name="Note 3 2 2 2 2" xfId="1024" xr:uid="{00000000-0005-0000-0000-0000F0030000}"/>
    <cellStyle name="Note 3 2 2 2 2 2" xfId="4084" xr:uid="{EFFDAEA8-2B6B-45C4-AA15-EC2EFFB2FB89}"/>
    <cellStyle name="Note 3 2 2 2 2 2 2" xfId="8302" xr:uid="{B0E27530-D9E9-4BDA-8E27-31F88543BC4B}"/>
    <cellStyle name="Note 3 2 2 2 2 3" xfId="6157" xr:uid="{0C9962B0-26AB-43F2-B6B7-834DB8D5CBD8}"/>
    <cellStyle name="Note 3 2 2 2 2 4" xfId="1855" xr:uid="{F4EE9BE4-AAB9-45D5-BD6E-85DCBAC07DA1}"/>
    <cellStyle name="Note 3 2 2 2 3" xfId="2268" xr:uid="{AA9DB471-30BB-47C5-832C-27395FC91323}"/>
    <cellStyle name="Note 3 2 2 2 3 2" xfId="4497" xr:uid="{BA70AA66-A5B7-4289-A1B5-3F4F29645B3C}"/>
    <cellStyle name="Note 3 2 2 2 3 2 2" xfId="8715" xr:uid="{BFC5F7C3-02E5-4C13-A294-EDED32C6D61C}"/>
    <cellStyle name="Note 3 2 2 2 3 3" xfId="6570" xr:uid="{F3BD138E-60B9-408F-872D-73902336D5A1}"/>
    <cellStyle name="Note 3 2 2 2 4" xfId="2681" xr:uid="{9F42650B-9062-4BB6-9B19-D67C8FB09796}"/>
    <cellStyle name="Note 3 2 2 2 4 2" xfId="4910" xr:uid="{6ECCBDD6-50FB-4A36-80A5-E0B3FAACAE4B}"/>
    <cellStyle name="Note 3 2 2 2 4 2 2" xfId="9128" xr:uid="{FC479B3F-D88B-4D77-A972-5555F5E781FB}"/>
    <cellStyle name="Note 3 2 2 2 4 3" xfId="6983" xr:uid="{334FD32A-868A-4202-ABC2-BC70F00B2BA6}"/>
    <cellStyle name="Note 3 2 2 2 5" xfId="3094" xr:uid="{6E49C2FF-C7C4-44F1-86C0-9FCC8109C24B}"/>
    <cellStyle name="Note 3 2 2 2 5 2" xfId="5323" xr:uid="{D13AE945-0C93-427D-8B22-121FE637D2FD}"/>
    <cellStyle name="Note 3 2 2 2 5 2 2" xfId="9541" xr:uid="{64041AB1-4F05-4038-B21B-7E171228351B}"/>
    <cellStyle name="Note 3 2 2 2 5 3" xfId="7396" xr:uid="{3CA47A59-63BE-4D8B-B3B5-0EC1A4A8198B}"/>
    <cellStyle name="Note 3 2 2 2 6" xfId="3530" xr:uid="{48630F95-0156-4F49-A5A4-C237F20F6B45}"/>
    <cellStyle name="Note 3 2 2 2 6 2" xfId="7809" xr:uid="{9B372DEE-677E-4023-82CB-3CE5489C1A27}"/>
    <cellStyle name="Note 3 2 2 2 7" xfId="3589" xr:uid="{FED23E48-F054-4685-8910-E53EC09A4477}"/>
    <cellStyle name="Note 3 2 2 2 8" xfId="3670" xr:uid="{3457EBEC-CDDD-4450-8310-019C54908F92}"/>
    <cellStyle name="Note 3 2 2 2 8 2" xfId="7889" xr:uid="{A699593D-3954-4015-B93D-3EC26A5748A4}"/>
    <cellStyle name="Note 3 2 2 2 9" xfId="5744" xr:uid="{A4A73E9C-0BBB-43E6-B1F7-301797C1AFAD}"/>
    <cellStyle name="Note 3 2 2 3" xfId="1023" xr:uid="{00000000-0005-0000-0000-0000F1030000}"/>
    <cellStyle name="Note 3 2 2 3 2" xfId="4083" xr:uid="{0E62388A-D8D3-42F5-BF85-82B04E0ACB76}"/>
    <cellStyle name="Note 3 2 2 3 2 2" xfId="8301" xr:uid="{0C40D8A4-5362-434B-B65A-1DDB1096D9E0}"/>
    <cellStyle name="Note 3 2 2 3 3" xfId="6156" xr:uid="{FE33673F-B3AF-4DD9-9990-11B3FE1CE327}"/>
    <cellStyle name="Note 3 2 2 3 4" xfId="1854" xr:uid="{98F7F286-0EDA-4F95-A356-A4CCB778FBBD}"/>
    <cellStyle name="Note 3 2 2 4" xfId="2267" xr:uid="{208B6A0C-4360-4EEA-B819-593E8799FB7B}"/>
    <cellStyle name="Note 3 2 2 4 2" xfId="4496" xr:uid="{63E4931C-32F7-40F5-9915-7379163C9C6F}"/>
    <cellStyle name="Note 3 2 2 4 2 2" xfId="8714" xr:uid="{8B7D71E5-679C-446F-9C98-A61D15206062}"/>
    <cellStyle name="Note 3 2 2 4 3" xfId="6569" xr:uid="{DFFE8D3B-2C71-4D58-B4F2-5EFB89429D55}"/>
    <cellStyle name="Note 3 2 2 5" xfId="2680" xr:uid="{FDA6E257-5A45-48D8-9C93-68010B885689}"/>
    <cellStyle name="Note 3 2 2 5 2" xfId="4909" xr:uid="{7A7A8E59-7C14-4480-9AA6-CFF2F7F792E0}"/>
    <cellStyle name="Note 3 2 2 5 2 2" xfId="9127" xr:uid="{E4DB1090-0267-49B2-B675-B3A5017AB56B}"/>
    <cellStyle name="Note 3 2 2 5 3" xfId="6982" xr:uid="{737E4952-2196-4284-A221-6C2C082E0372}"/>
    <cellStyle name="Note 3 2 2 6" xfId="3093" xr:uid="{92D4BE52-62DF-4381-961F-9A857A46AE37}"/>
    <cellStyle name="Note 3 2 2 6 2" xfId="5322" xr:uid="{EA0C23C8-A490-48FC-9D63-836E8D7444EC}"/>
    <cellStyle name="Note 3 2 2 6 2 2" xfId="9540" xr:uid="{5763B39D-054C-402A-A8DC-E981313F658A}"/>
    <cellStyle name="Note 3 2 2 6 3" xfId="7395" xr:uid="{4BC38525-7987-4FC6-B1E3-508FBF869368}"/>
    <cellStyle name="Note 3 2 2 7" xfId="3529" xr:uid="{3D315A0F-81FD-4B45-A465-29FB4C813C42}"/>
    <cellStyle name="Note 3 2 2 7 2" xfId="7808" xr:uid="{4F5D5C8E-CB00-4A87-9E18-4B27FD5B753C}"/>
    <cellStyle name="Note 3 2 2 8" xfId="3588" xr:uid="{460680A2-96CC-4E46-AD00-21F21E5354AF}"/>
    <cellStyle name="Note 3 2 2 9" xfId="3669" xr:uid="{58F11F12-81FC-4E46-AF75-D25DD6AEA694}"/>
    <cellStyle name="Note 3 2 2 9 2" xfId="7888" xr:uid="{D5AD4197-47A4-4792-A49E-BEE10A93BB1C}"/>
    <cellStyle name="Note 3 2 3" xfId="561" xr:uid="{00000000-0005-0000-0000-0000F2030000}"/>
    <cellStyle name="Note 3 2 3 10" xfId="1441" xr:uid="{F3051A85-F1B4-49C3-8EF3-3DE94BCC99D8}"/>
    <cellStyle name="Note 3 2 3 2" xfId="1025" xr:uid="{00000000-0005-0000-0000-0000F3030000}"/>
    <cellStyle name="Note 3 2 3 2 2" xfId="4085" xr:uid="{5B0801FC-8DCC-43A6-A784-8AE0205B55CB}"/>
    <cellStyle name="Note 3 2 3 2 2 2" xfId="8303" xr:uid="{B1791C5B-2B5D-4DC8-B41A-E6AD580EA5A1}"/>
    <cellStyle name="Note 3 2 3 2 3" xfId="6158" xr:uid="{D6788A94-A6DC-4E19-B281-1B71D891E493}"/>
    <cellStyle name="Note 3 2 3 2 4" xfId="1856" xr:uid="{17418B09-934A-4D63-9BE0-FB9AEE4EB3A7}"/>
    <cellStyle name="Note 3 2 3 3" xfId="2269" xr:uid="{97F336B1-EAB2-4E8F-9023-85B78CA5DA39}"/>
    <cellStyle name="Note 3 2 3 3 2" xfId="4498" xr:uid="{7626ABF2-FEB5-4A7C-A26D-A190DDA36707}"/>
    <cellStyle name="Note 3 2 3 3 2 2" xfId="8716" xr:uid="{F7A12B22-9390-4E4E-BA2E-F5687E19ADBF}"/>
    <cellStyle name="Note 3 2 3 3 3" xfId="6571" xr:uid="{B08E0006-EEE8-4ED6-BFDD-960BEE885CF7}"/>
    <cellStyle name="Note 3 2 3 4" xfId="2682" xr:uid="{373327D1-7BB1-4996-A8D3-8C673A50A9AD}"/>
    <cellStyle name="Note 3 2 3 4 2" xfId="4911" xr:uid="{15875A30-8579-4455-BA57-E609FAE5DE90}"/>
    <cellStyle name="Note 3 2 3 4 2 2" xfId="9129" xr:uid="{A9F84EE1-7DCC-4361-9643-0F22A0CA0BA3}"/>
    <cellStyle name="Note 3 2 3 4 3" xfId="6984" xr:uid="{46F27900-BE4F-4FED-AEC3-9551993EF5BC}"/>
    <cellStyle name="Note 3 2 3 5" xfId="3095" xr:uid="{3EC0B87B-B3B3-407F-8F96-48CF2465573C}"/>
    <cellStyle name="Note 3 2 3 5 2" xfId="5324" xr:uid="{EDC92E17-38C3-4B52-8A6F-13F1E2D6EAFD}"/>
    <cellStyle name="Note 3 2 3 5 2 2" xfId="9542" xr:uid="{1F75F759-F329-4DE5-A47C-FA27E400BAA5}"/>
    <cellStyle name="Note 3 2 3 5 3" xfId="7397" xr:uid="{6C30A80C-62CA-4592-B270-9FE610AACEF1}"/>
    <cellStyle name="Note 3 2 3 6" xfId="3531" xr:uid="{297DE235-4B0A-464A-B5F1-146FFDDADD35}"/>
    <cellStyle name="Note 3 2 3 6 2" xfId="7810" xr:uid="{4F412EFB-0180-4191-AEC0-0B9808C25A75}"/>
    <cellStyle name="Note 3 2 3 7" xfId="3590" xr:uid="{A2BF6902-3B0F-420C-A91D-41F610C9A300}"/>
    <cellStyle name="Note 3 2 3 8" xfId="3671" xr:uid="{3433C9EF-35E7-4EFC-99FB-02B1C72A301E}"/>
    <cellStyle name="Note 3 2 3 8 2" xfId="7890" xr:uid="{BB30D7E7-0749-4E40-9C91-B9C73FCDA638}"/>
    <cellStyle name="Note 3 2 3 9" xfId="5745" xr:uid="{CF131A48-1CC9-49B2-A360-F0421351C108}"/>
    <cellStyle name="Note 3 2 4" xfId="1022" xr:uid="{00000000-0005-0000-0000-0000F4030000}"/>
    <cellStyle name="Note 3 2 4 2" xfId="4082" xr:uid="{E04958E2-C4A1-440D-BFBE-D550851DF7AB}"/>
    <cellStyle name="Note 3 2 4 2 2" xfId="8300" xr:uid="{880DAB14-3378-4B5A-B13F-633171964B34}"/>
    <cellStyle name="Note 3 2 4 3" xfId="6155" xr:uid="{95440A78-6C4E-45F9-98C2-E25914109C03}"/>
    <cellStyle name="Note 3 2 4 4" xfId="1853" xr:uid="{586A9BCA-7E10-41F0-B2B1-36F4322162A0}"/>
    <cellStyle name="Note 3 2 5" xfId="2266" xr:uid="{7276F0B1-72C1-4894-94C9-A92D00CA7DBD}"/>
    <cellStyle name="Note 3 2 5 2" xfId="4495" xr:uid="{01F3E603-9E1A-4F7D-960B-5BBDD7E3A334}"/>
    <cellStyle name="Note 3 2 5 2 2" xfId="8713" xr:uid="{8E771EBA-9462-47A1-8471-7FE50032753B}"/>
    <cellStyle name="Note 3 2 5 3" xfId="6568" xr:uid="{97FBA32E-5B55-475D-9565-97EA538D3779}"/>
    <cellStyle name="Note 3 2 6" xfId="2679" xr:uid="{CFF26327-45F4-4AE3-81AA-65E429C4ED5C}"/>
    <cellStyle name="Note 3 2 6 2" xfId="4908" xr:uid="{015DE2E8-99CB-492E-889E-B3FBD401DE5A}"/>
    <cellStyle name="Note 3 2 6 2 2" xfId="9126" xr:uid="{0DC450E5-9DB5-44C4-8551-5784F0621F9C}"/>
    <cellStyle name="Note 3 2 6 3" xfId="6981" xr:uid="{C9E2AD42-D4EB-4482-B465-8644B4FBCC92}"/>
    <cellStyle name="Note 3 2 7" xfId="3092" xr:uid="{1FE070A9-16BB-4E02-B578-BEE8B2CF590E}"/>
    <cellStyle name="Note 3 2 7 2" xfId="5321" xr:uid="{E17639B3-4BF2-4B18-8EFF-E63EA1BDBF73}"/>
    <cellStyle name="Note 3 2 7 2 2" xfId="9539" xr:uid="{62D9653D-F30B-46EA-A7B3-189E3CA0B517}"/>
    <cellStyle name="Note 3 2 7 3" xfId="7394" xr:uid="{668081E9-91DF-449E-994F-4F3D15037E89}"/>
    <cellStyle name="Note 3 2 8" xfId="3528" xr:uid="{FD3EE2A4-9D37-471C-932E-55EE822BC4B3}"/>
    <cellStyle name="Note 3 2 8 2" xfId="7807" xr:uid="{622F94DF-91DD-49BB-B214-B099F23E9A02}"/>
    <cellStyle name="Note 3 2 9" xfId="3587" xr:uid="{7875F475-5ED6-48F6-BBC1-0C5B32F20CE2}"/>
    <cellStyle name="Note 3 3" xfId="562" xr:uid="{00000000-0005-0000-0000-0000F5030000}"/>
    <cellStyle name="Note 3 3 10" xfId="5746" xr:uid="{0258729A-05B1-44EB-A31D-99C28E7A688C}"/>
    <cellStyle name="Note 3 3 11" xfId="1442" xr:uid="{69D8CB8D-A89D-4CBA-9642-92BFF68BEB4F}"/>
    <cellStyle name="Note 3 3 2" xfId="563" xr:uid="{00000000-0005-0000-0000-0000F6030000}"/>
    <cellStyle name="Note 3 3 2 10" xfId="1443" xr:uid="{23E76280-4972-4BA7-8206-499EE45075AF}"/>
    <cellStyle name="Note 3 3 2 2" xfId="1027" xr:uid="{00000000-0005-0000-0000-0000F7030000}"/>
    <cellStyle name="Note 3 3 2 2 2" xfId="4087" xr:uid="{0E923D95-E79C-4D01-BCA2-9BED3F04E60E}"/>
    <cellStyle name="Note 3 3 2 2 2 2" xfId="8305" xr:uid="{789F8DF1-C295-414D-86E8-F559A7D442EF}"/>
    <cellStyle name="Note 3 3 2 2 3" xfId="6160" xr:uid="{DFDCDC41-4FE5-4FA0-AE15-A03C239E30B4}"/>
    <cellStyle name="Note 3 3 2 2 4" xfId="1858" xr:uid="{E61221D8-78B2-4522-9D0A-0958208C49BF}"/>
    <cellStyle name="Note 3 3 2 3" xfId="2271" xr:uid="{1364F9EB-E49E-4A82-A3CC-F0820E1FFA01}"/>
    <cellStyle name="Note 3 3 2 3 2" xfId="4500" xr:uid="{03BB02EB-A9B9-41AF-B13D-76357F04925D}"/>
    <cellStyle name="Note 3 3 2 3 2 2" xfId="8718" xr:uid="{1D5E6464-E793-4F88-B35D-EA4B4867B9E7}"/>
    <cellStyle name="Note 3 3 2 3 3" xfId="6573" xr:uid="{F0FD6823-7551-4DA5-A67A-1B0EDA188EAC}"/>
    <cellStyle name="Note 3 3 2 4" xfId="2684" xr:uid="{EBBBBD2E-2991-420E-A0A9-75235D2EA8FE}"/>
    <cellStyle name="Note 3 3 2 4 2" xfId="4913" xr:uid="{4F813EA1-217C-4192-B924-D1BDE3628B62}"/>
    <cellStyle name="Note 3 3 2 4 2 2" xfId="9131" xr:uid="{892DD896-47B7-4BF6-8E80-ACE8C7F502A4}"/>
    <cellStyle name="Note 3 3 2 4 3" xfId="6986" xr:uid="{5EF7F2AF-8ED9-495F-BAF2-0512E47D839F}"/>
    <cellStyle name="Note 3 3 2 5" xfId="3097" xr:uid="{C02C5897-954D-41E3-B3B1-E38B9B18196E}"/>
    <cellStyle name="Note 3 3 2 5 2" xfId="5326" xr:uid="{DA4E9466-F967-4F57-88C9-3D4A8B46FC7E}"/>
    <cellStyle name="Note 3 3 2 5 2 2" xfId="9544" xr:uid="{C25BC830-4397-4607-BE62-78F6A58308F9}"/>
    <cellStyle name="Note 3 3 2 5 3" xfId="7399" xr:uid="{0E525C50-FB6F-4EF8-A5C6-2B789D0575CD}"/>
    <cellStyle name="Note 3 3 2 6" xfId="3533" xr:uid="{20572E1A-5069-47D4-8E4B-EA287B6D115E}"/>
    <cellStyle name="Note 3 3 2 6 2" xfId="7812" xr:uid="{A078CE1D-FA51-4274-9251-ACD5BDB70D98}"/>
    <cellStyle name="Note 3 3 2 7" xfId="3592" xr:uid="{A19475A1-4E50-4388-982E-EBC0E3C243D5}"/>
    <cellStyle name="Note 3 3 2 8" xfId="3673" xr:uid="{E9905DD2-0552-4813-99A3-70E2C8696834}"/>
    <cellStyle name="Note 3 3 2 8 2" xfId="7892" xr:uid="{AB2E7B7A-96D8-4580-BD51-9E63825DB19E}"/>
    <cellStyle name="Note 3 3 2 9" xfId="5747" xr:uid="{788F2D06-3490-4AAB-BEF9-42A06F35BE21}"/>
    <cellStyle name="Note 3 3 3" xfId="1026" xr:uid="{00000000-0005-0000-0000-0000F8030000}"/>
    <cellStyle name="Note 3 3 3 2" xfId="4086" xr:uid="{6D771928-BB78-422A-ADB5-93870A960B69}"/>
    <cellStyle name="Note 3 3 3 2 2" xfId="8304" xr:uid="{2FD6765F-678A-4824-A18D-D500E0E15E2B}"/>
    <cellStyle name="Note 3 3 3 3" xfId="6159" xr:uid="{47674B7F-0DA3-4195-83FE-BA7834BEDCD9}"/>
    <cellStyle name="Note 3 3 3 4" xfId="1857" xr:uid="{AF5A17DC-F066-4991-AF2F-E5EADE99F622}"/>
    <cellStyle name="Note 3 3 4" xfId="2270" xr:uid="{9591AC87-DEBC-4218-AF9E-FFFC757E176A}"/>
    <cellStyle name="Note 3 3 4 2" xfId="4499" xr:uid="{7A736140-6F27-4ED8-94D0-AD056F028E80}"/>
    <cellStyle name="Note 3 3 4 2 2" xfId="8717" xr:uid="{D1401A98-E3A5-4988-ABC9-A98925427BE0}"/>
    <cellStyle name="Note 3 3 4 3" xfId="6572" xr:uid="{18A4C710-E209-4626-AEA4-3EB60F5C886A}"/>
    <cellStyle name="Note 3 3 5" xfId="2683" xr:uid="{86C27375-BCCF-410C-8CF0-74CA555A547C}"/>
    <cellStyle name="Note 3 3 5 2" xfId="4912" xr:uid="{E3FC48E8-B7E2-4692-8FCF-B333B28C5745}"/>
    <cellStyle name="Note 3 3 5 2 2" xfId="9130" xr:uid="{412819B5-4E6B-49AD-BE4D-87E6D97CCA63}"/>
    <cellStyle name="Note 3 3 5 3" xfId="6985" xr:uid="{3D71470E-F5A1-4D8A-A1A9-4D46FB5234E1}"/>
    <cellStyle name="Note 3 3 6" xfId="3096" xr:uid="{9F8B743A-5133-47C9-9140-FEC755A84F36}"/>
    <cellStyle name="Note 3 3 6 2" xfId="5325" xr:uid="{738ECBB6-7F3A-43C1-862F-50C881A54CB8}"/>
    <cellStyle name="Note 3 3 6 2 2" xfId="9543" xr:uid="{447C340C-64B1-4B2F-95F6-2BE36E58DAA8}"/>
    <cellStyle name="Note 3 3 6 3" xfId="7398" xr:uid="{059F6E6E-8EAD-4C89-BB8C-58621F5EA2E1}"/>
    <cellStyle name="Note 3 3 7" xfId="3532" xr:uid="{D4C6DCF6-49D6-463D-A6B6-5CF2A1A19101}"/>
    <cellStyle name="Note 3 3 7 2" xfId="7811" xr:uid="{77B05578-2EB7-420E-A96C-A5E747E4A029}"/>
    <cellStyle name="Note 3 3 8" xfId="3591" xr:uid="{D49D0011-FC5F-404A-9ACB-34692A2A21D6}"/>
    <cellStyle name="Note 3 3 9" xfId="3672" xr:uid="{B578BD1F-CA63-4B1D-BF77-59CD2F8FB918}"/>
    <cellStyle name="Note 3 3 9 2" xfId="7891" xr:uid="{C2E83553-2313-4046-8D08-B3D143830C59}"/>
    <cellStyle name="Note 3 4" xfId="564" xr:uid="{00000000-0005-0000-0000-0000F9030000}"/>
    <cellStyle name="Note 3 4 10" xfId="1444" xr:uid="{E38A4A99-6357-4902-BBCA-D0D4164EEEDE}"/>
    <cellStyle name="Note 3 4 2" xfId="1028" xr:uid="{00000000-0005-0000-0000-0000FA030000}"/>
    <cellStyle name="Note 3 4 2 2" xfId="4088" xr:uid="{50B89AA5-65B8-477B-92B6-843A9344A437}"/>
    <cellStyle name="Note 3 4 2 2 2" xfId="8306" xr:uid="{BAB6E2A1-0A2B-4FFE-AD04-7662595774D5}"/>
    <cellStyle name="Note 3 4 2 3" xfId="6161" xr:uid="{85B0D87B-C7FE-4E38-BEDD-E39B8DDA41BC}"/>
    <cellStyle name="Note 3 4 2 4" xfId="1859" xr:uid="{2C7A0EA4-D9F2-426E-95F3-3EA11A430416}"/>
    <cellStyle name="Note 3 4 3" xfId="2272" xr:uid="{9188452E-AA93-45BF-A3A9-CB2C191183DB}"/>
    <cellStyle name="Note 3 4 3 2" xfId="4501" xr:uid="{239F0020-3834-418F-8695-9569AC99CA3E}"/>
    <cellStyle name="Note 3 4 3 2 2" xfId="8719" xr:uid="{6385D5F9-1D3F-4B08-A255-6380E373307D}"/>
    <cellStyle name="Note 3 4 3 3" xfId="6574" xr:uid="{FB5C4724-56A4-4F29-8E41-26BE2127E024}"/>
    <cellStyle name="Note 3 4 4" xfId="2685" xr:uid="{45C5CE99-3A7C-4CFE-938A-B20E4B0FBD08}"/>
    <cellStyle name="Note 3 4 4 2" xfId="4914" xr:uid="{10AADA7C-583E-45A3-9703-9B609A8D0B19}"/>
    <cellStyle name="Note 3 4 4 2 2" xfId="9132" xr:uid="{11A2A823-8A23-499F-86C9-20A31A40FEBA}"/>
    <cellStyle name="Note 3 4 4 3" xfId="6987" xr:uid="{8AE8D574-308F-4D6E-AF03-99CCDBE8DB13}"/>
    <cellStyle name="Note 3 4 5" xfId="3098" xr:uid="{35B6000E-D328-4EDE-81F0-A0499869D6D0}"/>
    <cellStyle name="Note 3 4 5 2" xfId="5327" xr:uid="{4364B0ED-4E0A-4396-9814-A3076C8B0E28}"/>
    <cellStyle name="Note 3 4 5 2 2" xfId="9545" xr:uid="{B2E07B0B-187E-4915-988C-AD9649C4E77A}"/>
    <cellStyle name="Note 3 4 5 3" xfId="7400" xr:uid="{0BFE71E8-4C67-4B9D-8262-380EB7FAD37A}"/>
    <cellStyle name="Note 3 4 6" xfId="3534" xr:uid="{32B034FE-5508-4B7F-857E-A96AAE942A57}"/>
    <cellStyle name="Note 3 4 6 2" xfId="7813" xr:uid="{BBD62D45-60A6-4E9A-ABE2-49D8392222D8}"/>
    <cellStyle name="Note 3 4 7" xfId="3593" xr:uid="{A496BE3E-108E-4413-8238-806BB035E128}"/>
    <cellStyle name="Note 3 4 8" xfId="3674" xr:uid="{75A2F84A-0D52-4E57-A5E0-4876DC92E19F}"/>
    <cellStyle name="Note 3 4 8 2" xfId="7893" xr:uid="{89CEF993-2BE9-4657-ACB2-21028DFF30F1}"/>
    <cellStyle name="Note 3 4 9" xfId="5748" xr:uid="{EB17C1E6-5360-438D-A78B-093C0E323684}"/>
    <cellStyle name="Note 3 5" xfId="565" xr:uid="{00000000-0005-0000-0000-0000FB030000}"/>
    <cellStyle name="Note 3 5 10" xfId="1445" xr:uid="{C22454DD-E5A0-46C5-BE23-C21DB4E73137}"/>
    <cellStyle name="Note 3 5 2" xfId="1029" xr:uid="{00000000-0005-0000-0000-0000FC030000}"/>
    <cellStyle name="Note 3 5 2 2" xfId="4089" xr:uid="{DD956C5E-4487-489D-B66F-E394876B253B}"/>
    <cellStyle name="Note 3 5 2 2 2" xfId="8307" xr:uid="{B729A38A-4477-4DEB-BD6E-C72B2D267D44}"/>
    <cellStyle name="Note 3 5 2 3" xfId="6162" xr:uid="{7E4556FE-434F-4B81-A712-C0D8AA5233E7}"/>
    <cellStyle name="Note 3 5 2 4" xfId="1860" xr:uid="{7637DB35-032A-4E1B-BFEF-F8DE4879BDD0}"/>
    <cellStyle name="Note 3 5 3" xfId="2273" xr:uid="{81D35A28-39CF-4F46-8500-C81EFAE2195E}"/>
    <cellStyle name="Note 3 5 3 2" xfId="4502" xr:uid="{42620169-0801-4BF0-82F2-971227083236}"/>
    <cellStyle name="Note 3 5 3 2 2" xfId="8720" xr:uid="{8DB2CFB8-1E0C-4EAE-8C43-D6BCAB9F13B3}"/>
    <cellStyle name="Note 3 5 3 3" xfId="6575" xr:uid="{37B1DE64-2A8E-48A4-95FC-0681FE75F7FF}"/>
    <cellStyle name="Note 3 5 4" xfId="2686" xr:uid="{DA15100F-23AD-4243-BCDF-BCD9DCA9AF04}"/>
    <cellStyle name="Note 3 5 4 2" xfId="4915" xr:uid="{EB37D95C-2D63-4A5F-81E1-7DDC5EF3710E}"/>
    <cellStyle name="Note 3 5 4 2 2" xfId="9133" xr:uid="{4657CC94-4657-4DDC-9D08-CFEE0DB033C5}"/>
    <cellStyle name="Note 3 5 4 3" xfId="6988" xr:uid="{48F2A96B-B80F-444A-B690-A55468232D9C}"/>
    <cellStyle name="Note 3 5 5" xfId="3099" xr:uid="{EB475D6B-8564-432F-AFCB-361F50758490}"/>
    <cellStyle name="Note 3 5 5 2" xfId="5328" xr:uid="{809EC8B9-B4D3-47DE-9338-9EBF1C077C6D}"/>
    <cellStyle name="Note 3 5 5 2 2" xfId="9546" xr:uid="{B5E06C9B-275D-43F4-B610-2331714DA35D}"/>
    <cellStyle name="Note 3 5 5 3" xfId="7401" xr:uid="{682B6379-67A8-4D66-A51F-FBF64E674D37}"/>
    <cellStyle name="Note 3 5 6" xfId="3535" xr:uid="{917B4CBB-E239-4900-B872-BFF4171233A6}"/>
    <cellStyle name="Note 3 5 6 2" xfId="7814" xr:uid="{F53AD379-E2E4-4911-90D1-562D4EE6700F}"/>
    <cellStyle name="Note 3 5 7" xfId="3594" xr:uid="{1F10026F-4355-44AC-BE9D-F48430041583}"/>
    <cellStyle name="Note 3 5 8" xfId="3675" xr:uid="{CCED6FEE-81E2-4BFD-ABA9-897822A448FB}"/>
    <cellStyle name="Note 3 5 8 2" xfId="7894" xr:uid="{BD2EBD15-A141-455D-8498-59C84DD66C9B}"/>
    <cellStyle name="Note 3 5 9" xfId="5749" xr:uid="{5C7450DE-05F5-45C9-A192-70CF65325C34}"/>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5332" xr:uid="{B7BEF1D2-F569-4F07-811D-538E0638EA64}"/>
    <cellStyle name="Percent 4" xfId="5335" xr:uid="{A297EE4C-B7D2-4165-9C20-01B18978213D}"/>
    <cellStyle name="Percent 4 2" xfId="9549" xr:uid="{2A4F1075-33B1-4E83-896D-8AB45797652B}"/>
    <cellStyle name="Percent 4 3" xfId="9552" xr:uid="{803524F8-3172-4564-A0EF-A136D6282E65}"/>
    <cellStyle name="Percent 4 3 2" xfId="9555" xr:uid="{F127D9B6-B3AD-41A9-9DB2-458ACA444862}"/>
    <cellStyle name="Percent 4 3 2 2" xfId="9558" xr:uid="{C3558DAD-C9D3-4535-B764-46B2AC667A2B}"/>
    <cellStyle name="Percent 4 3 2 2 2" xfId="9562" xr:uid="{0613264F-D72F-4D71-B657-24BB83105F18}"/>
    <cellStyle name="Percent 4 3 2 2 2 2" xfId="9565" xr:uid="{70DB4F2C-DCB2-41F7-A333-72926226B529}"/>
    <cellStyle name="Text Entry" xfId="568" xr:uid="{00000000-0005-0000-0000-000002040000}"/>
    <cellStyle name="Title 2" xfId="569" xr:uid="{00000000-0005-0000-0000-000003040000}"/>
    <cellStyle name="Title 2 2" xfId="3595" xr:uid="{27F06515-EAE0-4E5B-9951-1D4E6F9D7A0B}"/>
    <cellStyle name="Title 2 3" xfId="3676" xr:uid="{26C6322F-A17A-4807-AE83-7FA0BDD1FCCF}"/>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Alameda%20Housing%20Authority%20-%20North%20Housing%20PSH%20II%20Estuary%20II)\North%20Housing%20PSH%20II%20update%20for%202025%20%20as%209%25%203-2-25.xls" TargetMode="External"/><Relationship Id="rId1" Type="http://schemas.openxmlformats.org/officeDocument/2006/relationships/externalLinkPath" Target="file:///C:\Users\Elissa\Box\Elissa%20Dennis\Alameda%20Housing%20Authority%20-%20North%20Housing%20PSH%20II%20Estuary%20II)\North%20Housing%20PSH%20II%20update%20for%202025%20%20as%209%25%203-2-2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lissa\Box\Elissa%20Dennis\Alameda%20Housing%20Authority%20-%20North%20Housing%20PSH%20II%20Estuary%20II)\North%20Housing%20PSH%20II%20for%209%25%20R2%202025%20---6-27-25.xls" TargetMode="External"/><Relationship Id="rId1" Type="http://schemas.openxmlformats.org/officeDocument/2006/relationships/externalLinkPath" Target="file:///C:\Users\Elissa\Box\Elissa%20Dennis\Alameda%20Housing%20Authority%20-%20North%20Housing%20PSH%20II%20Estuary%20II)\North%20Housing%20PSH%20II%20for%209%25%20R2%202025%20---6-27-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budgets"/>
      <sheetName val="Sheet1"/>
    </sheetNames>
    <sheetDataSet>
      <sheetData sheetId="0"/>
      <sheetData sheetId="1">
        <row r="6">
          <cell r="C6">
            <v>690000</v>
          </cell>
        </row>
        <row r="24">
          <cell r="C24">
            <v>17</v>
          </cell>
          <cell r="G24">
            <v>8</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budgets"/>
      <sheetName val="Sheet1"/>
    </sheetNames>
    <sheetDataSet>
      <sheetData sheetId="0" refreshError="1"/>
      <sheetData sheetId="1" refreshError="1">
        <row r="4">
          <cell r="AX4">
            <v>5.265173836181497E-2</v>
          </cell>
        </row>
        <row r="6">
          <cell r="C6">
            <v>690000</v>
          </cell>
        </row>
        <row r="7">
          <cell r="AB7">
            <v>777</v>
          </cell>
          <cell r="AE7">
            <v>62</v>
          </cell>
        </row>
        <row r="8">
          <cell r="C8">
            <v>5000000</v>
          </cell>
          <cell r="AE8">
            <v>62</v>
          </cell>
        </row>
        <row r="9">
          <cell r="C9">
            <v>1253674</v>
          </cell>
        </row>
        <row r="10">
          <cell r="C10">
            <v>551582</v>
          </cell>
        </row>
        <row r="11">
          <cell r="AB11">
            <v>830</v>
          </cell>
          <cell r="AE11">
            <v>69</v>
          </cell>
        </row>
        <row r="12">
          <cell r="C12">
            <v>500000</v>
          </cell>
        </row>
        <row r="13">
          <cell r="C13">
            <v>89506</v>
          </cell>
        </row>
        <row r="14">
          <cell r="C14">
            <v>9761541</v>
          </cell>
        </row>
        <row r="16">
          <cell r="C16">
            <v>100</v>
          </cell>
        </row>
        <row r="17">
          <cell r="C17">
            <v>22612530</v>
          </cell>
        </row>
        <row r="23">
          <cell r="C23">
            <v>19033845.196342312</v>
          </cell>
          <cell r="F23">
            <v>7.2499999999999995E-2</v>
          </cell>
        </row>
        <row r="28">
          <cell r="AA28">
            <v>20</v>
          </cell>
          <cell r="AB28">
            <v>2324</v>
          </cell>
        </row>
        <row r="30">
          <cell r="AA30">
            <v>20</v>
          </cell>
          <cell r="AB30">
            <v>2641</v>
          </cell>
        </row>
        <row r="31">
          <cell r="C31">
            <v>371000</v>
          </cell>
        </row>
        <row r="34">
          <cell r="C34">
            <v>38400</v>
          </cell>
        </row>
        <row r="35">
          <cell r="C35">
            <v>342244</v>
          </cell>
        </row>
        <row r="42">
          <cell r="AD42">
            <v>12360</v>
          </cell>
        </row>
        <row r="46">
          <cell r="C46">
            <v>1667756</v>
          </cell>
        </row>
        <row r="47">
          <cell r="C47">
            <v>916582</v>
          </cell>
          <cell r="AD47">
            <v>159013.41097307211</v>
          </cell>
        </row>
        <row r="48">
          <cell r="C48">
            <v>20560253</v>
          </cell>
        </row>
        <row r="49">
          <cell r="C49">
            <v>1738170</v>
          </cell>
        </row>
        <row r="50">
          <cell r="C50">
            <v>433878</v>
          </cell>
          <cell r="AD50">
            <v>23000</v>
          </cell>
        </row>
        <row r="51">
          <cell r="C51">
            <v>794402</v>
          </cell>
        </row>
        <row r="52">
          <cell r="C52">
            <v>196091</v>
          </cell>
        </row>
        <row r="53">
          <cell r="C53">
            <v>899315</v>
          </cell>
          <cell r="AB53">
            <v>1451600</v>
          </cell>
        </row>
        <row r="56">
          <cell r="C56">
            <v>902717</v>
          </cell>
        </row>
        <row r="59">
          <cell r="C59">
            <v>581700</v>
          </cell>
        </row>
        <row r="61">
          <cell r="C61">
            <v>1995183.1688624236</v>
          </cell>
          <cell r="F61">
            <v>1075213.9843725453</v>
          </cell>
        </row>
        <row r="63">
          <cell r="C63">
            <v>192753.83897256732</v>
          </cell>
        </row>
        <row r="64">
          <cell r="C64">
            <v>85000</v>
          </cell>
        </row>
        <row r="65">
          <cell r="C65">
            <v>400000</v>
          </cell>
        </row>
        <row r="66">
          <cell r="C66">
            <v>100000</v>
          </cell>
        </row>
        <row r="69">
          <cell r="C69">
            <v>14516</v>
          </cell>
        </row>
        <row r="72">
          <cell r="C72">
            <v>10000</v>
          </cell>
        </row>
        <row r="73">
          <cell r="C73">
            <v>35000</v>
          </cell>
        </row>
        <row r="77">
          <cell r="C77">
            <v>115000</v>
          </cell>
        </row>
        <row r="79">
          <cell r="C79">
            <v>145000</v>
          </cell>
        </row>
        <row r="82">
          <cell r="C82">
            <v>350007.8036576907</v>
          </cell>
        </row>
        <row r="86">
          <cell r="C86">
            <v>174023.99999999997</v>
          </cell>
        </row>
        <row r="88">
          <cell r="C88">
            <v>25000</v>
          </cell>
        </row>
        <row r="89">
          <cell r="C89">
            <v>1385511.1885073259</v>
          </cell>
        </row>
        <row r="91">
          <cell r="C91">
            <v>133500</v>
          </cell>
        </row>
        <row r="92">
          <cell r="C92">
            <v>140000</v>
          </cell>
        </row>
        <row r="93">
          <cell r="C93">
            <v>92223</v>
          </cell>
        </row>
        <row r="94">
          <cell r="C94">
            <v>96000</v>
          </cell>
        </row>
        <row r="95">
          <cell r="C95">
            <v>350000</v>
          </cell>
        </row>
        <row r="96">
          <cell r="C96">
            <v>650000</v>
          </cell>
        </row>
        <row r="97">
          <cell r="C97">
            <v>740000</v>
          </cell>
        </row>
        <row r="98">
          <cell r="C98">
            <v>17000</v>
          </cell>
        </row>
        <row r="99">
          <cell r="C99">
            <v>306000</v>
          </cell>
        </row>
        <row r="100">
          <cell r="C100">
            <v>185500</v>
          </cell>
        </row>
        <row r="101">
          <cell r="C101">
            <v>450000</v>
          </cell>
        </row>
        <row r="105">
          <cell r="C105">
            <v>2800000</v>
          </cell>
        </row>
        <row r="119">
          <cell r="C119">
            <v>227033</v>
          </cell>
        </row>
        <row r="130">
          <cell r="C130">
            <v>27777777.77777778</v>
          </cell>
        </row>
        <row r="135">
          <cell r="J135">
            <v>0.85091868000000004</v>
          </cell>
        </row>
        <row r="136">
          <cell r="F136">
            <v>0.8</v>
          </cell>
        </row>
        <row r="177">
          <cell r="C177">
            <v>-289346</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2" t="s">
        <v>2022</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11" t="s">
        <v>2023</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4"/>
      <c r="B5" s="894"/>
      <c r="I5" s="895"/>
      <c r="K5" s="896"/>
    </row>
    <row r="6" spans="1:57">
      <c r="A6" s="894"/>
      <c r="B6" s="894"/>
      <c r="D6" s="892" t="s">
        <v>2026</v>
      </c>
      <c r="I6" s="895"/>
      <c r="K6" s="896"/>
      <c r="U6" s="1921"/>
      <c r="V6" s="1921"/>
      <c r="W6" s="1921"/>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12"/>
      <c r="Q9" s="1912"/>
      <c r="R9" s="1912"/>
      <c r="S9" s="1912"/>
      <c r="T9" s="1912"/>
    </row>
    <row r="10" spans="1:57">
      <c r="A10" s="894"/>
      <c r="B10" s="894"/>
      <c r="I10" s="895"/>
      <c r="K10" s="896"/>
    </row>
    <row r="11" spans="1:57">
      <c r="A11" s="1911" t="s">
        <v>2029</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2" t="s">
        <v>108</v>
      </c>
    </row>
    <row r="12" spans="1:57">
      <c r="A12" s="894"/>
      <c r="B12" s="894"/>
      <c r="I12" s="895"/>
      <c r="K12" s="896"/>
      <c r="BC12" s="892" t="s">
        <v>482</v>
      </c>
    </row>
    <row r="13" spans="1:57">
      <c r="A13" s="894"/>
      <c r="B13" s="894"/>
      <c r="D13" s="892" t="s">
        <v>2030</v>
      </c>
      <c r="I13" s="895"/>
      <c r="K13" s="896"/>
      <c r="T13" s="1921"/>
      <c r="U13" s="1921"/>
      <c r="V13" s="1921"/>
    </row>
    <row r="14" spans="1:57">
      <c r="A14" s="894"/>
      <c r="B14" s="894"/>
      <c r="E14" s="892" t="s">
        <v>2037</v>
      </c>
      <c r="I14" s="895"/>
      <c r="K14" s="896"/>
      <c r="N14" s="1909"/>
      <c r="O14" s="1909"/>
      <c r="P14" s="1909"/>
      <c r="Q14" s="1909"/>
      <c r="R14" s="1909"/>
      <c r="S14" s="1909"/>
      <c r="T14" s="1909"/>
      <c r="U14" s="1909"/>
      <c r="V14" s="1909"/>
      <c r="W14" s="1909"/>
      <c r="X14" s="1909"/>
      <c r="Y14" s="1909"/>
      <c r="Z14" s="1909"/>
      <c r="AA14" s="1909"/>
      <c r="AB14" s="1909"/>
      <c r="AC14" s="1909"/>
      <c r="AD14" s="1909"/>
      <c r="AE14" s="1909"/>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 ca="1">'Basis &amp; Credits'!AB55</f>
        <v>2500000</v>
      </c>
    </row>
    <row r="16" spans="1:57">
      <c r="A16" s="894"/>
      <c r="B16" s="894"/>
      <c r="BC16" s="892" t="s">
        <v>2041</v>
      </c>
      <c r="BE16" s="892">
        <f ca="1">'Basis &amp; Credits'!T11+'Basis &amp; Credits'!AD11</f>
        <v>37718066</v>
      </c>
    </row>
    <row r="17" spans="1:43">
      <c r="A17" s="894"/>
      <c r="B17" s="894"/>
      <c r="D17" s="892" t="s">
        <v>2032</v>
      </c>
      <c r="I17" s="895"/>
      <c r="K17" s="896"/>
      <c r="U17" s="1910" t="str">
        <f>IF(T13="yes",(BE15/BE16)," ")</f>
        <v xml:space="preserve"> </v>
      </c>
      <c r="V17" s="1910"/>
      <c r="W17" s="1910"/>
      <c r="X17" s="1910"/>
      <c r="Y17" s="1910"/>
    </row>
    <row r="18" spans="1:43">
      <c r="A18" s="894"/>
      <c r="B18" s="894"/>
      <c r="I18" s="895"/>
      <c r="K18" s="896"/>
    </row>
    <row r="19" spans="1:43">
      <c r="A19" s="1911" t="s">
        <v>2034</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4"/>
      <c r="D20" s="894"/>
      <c r="K20" s="895"/>
      <c r="M20" s="896"/>
    </row>
    <row r="21" spans="1:43">
      <c r="C21" s="894"/>
      <c r="D21" s="894"/>
      <c r="K21" s="895"/>
      <c r="M21" s="896"/>
    </row>
    <row r="22" spans="1:43">
      <c r="C22" s="897" t="s">
        <v>728</v>
      </c>
      <c r="D22" s="897"/>
      <c r="E22" s="892" t="s">
        <v>2035</v>
      </c>
      <c r="H22" s="898"/>
      <c r="K22" s="892"/>
      <c r="Q22" s="1913">
        <f ca="1">ROUND('Basis &amp; Credits'!AB55,0)</f>
        <v>2500000</v>
      </c>
      <c r="R22" s="1913"/>
      <c r="S22" s="1913"/>
      <c r="T22" s="1913"/>
      <c r="U22" s="1913"/>
      <c r="V22" s="1913"/>
      <c r="W22" s="1913"/>
      <c r="X22" s="1913"/>
      <c r="Y22" s="912"/>
    </row>
    <row r="23" spans="1:43">
      <c r="C23" s="894"/>
      <c r="D23" s="894"/>
      <c r="G23" s="899"/>
      <c r="H23" s="899"/>
      <c r="I23" s="900"/>
      <c r="J23" s="900"/>
      <c r="K23" s="899"/>
      <c r="M23" s="893"/>
    </row>
    <row r="24" spans="1:43">
      <c r="C24" s="901"/>
      <c r="D24" s="901"/>
      <c r="E24" s="902"/>
      <c r="J24" s="900"/>
      <c r="K24" s="892"/>
      <c r="L24" s="1920" t="s">
        <v>2012</v>
      </c>
      <c r="M24" s="1920"/>
      <c r="N24" s="1920"/>
      <c r="P24" s="1916" t="s">
        <v>2013</v>
      </c>
      <c r="Q24" s="1916"/>
      <c r="R24" s="1916"/>
      <c r="S24" s="1916"/>
      <c r="T24" s="1916"/>
      <c r="V24" s="1916" t="s">
        <v>2014</v>
      </c>
      <c r="W24" s="1916"/>
      <c r="X24" s="1916"/>
    </row>
    <row r="25" spans="1:43">
      <c r="C25" s="897" t="s">
        <v>190</v>
      </c>
      <c r="D25" s="897"/>
      <c r="E25" s="892" t="s">
        <v>986</v>
      </c>
      <c r="J25" s="900"/>
      <c r="L25" s="1917" t="s">
        <v>2015</v>
      </c>
      <c r="M25" s="1917"/>
      <c r="N25" s="1917"/>
      <c r="P25" s="1917" t="s">
        <v>2016</v>
      </c>
      <c r="Q25" s="1917"/>
      <c r="R25" s="1917"/>
      <c r="S25" s="1917"/>
      <c r="T25" s="1917"/>
      <c r="V25" s="1917" t="s">
        <v>2015</v>
      </c>
      <c r="W25" s="1917"/>
      <c r="X25" s="1917"/>
    </row>
    <row r="26" spans="1:43">
      <c r="C26" s="894"/>
      <c r="D26" s="894"/>
      <c r="E26" s="903" t="s">
        <v>2017</v>
      </c>
      <c r="F26" s="903"/>
      <c r="J26" s="904"/>
      <c r="L26" s="1914">
        <f>Application!BN634</f>
        <v>25</v>
      </c>
      <c r="M26" s="1914"/>
      <c r="N26" s="1914"/>
      <c r="P26" s="1918">
        <v>0.9</v>
      </c>
      <c r="Q26" s="1918"/>
      <c r="R26" s="1918"/>
      <c r="S26" s="1918"/>
      <c r="T26" s="1918"/>
      <c r="V26" s="1918">
        <f>L26*P26</f>
        <v>22.5</v>
      </c>
      <c r="W26" s="1918"/>
      <c r="X26" s="1918"/>
    </row>
    <row r="27" spans="1:43">
      <c r="C27" s="894"/>
      <c r="D27" s="894"/>
      <c r="E27" s="892" t="s">
        <v>2018</v>
      </c>
      <c r="J27" s="904"/>
      <c r="L27" s="1923">
        <f>Application!BS634</f>
        <v>21</v>
      </c>
      <c r="M27" s="1923">
        <f>Application!BS642+Application!BS651+Application!CX665</f>
        <v>0</v>
      </c>
      <c r="N27" s="1923"/>
      <c r="P27" s="1919">
        <v>1</v>
      </c>
      <c r="Q27" s="1919"/>
      <c r="R27" s="1919"/>
      <c r="S27" s="1919"/>
      <c r="T27" s="1919"/>
      <c r="V27" s="1919">
        <f>L27*P27</f>
        <v>21</v>
      </c>
      <c r="W27" s="1919"/>
      <c r="X27" s="1919"/>
    </row>
    <row r="28" spans="1:43">
      <c r="C28" s="894"/>
      <c r="D28" s="894"/>
      <c r="E28" s="892" t="s">
        <v>2019</v>
      </c>
      <c r="J28" s="904"/>
      <c r="L28" s="1923">
        <f>Application!BX634</f>
        <v>0</v>
      </c>
      <c r="M28" s="1923">
        <f>Application!BX642+Application!BX651+Application!DC665</f>
        <v>0</v>
      </c>
      <c r="N28" s="1923"/>
      <c r="P28" s="1919">
        <v>1.25</v>
      </c>
      <c r="Q28" s="1919"/>
      <c r="R28" s="1919"/>
      <c r="S28" s="1919"/>
      <c r="T28" s="1919"/>
      <c r="V28" s="1919">
        <f>L28*P28</f>
        <v>0</v>
      </c>
      <c r="W28" s="1919"/>
      <c r="X28" s="1919"/>
    </row>
    <row r="29" spans="1:43">
      <c r="C29" s="894"/>
      <c r="D29" s="894"/>
      <c r="E29" s="892" t="s">
        <v>2020</v>
      </c>
      <c r="J29" s="904"/>
      <c r="L29" s="1923">
        <f>Application!CC634</f>
        <v>0</v>
      </c>
      <c r="M29" s="1923">
        <f>Application!CC642+Application!CC651+Application!DH665</f>
        <v>0</v>
      </c>
      <c r="N29" s="1923"/>
      <c r="P29" s="1919">
        <v>1.5</v>
      </c>
      <c r="Q29" s="1919"/>
      <c r="R29" s="1919"/>
      <c r="S29" s="1919"/>
      <c r="T29" s="1919"/>
      <c r="V29" s="1919">
        <f>L29*P29</f>
        <v>0</v>
      </c>
      <c r="W29" s="1919"/>
      <c r="X29" s="1919"/>
    </row>
    <row r="30" spans="1:43">
      <c r="C30" s="894"/>
      <c r="D30" s="894"/>
      <c r="E30" s="892" t="s">
        <v>2021</v>
      </c>
      <c r="J30" s="904"/>
      <c r="L30" s="1924">
        <f>Application!CH634+Application!CM634</f>
        <v>0</v>
      </c>
      <c r="M30" s="1924"/>
      <c r="N30" s="1924"/>
      <c r="P30" s="1919">
        <v>1.75</v>
      </c>
      <c r="Q30" s="1919"/>
      <c r="R30" s="1919">
        <f>1.75+0.25*0</f>
        <v>1.75</v>
      </c>
      <c r="S30" s="1919"/>
      <c r="T30" s="1919"/>
      <c r="V30" s="1928">
        <f>L30*P30</f>
        <v>0</v>
      </c>
      <c r="W30" s="1928"/>
      <c r="X30" s="1928"/>
    </row>
    <row r="31" spans="1:43">
      <c r="C31" s="894"/>
      <c r="D31" s="894"/>
      <c r="L31" s="1914">
        <f>SUM(L26:N30)</f>
        <v>46</v>
      </c>
      <c r="M31" s="1915"/>
      <c r="N31" s="1915"/>
      <c r="V31" s="1918">
        <f>SUM(V26:X30)</f>
        <v>43.5</v>
      </c>
      <c r="W31" s="1918"/>
      <c r="X31" s="1918"/>
    </row>
    <row r="32" spans="1:43">
      <c r="C32" s="894"/>
      <c r="D32" s="894"/>
      <c r="K32" s="905"/>
    </row>
    <row r="33" spans="1:27">
      <c r="C33" s="897" t="s">
        <v>191</v>
      </c>
      <c r="D33" s="897"/>
      <c r="E33" s="894" t="s">
        <v>2036</v>
      </c>
      <c r="H33" s="906"/>
      <c r="I33" s="907"/>
      <c r="J33" s="908"/>
      <c r="K33" s="905"/>
      <c r="M33" s="893"/>
      <c r="V33" s="1925">
        <f ca="1">IF(V31&gt;0,V31/Q22," ")</f>
        <v>1.7399999999999999E-5</v>
      </c>
      <c r="W33" s="1926"/>
      <c r="X33" s="1926"/>
      <c r="Y33" s="1926"/>
      <c r="Z33" s="1926"/>
      <c r="AA33" s="1927"/>
    </row>
    <row r="34" spans="1:27">
      <c r="K34" s="892"/>
      <c r="M34" s="893"/>
    </row>
    <row r="35" spans="1:27">
      <c r="E35" s="894" t="s">
        <v>2042</v>
      </c>
      <c r="F35" s="894"/>
      <c r="G35" s="894"/>
      <c r="H35" s="894"/>
      <c r="I35" s="894"/>
      <c r="J35" s="894"/>
      <c r="K35" s="894"/>
      <c r="L35" s="894"/>
      <c r="M35" s="914"/>
      <c r="N35" s="894"/>
      <c r="O35" s="894"/>
      <c r="P35" s="894"/>
      <c r="Q35" s="894"/>
      <c r="R35" s="894"/>
      <c r="V35" s="1906">
        <f ca="1">IF(V31&gt;0,1/V33," ")</f>
        <v>57471.264367816097</v>
      </c>
      <c r="W35" s="1907"/>
      <c r="X35" s="1907"/>
      <c r="Y35" s="1907"/>
      <c r="Z35" s="1907"/>
      <c r="AA35" s="190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8" workbookViewId="0">
      <selection activeCell="Q71" sqref="Q71:R71"/>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5" t="s">
        <v>1851</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2105</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2210</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2190</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2106</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1790</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1791</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1689</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1603</v>
      </c>
      <c r="C29" s="1937"/>
      <c r="D29" s="1937"/>
      <c r="E29" s="1937"/>
      <c r="F29" s="1937"/>
      <c r="G29" s="1937"/>
      <c r="H29" s="373"/>
      <c r="I29" s="373"/>
      <c r="J29" s="373"/>
      <c r="K29" s="373"/>
      <c r="L29" s="373"/>
      <c r="M29" s="373"/>
      <c r="N29" s="373"/>
      <c r="O29" s="1935" t="s">
        <v>1612</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992</v>
      </c>
      <c r="K32" s="1941">
        <v>1</v>
      </c>
      <c r="M32" s="506"/>
      <c r="O32" s="1936"/>
      <c r="P32" s="1940" t="s">
        <v>1929</v>
      </c>
    </row>
    <row r="33" spans="1:21" ht="15" customHeight="1">
      <c r="B33" s="1942" t="s">
        <v>1607</v>
      </c>
      <c r="C33" s="1942"/>
      <c r="D33" s="1942"/>
      <c r="E33" s="1942"/>
      <c r="F33" s="1942"/>
      <c r="G33" s="1942"/>
      <c r="I33" s="1939"/>
      <c r="J33" s="1940"/>
      <c r="K33" s="1941"/>
      <c r="M33" s="507"/>
      <c r="O33" s="1942"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1597</v>
      </c>
      <c r="C37" s="1946"/>
      <c r="D37" s="1946"/>
      <c r="E37" s="1946"/>
      <c r="F37" s="513"/>
      <c r="G37" s="513"/>
      <c r="H37" s="514"/>
      <c r="I37" s="373"/>
      <c r="J37" s="373"/>
      <c r="L37" s="526"/>
      <c r="M37" s="526"/>
      <c r="N37" s="526"/>
      <c r="O37" s="526"/>
      <c r="P37" s="526"/>
      <c r="Q37" s="526"/>
      <c r="R37" s="526"/>
      <c r="S37" s="526"/>
    </row>
    <row r="38" spans="1:21" ht="15" customHeight="1">
      <c r="B38" s="1951" t="s">
        <v>1613</v>
      </c>
      <c r="C38" s="1951"/>
      <c r="D38" s="1951"/>
      <c r="E38" s="1951"/>
      <c r="F38" s="647"/>
      <c r="G38" s="515">
        <f>D110</f>
        <v>7207857.5745303351</v>
      </c>
      <c r="H38" s="381"/>
      <c r="I38" s="516"/>
      <c r="J38" s="381"/>
      <c r="K38" s="1958" t="s">
        <v>2207</v>
      </c>
      <c r="L38" s="1958"/>
      <c r="M38" s="1958"/>
      <c r="N38" s="1958"/>
      <c r="O38" s="1958"/>
      <c r="P38" s="1958"/>
      <c r="Q38" s="1958"/>
      <c r="R38" s="1958"/>
      <c r="S38" s="1958"/>
    </row>
    <row r="39" spans="1:21" ht="15" customHeight="1">
      <c r="B39" s="1952" t="s">
        <v>1283</v>
      </c>
      <c r="C39" s="1952"/>
      <c r="D39" s="1952"/>
      <c r="E39" s="1952"/>
      <c r="F39" s="647"/>
      <c r="G39" s="629">
        <f>Application!AO630</f>
        <v>1253674</v>
      </c>
      <c r="H39" s="381"/>
      <c r="I39" s="516"/>
      <c r="J39" s="381"/>
      <c r="K39" s="1958"/>
      <c r="L39" s="1958"/>
      <c r="M39" s="1958"/>
      <c r="N39" s="1958"/>
      <c r="O39" s="1958"/>
      <c r="P39" s="1958"/>
      <c r="Q39" s="1958"/>
      <c r="R39" s="1958"/>
      <c r="S39" s="1958"/>
    </row>
    <row r="40" spans="1:21" ht="15" customHeight="1">
      <c r="B40" s="1952" t="s">
        <v>1284</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1608</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tr">
        <f>Application!C631</f>
        <v>HCD- NHTF</v>
      </c>
      <c r="C42" s="631"/>
      <c r="D42" s="625"/>
      <c r="E42" s="649">
        <f>Application!AO631</f>
        <v>9761541</v>
      </c>
      <c r="F42" s="647"/>
      <c r="G42" s="381"/>
      <c r="H42" s="381"/>
      <c r="I42" s="516"/>
      <c r="J42" s="381"/>
      <c r="K42" s="1956"/>
      <c r="L42" s="1956"/>
      <c r="M42" s="1956"/>
      <c r="N42" s="1956"/>
      <c r="O42" s="1956"/>
      <c r="Q42" s="1959"/>
      <c r="R42" s="1959"/>
      <c r="U42" s="751" t="s">
        <v>124</v>
      </c>
    </row>
    <row r="43" spans="1:21" ht="15" customHeight="1">
      <c r="B43" s="631" t="str">
        <f>Application!C632</f>
        <v>Alameda Affordable Housing Trust Fund/AAHC</v>
      </c>
      <c r="C43" s="631"/>
      <c r="D43" s="501"/>
      <c r="E43" s="649">
        <f>Application!AO632</f>
        <v>5000000</v>
      </c>
      <c r="F43" s="647"/>
      <c r="G43" s="381"/>
      <c r="H43" s="381"/>
      <c r="I43" s="516"/>
      <c r="J43" s="381"/>
      <c r="L43" s="381"/>
      <c r="M43" s="373"/>
      <c r="N43" s="373"/>
      <c r="O43" s="373"/>
      <c r="Q43" s="517"/>
      <c r="R43" s="517"/>
      <c r="U43" s="751" t="s">
        <v>2206</v>
      </c>
    </row>
    <row r="44" spans="1:21" ht="15" customHeight="1">
      <c r="B44" s="631" t="str">
        <f>Application!C633</f>
        <v>City of Alameda PLHA</v>
      </c>
      <c r="C44" s="631"/>
      <c r="D44" s="501"/>
      <c r="E44" s="649">
        <f>Application!AO633</f>
        <v>551582</v>
      </c>
      <c r="F44" s="647"/>
      <c r="G44" s="381"/>
      <c r="H44" s="381"/>
      <c r="I44" s="516"/>
      <c r="K44" s="380" t="s">
        <v>1842</v>
      </c>
      <c r="Q44" s="1959"/>
      <c r="R44" s="1959"/>
    </row>
    <row r="45" spans="1:21" ht="15" customHeight="1">
      <c r="B45" s="631" t="str">
        <f>Application!C634</f>
        <v>AHP</v>
      </c>
      <c r="C45" s="631"/>
      <c r="D45" s="501"/>
      <c r="E45" s="649">
        <f>Application!AO634</f>
        <v>690000</v>
      </c>
      <c r="F45" s="647"/>
      <c r="G45" s="381"/>
      <c r="H45" s="381"/>
      <c r="I45" s="516"/>
      <c r="K45" s="385" t="s">
        <v>1837</v>
      </c>
      <c r="L45" s="385"/>
      <c r="M45" s="381"/>
      <c r="N45" s="381"/>
      <c r="O45" s="381"/>
      <c r="P45" s="381"/>
    </row>
    <row r="46" spans="1:21" ht="15" customHeight="1">
      <c r="B46" s="631" t="str">
        <f>Application!C635</f>
        <v>Alameda Housing Authority</v>
      </c>
      <c r="C46" s="631"/>
      <c r="D46" s="501"/>
      <c r="E46" s="649">
        <f>Application!AO635</f>
        <v>500000</v>
      </c>
      <c r="F46" s="647"/>
      <c r="G46" s="381"/>
      <c r="H46" s="381"/>
      <c r="I46" s="516"/>
      <c r="J46" s="381"/>
      <c r="K46" s="1933" t="s">
        <v>1838</v>
      </c>
      <c r="L46" s="1933"/>
      <c r="M46" s="1933"/>
      <c r="N46" s="1933"/>
      <c r="O46" s="1933"/>
      <c r="Q46" s="1930"/>
      <c r="R46" s="1930"/>
    </row>
    <row r="47" spans="1:21" ht="15" customHeight="1">
      <c r="B47" s="631" t="str">
        <f>Application!C636</f>
        <v>City of Alameda HOME</v>
      </c>
      <c r="C47" s="631"/>
      <c r="D47" s="501"/>
      <c r="E47" s="649">
        <f>Application!AO636</f>
        <v>89506</v>
      </c>
      <c r="F47" s="647"/>
      <c r="G47" s="381"/>
      <c r="H47" s="381"/>
      <c r="I47" s="516"/>
      <c r="J47" s="381"/>
      <c r="K47" s="1934" t="s">
        <v>1839</v>
      </c>
      <c r="L47" s="1934"/>
      <c r="M47" s="1934"/>
      <c r="N47" s="1934"/>
      <c r="O47" s="1934"/>
      <c r="Q47" s="1932"/>
      <c r="R47" s="1932"/>
    </row>
    <row r="48" spans="1:21" ht="15" customHeight="1">
      <c r="B48" s="631"/>
      <c r="C48" s="631"/>
      <c r="D48" s="501"/>
      <c r="E48" s="649"/>
      <c r="F48" s="647"/>
      <c r="G48" s="381"/>
      <c r="H48" s="381"/>
      <c r="I48" s="516"/>
      <c r="J48" s="381"/>
      <c r="K48" s="1931" t="s">
        <v>1840</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f>-[2]budgets!$C$177</f>
        <v>289346</v>
      </c>
      <c r="F51" s="647"/>
      <c r="G51" s="381"/>
      <c r="H51" s="381"/>
      <c r="I51" s="516"/>
      <c r="J51" s="381"/>
    </row>
    <row r="52" spans="1:29" ht="15" customHeight="1">
      <c r="B52" s="1951" t="s">
        <v>1604</v>
      </c>
      <c r="C52" s="1951"/>
      <c r="D52" s="1951"/>
      <c r="E52" s="1951"/>
      <c r="F52" s="647"/>
      <c r="G52" s="515">
        <f>SUM(E42:E49)-ABS(E50)-ABS(E51)</f>
        <v>16303283</v>
      </c>
      <c r="H52" s="381"/>
      <c r="I52" s="516"/>
      <c r="J52" s="381"/>
    </row>
    <row r="53" spans="1:29" ht="15" customHeight="1">
      <c r="C53" s="520"/>
      <c r="D53" s="520" t="s">
        <v>875</v>
      </c>
      <c r="E53" s="520"/>
      <c r="F53" s="520"/>
      <c r="G53" s="521">
        <f>SUM(G38:G40)+G52</f>
        <v>24764814.574530333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4" t="s">
        <v>1264</v>
      </c>
      <c r="C56" s="1954"/>
      <c r="D56" s="647"/>
      <c r="E56" s="647"/>
      <c r="F56" s="647"/>
      <c r="G56" s="647"/>
      <c r="H56" s="647"/>
      <c r="I56" s="647"/>
      <c r="J56" s="647"/>
      <c r="K56" s="647"/>
      <c r="L56" s="647"/>
      <c r="M56" s="647"/>
      <c r="N56" s="647"/>
      <c r="O56" s="647"/>
      <c r="P56" s="647"/>
      <c r="U56" s="948" t="s">
        <v>1785</v>
      </c>
      <c r="AC56" s="949">
        <v>0.2</v>
      </c>
    </row>
    <row r="57" spans="1:29" ht="15" customHeight="1">
      <c r="A57" s="518"/>
      <c r="B57" s="1955" t="s">
        <v>1599</v>
      </c>
      <c r="C57" s="1955"/>
      <c r="D57" s="1955"/>
      <c r="E57" s="1955"/>
      <c r="F57" s="1955"/>
      <c r="G57" s="1955"/>
      <c r="H57" s="1955"/>
      <c r="I57" s="1955"/>
      <c r="J57" s="1955"/>
      <c r="K57" s="1955"/>
      <c r="L57" s="1955"/>
      <c r="M57" s="1955"/>
      <c r="N57" s="1955"/>
      <c r="O57" s="1955"/>
      <c r="P57" s="647"/>
      <c r="U57" s="948" t="s">
        <v>1786</v>
      </c>
      <c r="AC57" s="949">
        <v>0.1</v>
      </c>
    </row>
    <row r="58" spans="1:29" ht="15" customHeight="1">
      <c r="B58" s="1946" t="s">
        <v>2205</v>
      </c>
      <c r="C58" s="1947"/>
      <c r="D58" s="1947"/>
      <c r="E58" s="1947"/>
      <c r="F58" s="523"/>
      <c r="G58" s="523"/>
      <c r="H58" s="513"/>
      <c r="I58" s="513"/>
      <c r="J58" s="1948">
        <f ca="1">('Sources and Uses Budget'!D104+Q47)/('Sources and Uses Budget'!B104+Q48)</f>
        <v>0</v>
      </c>
      <c r="K58" s="1949"/>
      <c r="L58" s="1949"/>
      <c r="M58" s="1949"/>
      <c r="N58" s="1950"/>
      <c r="O58" s="513"/>
      <c r="P58" s="513"/>
      <c r="U58" s="948" t="s">
        <v>1787</v>
      </c>
      <c r="AC58" s="949">
        <v>0.1</v>
      </c>
    </row>
    <row r="59" spans="1:29" ht="15" customHeight="1">
      <c r="B59" s="1929" t="s">
        <v>2107</v>
      </c>
      <c r="C59" s="1929"/>
      <c r="D59" s="1929"/>
      <c r="E59" s="1929"/>
      <c r="F59" s="1929"/>
      <c r="G59" s="1929"/>
      <c r="H59" s="1929"/>
      <c r="I59" s="1929"/>
      <c r="J59" s="1929"/>
      <c r="K59" s="1929"/>
      <c r="L59" s="1929"/>
      <c r="M59" s="1929"/>
      <c r="N59" s="1929"/>
      <c r="O59" s="1929"/>
      <c r="P59" s="513"/>
      <c r="U59" s="948" t="s">
        <v>1788</v>
      </c>
      <c r="AC59" s="949">
        <v>0.05</v>
      </c>
    </row>
    <row r="60" spans="1:29" ht="15" customHeight="1">
      <c r="B60" s="1929"/>
      <c r="C60" s="1929"/>
      <c r="D60" s="1929"/>
      <c r="E60" s="1929"/>
      <c r="F60" s="1929"/>
      <c r="G60" s="1929"/>
      <c r="H60" s="1929"/>
      <c r="I60" s="1929"/>
      <c r="J60" s="1929"/>
      <c r="K60" s="1929"/>
      <c r="L60" s="1929"/>
      <c r="M60" s="1929"/>
      <c r="N60" s="1929"/>
      <c r="O60" s="1929"/>
      <c r="P60" s="513"/>
      <c r="AC60" s="950"/>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2208</v>
      </c>
      <c r="K63" s="1962"/>
      <c r="L63" s="1962"/>
      <c r="M63" s="1962"/>
      <c r="N63" s="1962"/>
      <c r="O63" s="1962"/>
      <c r="P63" s="1962"/>
      <c r="Q63" s="1962"/>
      <c r="R63" s="1962"/>
    </row>
    <row r="64" spans="1:29" ht="15" customHeight="1" thickBot="1">
      <c r="B64" s="1954" t="s">
        <v>1609</v>
      </c>
      <c r="C64" s="1954"/>
      <c r="D64" s="373"/>
      <c r="F64" s="373"/>
      <c r="G64" s="520" t="s">
        <v>1841</v>
      </c>
      <c r="H64" s="373"/>
      <c r="I64" s="755"/>
      <c r="J64" s="1963"/>
      <c r="K64" s="1964"/>
      <c r="L64" s="1964"/>
      <c r="M64" s="1964"/>
      <c r="N64" s="1964"/>
      <c r="O64" s="1964"/>
      <c r="P64" s="1964"/>
      <c r="Q64" s="1964"/>
      <c r="R64" s="1964"/>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3"/>
      <c r="K65" s="1964"/>
      <c r="L65" s="1964"/>
      <c r="M65" s="1964"/>
      <c r="N65" s="1964"/>
      <c r="O65" s="1964"/>
      <c r="P65" s="1964"/>
      <c r="Q65" s="1964"/>
      <c r="R65" s="1964"/>
      <c r="U65" s="947">
        <f>IF(J67="Non-rural project, Census Tract is Highest Resource (20 percentage points)",AC56,0)</f>
        <v>0</v>
      </c>
    </row>
    <row r="66" spans="1:22" ht="15" customHeight="1" thickBot="1">
      <c r="B66" s="525" t="s">
        <v>1677</v>
      </c>
      <c r="C66" s="635">
        <f>Application!AG438-Application!AG439</f>
        <v>46</v>
      </c>
      <c r="D66" s="785"/>
      <c r="E66" s="525" t="s">
        <v>1844</v>
      </c>
      <c r="F66" s="785"/>
      <c r="G66" s="652"/>
      <c r="H66" s="526"/>
      <c r="I66" s="756"/>
      <c r="J66" s="1963"/>
      <c r="K66" s="1964"/>
      <c r="L66" s="1964"/>
      <c r="M66" s="1964"/>
      <c r="N66" s="1964"/>
      <c r="O66" s="1964"/>
      <c r="P66" s="1964"/>
      <c r="Q66" s="1964"/>
      <c r="R66" s="1964"/>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46</v>
      </c>
      <c r="H67" s="526"/>
      <c r="I67" s="756"/>
      <c r="J67" s="1960" t="s">
        <v>124</v>
      </c>
      <c r="K67" s="1957"/>
      <c r="L67" s="1957"/>
      <c r="M67" s="1957"/>
      <c r="N67" s="1957"/>
      <c r="O67" s="1957"/>
      <c r="P67" s="1957"/>
      <c r="Q67" s="1957"/>
      <c r="R67" s="195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3">
        <f>SUM(U62:U68)</f>
        <v>0</v>
      </c>
    </row>
    <row r="70" spans="1:22" ht="15" customHeight="1" thickBot="1">
      <c r="B70" s="505" t="s">
        <v>1606</v>
      </c>
      <c r="C70" s="505"/>
      <c r="D70" s="505"/>
      <c r="E70" s="505"/>
      <c r="F70" s="505"/>
      <c r="G70" s="505"/>
      <c r="U70" s="1944"/>
      <c r="V70" s="370" t="s">
        <v>1789</v>
      </c>
    </row>
    <row r="71" spans="1:22" ht="15" customHeight="1">
      <c r="B71" s="1951" t="s">
        <v>1610</v>
      </c>
      <c r="C71" s="1951"/>
      <c r="D71" s="1951"/>
      <c r="E71" s="505"/>
      <c r="F71" s="505"/>
      <c r="G71" s="515">
        <f ca="1">G53*(1-J58)</f>
        <v>24764814.574530333</v>
      </c>
      <c r="J71" s="527"/>
      <c r="K71" s="684" t="s">
        <v>1612</v>
      </c>
      <c r="L71" s="684"/>
      <c r="M71" s="684"/>
      <c r="N71" s="684"/>
      <c r="O71" s="684"/>
      <c r="Q71" s="1933">
        <f ca="1">'Basis &amp; Credits'!T23+'Basis &amp; Credits'!Y23+'Basis &amp; Credits'!AD23+'Basis &amp; Credits'!AI23</f>
        <v>27777778</v>
      </c>
      <c r="R71" s="1933"/>
    </row>
    <row r="72" spans="1:22" ht="15" customHeight="1">
      <c r="B72" s="1965" t="s">
        <v>1611</v>
      </c>
      <c r="C72" s="1965"/>
      <c r="D72" s="1965"/>
      <c r="E72" s="505"/>
      <c r="F72" s="505"/>
      <c r="G72" s="515">
        <f ca="1">G71*C67</f>
        <v>24764814.574530333</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 ca="1">$G$72</f>
        <v>24764814.574530333</v>
      </c>
      <c r="C75" s="1967"/>
      <c r="D75" s="1967"/>
      <c r="E75" s="1967"/>
      <c r="F75" s="1967"/>
      <c r="G75" s="1967"/>
      <c r="H75" s="528"/>
      <c r="I75" s="1939" t="s">
        <v>139</v>
      </c>
      <c r="J75" s="1940" t="s">
        <v>992</v>
      </c>
      <c r="K75" s="1939">
        <v>1</v>
      </c>
      <c r="M75" s="392"/>
      <c r="N75" s="507"/>
      <c r="O75" s="654">
        <f ca="1">$Q$71</f>
        <v>27777778</v>
      </c>
      <c r="P75" s="1940" t="s">
        <v>1929</v>
      </c>
      <c r="Q75" s="1968" t="s">
        <v>138</v>
      </c>
      <c r="R75" s="1971">
        <f ca="1">((B75/B76)+((1-(O75/O76))/2))+U69</f>
        <v>0.76274061729901121</v>
      </c>
    </row>
    <row r="76" spans="1:22" ht="15" customHeight="1" thickBot="1">
      <c r="B76" s="1969">
        <f ca="1">'Sources and Uses Budget'!$C$104+$Q$46-($E$50+$E$51)*(1-$J$58)</f>
        <v>41394154</v>
      </c>
      <c r="C76" s="1970"/>
      <c r="D76" s="1970"/>
      <c r="E76" s="1970"/>
      <c r="F76" s="1970"/>
      <c r="G76" s="1969"/>
      <c r="I76" s="1939"/>
      <c r="J76" s="1940"/>
      <c r="K76" s="1939"/>
      <c r="M76" s="645"/>
      <c r="O76" s="653">
        <f ca="1">B76</f>
        <v>41394154</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0"/>
      <c r="R89" s="1930"/>
    </row>
    <row r="90" spans="2:18" ht="15" customHeight="1">
      <c r="B90" s="494" t="s">
        <v>2512</v>
      </c>
      <c r="C90" s="495">
        <f>[2]budgets!$AA$28</f>
        <v>20</v>
      </c>
      <c r="D90" s="496">
        <f>[2]budgets!$AB$7</f>
        <v>777</v>
      </c>
      <c r="E90" s="496">
        <f>[2]budgets!$AB$28-[2]budgets!$AE$8</f>
        <v>2262</v>
      </c>
      <c r="F90" s="537"/>
      <c r="G90" s="381">
        <f>MAX(($E90-$D90)*$C90*12,0)</f>
        <v>356400</v>
      </c>
      <c r="I90" s="516"/>
      <c r="K90" s="753" t="s">
        <v>1621</v>
      </c>
      <c r="L90" s="681"/>
      <c r="M90" s="681"/>
      <c r="N90" s="681"/>
      <c r="O90" s="681"/>
      <c r="P90" s="681"/>
      <c r="Q90" s="1973"/>
      <c r="R90" s="1973"/>
    </row>
    <row r="91" spans="2:18" ht="15" customHeight="1">
      <c r="B91" s="494" t="s">
        <v>2511</v>
      </c>
      <c r="C91" s="495">
        <f>[2]budgets!$AA$30</f>
        <v>20</v>
      </c>
      <c r="D91" s="496">
        <f>[2]budgets!$AB$11</f>
        <v>830</v>
      </c>
      <c r="E91" s="496">
        <f>[2]budgets!$AB$30-[2]budgets!$AE$11</f>
        <v>2572</v>
      </c>
      <c r="F91" s="537"/>
      <c r="G91" s="381">
        <f t="shared" ref="G91:G97" si="0">MAX(($E91-$D91)*$C91*12,0)</f>
        <v>418080</v>
      </c>
      <c r="I91" s="516"/>
      <c r="K91" s="753" t="s">
        <v>1624</v>
      </c>
      <c r="L91" s="681"/>
      <c r="M91" s="681"/>
      <c r="N91" s="681"/>
      <c r="O91" s="681"/>
      <c r="P91" s="681"/>
      <c r="Q91" s="1934">
        <f>IFERROR(Q89/Q90,0)</f>
        <v>0</v>
      </c>
      <c r="R91" s="1934"/>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774480</v>
      </c>
      <c r="I98" s="516"/>
    </row>
    <row r="99" spans="2:9" ht="15" customHeight="1">
      <c r="I99" s="516"/>
    </row>
    <row r="100" spans="2:9" ht="15" customHeight="1">
      <c r="B100" s="373" t="s">
        <v>1622</v>
      </c>
      <c r="D100" s="517">
        <f>G98+Q93</f>
        <v>774480</v>
      </c>
      <c r="I100" s="516"/>
    </row>
    <row r="101" spans="2:9" ht="15" customHeight="1">
      <c r="B101" s="373" t="s">
        <v>988</v>
      </c>
      <c r="D101" s="533">
        <v>0.05</v>
      </c>
      <c r="I101" s="516"/>
    </row>
    <row r="102" spans="2:9" ht="15" customHeight="1">
      <c r="B102" s="373" t="s">
        <v>1017</v>
      </c>
      <c r="D102" s="517">
        <f>D100-(D100*D101)</f>
        <v>735756</v>
      </c>
    </row>
    <row r="103" spans="2:9" ht="15" customHeight="1">
      <c r="B103" s="373" t="s">
        <v>1614</v>
      </c>
      <c r="D103" s="534"/>
    </row>
    <row r="104" spans="2:9" ht="15" customHeight="1">
      <c r="B104" s="373" t="s">
        <v>1623</v>
      </c>
      <c r="D104" s="517">
        <f>D102/D108</f>
        <v>639787.82608695654</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7207857.5745303351</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1" workbookViewId="0">
      <selection activeCell="E27" sqref="E2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407280</v>
      </c>
      <c r="F4" s="381"/>
      <c r="G4" s="381">
        <f>E4*$C$4</f>
        <v>417461.99999999994</v>
      </c>
      <c r="H4" s="381"/>
      <c r="I4" s="381">
        <f>G4*$C$4</f>
        <v>427898.54999999993</v>
      </c>
      <c r="J4" s="381"/>
      <c r="K4" s="381">
        <f>I4*$C$4</f>
        <v>438596.01374999987</v>
      </c>
      <c r="L4" s="381"/>
      <c r="M4" s="381">
        <f>K4*$C$4</f>
        <v>449560.91409374983</v>
      </c>
      <c r="N4" s="381"/>
      <c r="O4" s="381">
        <f>M4*$C$4</f>
        <v>460799.93694609351</v>
      </c>
      <c r="P4" s="381"/>
      <c r="Q4" s="381">
        <f>O4*$C$4</f>
        <v>472319.93536974583</v>
      </c>
      <c r="R4" s="381"/>
      <c r="S4" s="381">
        <f>Q4*$C$4</f>
        <v>484127.9337539894</v>
      </c>
      <c r="T4" s="381"/>
      <c r="U4" s="381">
        <f>S4*$C$4</f>
        <v>496231.13209783909</v>
      </c>
      <c r="V4" s="381"/>
      <c r="W4" s="381">
        <f>U4*$C$4</f>
        <v>508636.91040028504</v>
      </c>
      <c r="X4" s="381"/>
      <c r="Y4" s="381">
        <f>W4*$C$4</f>
        <v>521352.83316029212</v>
      </c>
      <c r="Z4" s="381"/>
      <c r="AA4" s="381">
        <f>Y4*$C$4</f>
        <v>534386.65398929943</v>
      </c>
      <c r="AB4" s="381"/>
      <c r="AC4" s="381">
        <f>AA4*$C$4</f>
        <v>547746.32033903187</v>
      </c>
      <c r="AD4" s="381"/>
      <c r="AE4" s="381">
        <f>AC4*$C$4</f>
        <v>561439.97834750765</v>
      </c>
      <c r="AF4" s="381"/>
      <c r="AG4" s="381">
        <f>AE4*$C$4</f>
        <v>575475.97780619527</v>
      </c>
      <c r="AH4" s="381"/>
    </row>
    <row r="5" spans="1:34" ht="14.25">
      <c r="A5" s="373"/>
      <c r="B5" s="373" t="s">
        <v>988</v>
      </c>
      <c r="C5" s="405">
        <f>[2]budgets!$AX$4</f>
        <v>5.265173836181497E-2</v>
      </c>
      <c r="D5" s="373"/>
      <c r="E5" s="383">
        <f>-E4*$C$5</f>
        <v>-21444</v>
      </c>
      <c r="F5" s="383"/>
      <c r="G5" s="383">
        <f>-G4*$C$5</f>
        <v>-21980.1</v>
      </c>
      <c r="H5" s="383"/>
      <c r="I5" s="383">
        <f>-I4*$C$5</f>
        <v>-22529.602499999997</v>
      </c>
      <c r="J5" s="383"/>
      <c r="K5" s="383">
        <f>-K4*$C$5</f>
        <v>-23092.842562499995</v>
      </c>
      <c r="L5" s="383"/>
      <c r="M5" s="383">
        <f>-M4*$C$5</f>
        <v>-23670.163626562491</v>
      </c>
      <c r="N5" s="383"/>
      <c r="O5" s="383">
        <f>-O4*$C$5</f>
        <v>-24261.917717226552</v>
      </c>
      <c r="P5" s="383"/>
      <c r="Q5" s="383">
        <f>-Q4*$C$5</f>
        <v>-24868.465660157213</v>
      </c>
      <c r="R5" s="383"/>
      <c r="S5" s="383">
        <f>-S4*$C$5</f>
        <v>-25490.177301661141</v>
      </c>
      <c r="T5" s="383"/>
      <c r="U5" s="383">
        <f>-U4*$C$5</f>
        <v>-26127.431734202666</v>
      </c>
      <c r="V5" s="383"/>
      <c r="W5" s="383">
        <f>-W4*$C$5</f>
        <v>-26780.61752755773</v>
      </c>
      <c r="X5" s="383"/>
      <c r="Y5" s="383">
        <f>-Y4*$C$5</f>
        <v>-27450.132965746674</v>
      </c>
      <c r="Z5" s="383"/>
      <c r="AA5" s="383">
        <f>-AA4*$C$5</f>
        <v>-28136.386289890339</v>
      </c>
      <c r="AB5" s="383"/>
      <c r="AC5" s="383">
        <f>-AC4*$C$5</f>
        <v>-28839.795947137594</v>
      </c>
      <c r="AD5" s="383"/>
      <c r="AE5" s="383">
        <f>-AE4*$C$5</f>
        <v>-29560.790845816035</v>
      </c>
      <c r="AF5" s="383"/>
      <c r="AG5" s="383">
        <f>-AG4*$C$5</f>
        <v>-30299.810616961433</v>
      </c>
      <c r="AH5" s="373"/>
    </row>
    <row r="6" spans="1:34" ht="14.25">
      <c r="A6" s="373" t="s">
        <v>1074</v>
      </c>
      <c r="B6" s="373"/>
      <c r="C6" s="404">
        <v>1.0249999999999999</v>
      </c>
      <c r="D6" s="373"/>
      <c r="E6" s="384">
        <f>Application!Z796</f>
        <v>774480</v>
      </c>
      <c r="F6" s="384"/>
      <c r="G6" s="384">
        <f>E6*$C$6</f>
        <v>793841.99999999988</v>
      </c>
      <c r="H6" s="384"/>
      <c r="I6" s="384">
        <f>G6*$C$6</f>
        <v>813688.04999999981</v>
      </c>
      <c r="J6" s="384"/>
      <c r="K6" s="384">
        <f>I6*$C$6</f>
        <v>834030.25124999974</v>
      </c>
      <c r="L6" s="384"/>
      <c r="M6" s="384">
        <f>K6*$C$6</f>
        <v>854881.00753124966</v>
      </c>
      <c r="N6" s="384"/>
      <c r="O6" s="384">
        <f>M6*$C$6</f>
        <v>876253.03271953086</v>
      </c>
      <c r="P6" s="384"/>
      <c r="Q6" s="384">
        <f>O6*$C$6</f>
        <v>898159.358537519</v>
      </c>
      <c r="R6" s="384"/>
      <c r="S6" s="384">
        <f>Q6*$C$6</f>
        <v>920613.34250095685</v>
      </c>
      <c r="T6" s="384"/>
      <c r="U6" s="384">
        <f>S6*$C$6</f>
        <v>943628.67606348067</v>
      </c>
      <c r="V6" s="384"/>
      <c r="W6" s="384">
        <f>U6*$C$6</f>
        <v>967219.39296506764</v>
      </c>
      <c r="X6" s="384"/>
      <c r="Y6" s="384">
        <f>W6*$C$6</f>
        <v>991399.87778919423</v>
      </c>
      <c r="Z6" s="384"/>
      <c r="AA6" s="384">
        <f>Y6*$C$6</f>
        <v>1016184.8747339241</v>
      </c>
      <c r="AB6" s="384"/>
      <c r="AC6" s="384">
        <f>AA6*$C$6</f>
        <v>1041589.496602272</v>
      </c>
      <c r="AD6" s="384"/>
      <c r="AE6" s="384">
        <f>AC6*$C$6</f>
        <v>1067629.2340173288</v>
      </c>
      <c r="AF6" s="384"/>
      <c r="AG6" s="384">
        <f>AE6*$C$6</f>
        <v>1094319.9648677621</v>
      </c>
      <c r="AH6" s="373"/>
    </row>
    <row r="7" spans="1:34" ht="14.25">
      <c r="A7" s="373"/>
      <c r="B7" s="373" t="s">
        <v>988</v>
      </c>
      <c r="C7" s="405">
        <f>C5</f>
        <v>5.265173836181497E-2</v>
      </c>
      <c r="D7" s="373"/>
      <c r="E7" s="383">
        <f>-E6*$C$7</f>
        <v>-40777.71832645846</v>
      </c>
      <c r="F7" s="383"/>
      <c r="G7" s="383">
        <f>-G6*$C$7</f>
        <v>-41797.161284619913</v>
      </c>
      <c r="H7" s="383"/>
      <c r="I7" s="383">
        <f>-I6*$C$7</f>
        <v>-42842.090316735404</v>
      </c>
      <c r="J7" s="383"/>
      <c r="K7" s="383">
        <f>-K6*$C$7</f>
        <v>-43913.142574653786</v>
      </c>
      <c r="L7" s="383"/>
      <c r="M7" s="383">
        <f>-M6*$C$7</f>
        <v>-45010.971139020134</v>
      </c>
      <c r="N7" s="383"/>
      <c r="O7" s="383">
        <f>-O6*$C$7</f>
        <v>-46136.245417495629</v>
      </c>
      <c r="P7" s="383"/>
      <c r="Q7" s="383">
        <f>-Q6*$C$7</f>
        <v>-47289.651552933014</v>
      </c>
      <c r="R7" s="383"/>
      <c r="S7" s="383">
        <f>-S6*$C$7</f>
        <v>-48471.892841756337</v>
      </c>
      <c r="T7" s="383"/>
      <c r="U7" s="383">
        <f>-U6*$C$7</f>
        <v>-49683.690162800238</v>
      </c>
      <c r="V7" s="383"/>
      <c r="W7" s="383">
        <f>-W6*$C$7</f>
        <v>-50925.782416870243</v>
      </c>
      <c r="X7" s="383"/>
      <c r="Y7" s="383">
        <f>-Y6*$C$7</f>
        <v>-52198.926977291994</v>
      </c>
      <c r="Z7" s="383"/>
      <c r="AA7" s="383">
        <f>-AA6*$C$7</f>
        <v>-53503.900151724287</v>
      </c>
      <c r="AB7" s="383"/>
      <c r="AC7" s="383">
        <f>-AC6*$C$7</f>
        <v>-54841.497655517393</v>
      </c>
      <c r="AD7" s="383"/>
      <c r="AE7" s="383">
        <f>-AE6*$C$7</f>
        <v>-56212.535096905325</v>
      </c>
      <c r="AF7" s="383"/>
      <c r="AG7" s="383">
        <f>-AG6*$C$7</f>
        <v>-57617.848474327955</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C7</f>
        <v>5.265173836181497E-2</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1119538.2816735415</v>
      </c>
      <c r="F11" s="385"/>
      <c r="G11" s="385">
        <f>SUM(G4:G10)</f>
        <v>1147526.73871538</v>
      </c>
      <c r="H11" s="385"/>
      <c r="I11" s="385">
        <f>SUM(I4:I10)</f>
        <v>1176214.9071832644</v>
      </c>
      <c r="J11" s="385"/>
      <c r="K11" s="385">
        <f>SUM(K4:K10)</f>
        <v>1205620.279862846</v>
      </c>
      <c r="L11" s="385"/>
      <c r="M11" s="385">
        <f>SUM(M4:M10)</f>
        <v>1235760.7868594169</v>
      </c>
      <c r="N11" s="385"/>
      <c r="O11" s="385">
        <f>SUM(O4:O10)</f>
        <v>1266654.8065309022</v>
      </c>
      <c r="P11" s="385"/>
      <c r="Q11" s="385">
        <f>SUM(Q4:Q10)</f>
        <v>1298321.1766941745</v>
      </c>
      <c r="R11" s="385"/>
      <c r="S11" s="385">
        <f>SUM(S4:S10)</f>
        <v>1330779.2061115289</v>
      </c>
      <c r="T11" s="385"/>
      <c r="U11" s="385">
        <f>SUM(U4:U10)</f>
        <v>1364048.6862643168</v>
      </c>
      <c r="V11" s="385"/>
      <c r="W11" s="385">
        <f>SUM(W4:W10)</f>
        <v>1398149.9034209247</v>
      </c>
      <c r="X11" s="385"/>
      <c r="Y11" s="385">
        <f>SUM(Y4:Y10)</f>
        <v>1433103.6510064478</v>
      </c>
      <c r="Z11" s="385"/>
      <c r="AA11" s="385">
        <f>SUM(AA4:AA10)</f>
        <v>1468931.242281609</v>
      </c>
      <c r="AB11" s="385"/>
      <c r="AC11" s="385">
        <f>SUM(AC4:AC10)</f>
        <v>1505654.523338649</v>
      </c>
      <c r="AD11" s="385"/>
      <c r="AE11" s="385">
        <f>SUM(AE4:AE10)</f>
        <v>1543295.8864221151</v>
      </c>
      <c r="AF11" s="385"/>
      <c r="AG11" s="385">
        <f>SUM(AG4:AG10)</f>
        <v>1581878.2835826678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116181</v>
      </c>
      <c r="F15" s="381"/>
      <c r="G15" s="381">
        <f t="shared" ref="G15:G21" si="0">E15*$C$14</f>
        <v>120247.33499999999</v>
      </c>
      <c r="H15" s="381"/>
      <c r="I15" s="381">
        <f t="shared" ref="I15:I21" si="1">G15*$C$14</f>
        <v>124455.99172499999</v>
      </c>
      <c r="J15" s="381"/>
      <c r="K15" s="381">
        <f t="shared" ref="K15:K21" si="2">I15*$C$14</f>
        <v>128811.95143537497</v>
      </c>
      <c r="L15" s="381"/>
      <c r="M15" s="381">
        <f t="shared" ref="M15:M21" si="3">K15*$C$14</f>
        <v>133320.36973561309</v>
      </c>
      <c r="N15" s="381"/>
      <c r="O15" s="381">
        <f t="shared" ref="O15:O21" si="4">M15*$C$14</f>
        <v>137986.58267635954</v>
      </c>
      <c r="P15" s="381"/>
      <c r="Q15" s="381">
        <f t="shared" ref="Q15:Q21" si="5">O15*$C$14</f>
        <v>142816.11307003212</v>
      </c>
      <c r="R15" s="381"/>
      <c r="S15" s="381">
        <f t="shared" ref="S15:S21" si="6">Q15*$C$14</f>
        <v>147814.67702748324</v>
      </c>
      <c r="T15" s="381"/>
      <c r="U15" s="381">
        <f t="shared" ref="U15:U21" si="7">S15*$C$14</f>
        <v>152988.19072344515</v>
      </c>
      <c r="V15" s="381"/>
      <c r="W15" s="381">
        <f t="shared" ref="W15:W21" si="8">U15*$C$14</f>
        <v>158342.77739876573</v>
      </c>
      <c r="X15" s="381"/>
      <c r="Y15" s="381">
        <f t="shared" ref="Y15:Y21" si="9">W15*$C$14</f>
        <v>163884.7746077225</v>
      </c>
      <c r="Z15" s="381"/>
      <c r="AA15" s="381">
        <f t="shared" ref="AA15:AA21" si="10">Y15*$C$14</f>
        <v>169620.74171899277</v>
      </c>
      <c r="AB15" s="381"/>
      <c r="AC15" s="381">
        <f t="shared" ref="AC15:AC21" si="11">AA15*$C$14</f>
        <v>175557.4676791575</v>
      </c>
      <c r="AD15" s="381"/>
      <c r="AE15" s="381">
        <f t="shared" ref="AE15:AE21" si="12">AC15*$C$14</f>
        <v>181701.97904792801</v>
      </c>
      <c r="AF15" s="381"/>
      <c r="AG15" s="381">
        <f t="shared" ref="AG15:AG21" si="13">AE15*$C$14</f>
        <v>188061.54831460546</v>
      </c>
      <c r="AH15" s="381"/>
    </row>
    <row r="16" spans="1:34" ht="14.25">
      <c r="A16" s="373" t="s">
        <v>468</v>
      </c>
      <c r="B16" s="373"/>
      <c r="C16" s="395"/>
      <c r="D16" s="373"/>
      <c r="E16" s="384">
        <f>Application!W836</f>
        <v>40500</v>
      </c>
      <c r="F16" s="384"/>
      <c r="G16" s="384">
        <f t="shared" si="0"/>
        <v>41917.5</v>
      </c>
      <c r="H16" s="384"/>
      <c r="I16" s="384">
        <f t="shared" si="1"/>
        <v>43384.612499999996</v>
      </c>
      <c r="J16" s="384"/>
      <c r="K16" s="384">
        <f t="shared" si="2"/>
        <v>44903.07393749999</v>
      </c>
      <c r="L16" s="384"/>
      <c r="M16" s="384">
        <f t="shared" si="3"/>
        <v>46474.681525312488</v>
      </c>
      <c r="N16" s="384"/>
      <c r="O16" s="384">
        <f t="shared" si="4"/>
        <v>48101.295378698422</v>
      </c>
      <c r="P16" s="384"/>
      <c r="Q16" s="384">
        <f t="shared" si="5"/>
        <v>49784.840716952865</v>
      </c>
      <c r="R16" s="384"/>
      <c r="S16" s="384">
        <f t="shared" si="6"/>
        <v>51527.310142046212</v>
      </c>
      <c r="T16" s="384"/>
      <c r="U16" s="384">
        <f t="shared" si="7"/>
        <v>53330.765997017828</v>
      </c>
      <c r="V16" s="384"/>
      <c r="W16" s="384">
        <f t="shared" si="8"/>
        <v>55197.342806913446</v>
      </c>
      <c r="X16" s="384"/>
      <c r="Y16" s="384">
        <f t="shared" si="9"/>
        <v>57129.249805155414</v>
      </c>
      <c r="Z16" s="384"/>
      <c r="AA16" s="384">
        <f t="shared" si="10"/>
        <v>59128.773548335848</v>
      </c>
      <c r="AB16" s="384"/>
      <c r="AC16" s="384">
        <f t="shared" si="11"/>
        <v>61198.2806225276</v>
      </c>
      <c r="AD16" s="384"/>
      <c r="AE16" s="384">
        <f t="shared" si="12"/>
        <v>63340.220444316059</v>
      </c>
      <c r="AF16" s="384"/>
      <c r="AG16" s="384">
        <f t="shared" si="13"/>
        <v>65557.128159867119</v>
      </c>
      <c r="AH16" s="373"/>
    </row>
    <row r="17" spans="1:34" ht="14.25">
      <c r="A17" s="373" t="s">
        <v>734</v>
      </c>
      <c r="B17" s="373"/>
      <c r="C17" s="395"/>
      <c r="D17" s="373"/>
      <c r="E17" s="384">
        <f>Application!W842</f>
        <v>83700</v>
      </c>
      <c r="F17" s="384"/>
      <c r="G17" s="384">
        <f t="shared" si="0"/>
        <v>86629.5</v>
      </c>
      <c r="H17" s="384"/>
      <c r="I17" s="384">
        <f t="shared" si="1"/>
        <v>89661.532499999987</v>
      </c>
      <c r="J17" s="384"/>
      <c r="K17" s="384">
        <f t="shared" si="2"/>
        <v>92799.686137499986</v>
      </c>
      <c r="L17" s="384"/>
      <c r="M17" s="384">
        <f t="shared" si="3"/>
        <v>96047.675152312484</v>
      </c>
      <c r="N17" s="384"/>
      <c r="O17" s="384">
        <f t="shared" si="4"/>
        <v>99409.343782643409</v>
      </c>
      <c r="P17" s="384"/>
      <c r="Q17" s="384">
        <f t="shared" si="5"/>
        <v>102888.67081503592</v>
      </c>
      <c r="R17" s="384"/>
      <c r="S17" s="384">
        <f t="shared" si="6"/>
        <v>106489.77429356216</v>
      </c>
      <c r="T17" s="384"/>
      <c r="U17" s="384">
        <f t="shared" si="7"/>
        <v>110216.91639383683</v>
      </c>
      <c r="V17" s="384"/>
      <c r="W17" s="384">
        <f t="shared" si="8"/>
        <v>114074.50846762111</v>
      </c>
      <c r="X17" s="384"/>
      <c r="Y17" s="384">
        <f t="shared" si="9"/>
        <v>118067.11626398785</v>
      </c>
      <c r="Z17" s="384"/>
      <c r="AA17" s="384">
        <f t="shared" si="10"/>
        <v>122199.46533322742</v>
      </c>
      <c r="AB17" s="384"/>
      <c r="AC17" s="384">
        <f t="shared" si="11"/>
        <v>126476.44661989037</v>
      </c>
      <c r="AD17" s="384"/>
      <c r="AE17" s="384">
        <f t="shared" si="12"/>
        <v>130903.12225158652</v>
      </c>
      <c r="AF17" s="384"/>
      <c r="AG17" s="384">
        <f t="shared" si="13"/>
        <v>135484.73153039205</v>
      </c>
      <c r="AH17" s="373"/>
    </row>
    <row r="18" spans="1:34" ht="14.25">
      <c r="A18" s="373" t="s">
        <v>1079</v>
      </c>
      <c r="B18" s="373"/>
      <c r="C18" s="395"/>
      <c r="D18" s="373"/>
      <c r="E18" s="384">
        <f>Application!W849</f>
        <v>239808</v>
      </c>
      <c r="F18" s="384"/>
      <c r="G18" s="384">
        <f t="shared" si="0"/>
        <v>248201.27999999997</v>
      </c>
      <c r="H18" s="384"/>
      <c r="I18" s="384">
        <f t="shared" si="1"/>
        <v>256888.32479999994</v>
      </c>
      <c r="J18" s="384"/>
      <c r="K18" s="384">
        <f t="shared" si="2"/>
        <v>265879.41616799991</v>
      </c>
      <c r="L18" s="384"/>
      <c r="M18" s="384">
        <f t="shared" si="3"/>
        <v>275185.19573387987</v>
      </c>
      <c r="N18" s="384"/>
      <c r="O18" s="384">
        <f t="shared" si="4"/>
        <v>284816.67758456565</v>
      </c>
      <c r="P18" s="384"/>
      <c r="Q18" s="384">
        <f t="shared" si="5"/>
        <v>294785.26130002545</v>
      </c>
      <c r="R18" s="384"/>
      <c r="S18" s="384">
        <f t="shared" si="6"/>
        <v>305102.74544552632</v>
      </c>
      <c r="T18" s="384"/>
      <c r="U18" s="384">
        <f t="shared" si="7"/>
        <v>315781.3415361197</v>
      </c>
      <c r="V18" s="384"/>
      <c r="W18" s="384">
        <f t="shared" si="8"/>
        <v>326833.68848988385</v>
      </c>
      <c r="X18" s="384"/>
      <c r="Y18" s="384">
        <f t="shared" si="9"/>
        <v>338272.86758702976</v>
      </c>
      <c r="Z18" s="384"/>
      <c r="AA18" s="384">
        <f t="shared" si="10"/>
        <v>350112.41795257578</v>
      </c>
      <c r="AB18" s="384"/>
      <c r="AC18" s="384">
        <f t="shared" si="11"/>
        <v>362366.3525809159</v>
      </c>
      <c r="AD18" s="384"/>
      <c r="AE18" s="384">
        <f t="shared" si="12"/>
        <v>375049.17492124793</v>
      </c>
      <c r="AF18" s="384"/>
      <c r="AG18" s="384">
        <f t="shared" si="13"/>
        <v>388175.89604349161</v>
      </c>
    </row>
    <row r="19" spans="1:34" ht="14.25">
      <c r="A19" s="373" t="s">
        <v>931</v>
      </c>
      <c r="B19" s="373"/>
      <c r="C19" s="395"/>
      <c r="D19" s="373"/>
      <c r="E19" s="384">
        <f>Application!W850</f>
        <v>30761</v>
      </c>
      <c r="F19" s="384"/>
      <c r="G19" s="384">
        <f t="shared" si="0"/>
        <v>31837.634999999998</v>
      </c>
      <c r="H19" s="384"/>
      <c r="I19" s="384">
        <f t="shared" si="1"/>
        <v>32951.952224999994</v>
      </c>
      <c r="J19" s="384"/>
      <c r="K19" s="384">
        <f t="shared" si="2"/>
        <v>34105.270552874994</v>
      </c>
      <c r="L19" s="384"/>
      <c r="M19" s="384">
        <f t="shared" si="3"/>
        <v>35298.955022225615</v>
      </c>
      <c r="N19" s="384"/>
      <c r="O19" s="384">
        <f t="shared" si="4"/>
        <v>36534.418448003511</v>
      </c>
      <c r="P19" s="384"/>
      <c r="Q19" s="384">
        <f t="shared" si="5"/>
        <v>37813.123093683629</v>
      </c>
      <c r="R19" s="384"/>
      <c r="S19" s="384">
        <f t="shared" si="6"/>
        <v>39136.582401962551</v>
      </c>
      <c r="T19" s="384"/>
      <c r="U19" s="384">
        <f t="shared" si="7"/>
        <v>40506.362786031234</v>
      </c>
      <c r="V19" s="384"/>
      <c r="W19" s="384">
        <f t="shared" si="8"/>
        <v>41924.085483542323</v>
      </c>
      <c r="X19" s="384"/>
      <c r="Y19" s="384">
        <f t="shared" si="9"/>
        <v>43391.428475466302</v>
      </c>
      <c r="Z19" s="384"/>
      <c r="AA19" s="384">
        <f t="shared" si="10"/>
        <v>44910.128472107623</v>
      </c>
      <c r="AB19" s="384"/>
      <c r="AC19" s="384">
        <f t="shared" si="11"/>
        <v>46481.982968631382</v>
      </c>
      <c r="AD19" s="384"/>
      <c r="AE19" s="384">
        <f t="shared" si="12"/>
        <v>48108.852372533474</v>
      </c>
      <c r="AF19" s="384"/>
      <c r="AG19" s="384">
        <f t="shared" si="13"/>
        <v>49792.662205572145</v>
      </c>
    </row>
    <row r="20" spans="1:34" ht="14.25">
      <c r="A20" s="373" t="s">
        <v>55</v>
      </c>
      <c r="B20" s="373"/>
      <c r="C20" s="395"/>
      <c r="D20" s="373"/>
      <c r="E20" s="384">
        <f>Application!W859</f>
        <v>80240</v>
      </c>
      <c r="F20" s="384"/>
      <c r="G20" s="384">
        <f t="shared" si="0"/>
        <v>83048.399999999994</v>
      </c>
      <c r="H20" s="384"/>
      <c r="I20" s="384">
        <f t="shared" si="1"/>
        <v>85955.093999999983</v>
      </c>
      <c r="J20" s="384"/>
      <c r="K20" s="384">
        <f t="shared" si="2"/>
        <v>88963.522289999979</v>
      </c>
      <c r="L20" s="384"/>
      <c r="M20" s="384">
        <f t="shared" si="3"/>
        <v>92077.245570149971</v>
      </c>
      <c r="N20" s="384"/>
      <c r="O20" s="384">
        <f t="shared" si="4"/>
        <v>95299.949165105209</v>
      </c>
      <c r="P20" s="384"/>
      <c r="Q20" s="384">
        <f t="shared" si="5"/>
        <v>98635.44738588389</v>
      </c>
      <c r="R20" s="384"/>
      <c r="S20" s="384">
        <f t="shared" si="6"/>
        <v>102087.68804438981</v>
      </c>
      <c r="T20" s="384"/>
      <c r="U20" s="384">
        <f t="shared" si="7"/>
        <v>105660.75712594345</v>
      </c>
      <c r="V20" s="384"/>
      <c r="W20" s="384">
        <f t="shared" si="8"/>
        <v>109358.88362535146</v>
      </c>
      <c r="X20" s="384"/>
      <c r="Y20" s="384">
        <f t="shared" si="9"/>
        <v>113186.44455223875</v>
      </c>
      <c r="Z20" s="384"/>
      <c r="AA20" s="384">
        <f t="shared" si="10"/>
        <v>117147.97011156711</v>
      </c>
      <c r="AB20" s="384"/>
      <c r="AC20" s="384">
        <f t="shared" si="11"/>
        <v>121248.14906547194</v>
      </c>
      <c r="AD20" s="384"/>
      <c r="AE20" s="384">
        <f t="shared" si="12"/>
        <v>125491.83428276345</v>
      </c>
      <c r="AF20" s="384"/>
      <c r="AG20" s="384">
        <f t="shared" si="13"/>
        <v>129884.04848266016</v>
      </c>
    </row>
    <row r="21" spans="1:34" ht="14.25">
      <c r="A21" s="596" t="s">
        <v>1219</v>
      </c>
      <c r="B21" s="596"/>
      <c r="C21" s="395"/>
      <c r="D21" s="373"/>
      <c r="E21" s="394">
        <f>Application!W866</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 r="A22" s="385" t="s">
        <v>1080</v>
      </c>
      <c r="B22" s="385"/>
      <c r="C22" s="395"/>
      <c r="D22" s="385"/>
      <c r="E22" s="385">
        <f>SUM(E15:E21)</f>
        <v>591990</v>
      </c>
      <c r="F22" s="385"/>
      <c r="G22" s="385">
        <f>SUM(G15:G21)</f>
        <v>612709.65</v>
      </c>
      <c r="H22" s="385"/>
      <c r="I22" s="385">
        <f>SUM(I15:I21)</f>
        <v>634154.48774999985</v>
      </c>
      <c r="J22" s="385"/>
      <c r="K22" s="385">
        <f>SUM(K15:K21)</f>
        <v>656349.89482124976</v>
      </c>
      <c r="L22" s="385"/>
      <c r="M22" s="385">
        <f>SUM(M15:M21)</f>
        <v>679322.14113999344</v>
      </c>
      <c r="N22" s="385"/>
      <c r="O22" s="385">
        <f>SUM(O15:O21)</f>
        <v>703098.41607989324</v>
      </c>
      <c r="P22" s="385"/>
      <c r="Q22" s="385">
        <f>SUM(Q15:Q21)</f>
        <v>727706.86064268951</v>
      </c>
      <c r="R22" s="385"/>
      <c r="S22" s="385">
        <f>SUM(S15:S21)</f>
        <v>753176.60076518357</v>
      </c>
      <c r="T22" s="385"/>
      <c r="U22" s="385">
        <f>SUM(U15:U21)</f>
        <v>779537.7817919649</v>
      </c>
      <c r="V22" s="385"/>
      <c r="W22" s="385">
        <f>SUM(W15:W21)</f>
        <v>806821.60415468353</v>
      </c>
      <c r="X22" s="385"/>
      <c r="Y22" s="385">
        <f>SUM(Y15:Y21)</f>
        <v>835060.3603000975</v>
      </c>
      <c r="Z22" s="385"/>
      <c r="AA22" s="385">
        <f>SUM(AA15:AA21)</f>
        <v>864287.47291060083</v>
      </c>
      <c r="AB22" s="385"/>
      <c r="AC22" s="385">
        <f>SUM(AC15:AC21)</f>
        <v>894537.53446247184</v>
      </c>
      <c r="AD22" s="385"/>
      <c r="AE22" s="385">
        <f>SUM(AE15:AE21)</f>
        <v>925846.34816865821</v>
      </c>
      <c r="AF22" s="385"/>
      <c r="AG22" s="385">
        <f>SUM(AG15:AG21)</f>
        <v>958250.97035456111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3000</v>
      </c>
      <c r="F26" s="381"/>
      <c r="G26" s="381">
        <f>E26*$C$26</f>
        <v>3104.9999999999995</v>
      </c>
      <c r="H26" s="381"/>
      <c r="I26" s="381">
        <f>G26*$C$26</f>
        <v>3213.6749999999993</v>
      </c>
      <c r="J26" s="381"/>
      <c r="K26" s="381">
        <f>I26*$C$26</f>
        <v>3326.153624999999</v>
      </c>
      <c r="L26" s="381"/>
      <c r="M26" s="381">
        <f>K26*$C$26</f>
        <v>3442.5690018749988</v>
      </c>
      <c r="N26" s="381"/>
      <c r="O26" s="381">
        <f>M26*$C$26</f>
        <v>3563.0589169406235</v>
      </c>
      <c r="P26" s="381"/>
      <c r="Q26" s="381">
        <f>O26*$C$26</f>
        <v>3687.7659790335451</v>
      </c>
      <c r="R26" s="381"/>
      <c r="S26" s="381">
        <f>Q26*$C$26</f>
        <v>3816.8377882997188</v>
      </c>
      <c r="T26" s="381"/>
      <c r="U26" s="381">
        <f>S26*$C$26</f>
        <v>3950.4271108902085</v>
      </c>
      <c r="V26" s="381"/>
      <c r="W26" s="381">
        <f>U26*$C$26</f>
        <v>4088.6920597713656</v>
      </c>
      <c r="X26" s="381"/>
      <c r="Y26" s="381">
        <f>W26*$C$26</f>
        <v>4231.7962818633632</v>
      </c>
      <c r="Z26" s="381"/>
      <c r="AA26" s="381">
        <f>Y26*$C$26</f>
        <v>4379.9091517285806</v>
      </c>
      <c r="AB26" s="381"/>
      <c r="AC26" s="381">
        <f>AA26*$C$26</f>
        <v>4533.2059720390807</v>
      </c>
      <c r="AD26" s="381"/>
      <c r="AE26" s="381">
        <f>AC26*$C$26</f>
        <v>4691.8681810604485</v>
      </c>
      <c r="AF26" s="381"/>
      <c r="AG26" s="381">
        <f>AE26*$C$26</f>
        <v>4856.0835673975635</v>
      </c>
    </row>
    <row r="27" spans="1:34" ht="14.25">
      <c r="A27" s="373" t="s">
        <v>1081</v>
      </c>
      <c r="B27" s="373"/>
      <c r="C27" s="404">
        <v>1.0349999999999999</v>
      </c>
      <c r="D27" s="373"/>
      <c r="E27" s="384">
        <f>Application!AC875</f>
        <v>210659.65</v>
      </c>
      <c r="F27" s="384"/>
      <c r="G27" s="384">
        <f>E27*$C$27</f>
        <v>218032.73774999997</v>
      </c>
      <c r="H27" s="384"/>
      <c r="I27" s="384">
        <f>G27*$C$27</f>
        <v>225663.88357124996</v>
      </c>
      <c r="J27" s="384"/>
      <c r="K27" s="384">
        <f>I27*$C$27</f>
        <v>233562.11949624369</v>
      </c>
      <c r="L27" s="384"/>
      <c r="M27" s="384">
        <f>K27*$C$27</f>
        <v>241736.79367861219</v>
      </c>
      <c r="N27" s="384"/>
      <c r="O27" s="384">
        <f>M27*$C$27</f>
        <v>250197.58145736359</v>
      </c>
      <c r="P27" s="384"/>
      <c r="Q27" s="384">
        <f>O27*$C$27</f>
        <v>258954.4968083713</v>
      </c>
      <c r="R27" s="384"/>
      <c r="S27" s="384">
        <f>Q27*$C$27</f>
        <v>268017.90419666428</v>
      </c>
      <c r="T27" s="384"/>
      <c r="U27" s="384">
        <f>S27*$C$27</f>
        <v>277398.53084354749</v>
      </c>
      <c r="V27" s="384"/>
      <c r="W27" s="384">
        <f>U27*$C$27</f>
        <v>287107.47942307161</v>
      </c>
      <c r="X27" s="384"/>
      <c r="Y27" s="384">
        <f>W27*$C$27</f>
        <v>297156.24120287912</v>
      </c>
      <c r="Z27" s="384"/>
      <c r="AA27" s="384">
        <f>Y27*$C$27</f>
        <v>307556.70964497986</v>
      </c>
      <c r="AB27" s="384"/>
      <c r="AC27" s="384">
        <f>AA27*$C$27</f>
        <v>318321.1944825541</v>
      </c>
      <c r="AD27" s="384"/>
      <c r="AE27" s="384">
        <f>AC27*$C$27</f>
        <v>329462.43628944346</v>
      </c>
      <c r="AF27" s="384"/>
      <c r="AG27" s="384">
        <f>AE27*$C$27</f>
        <v>340993.62155957398</v>
      </c>
    </row>
    <row r="28" spans="1:34" ht="14.25">
      <c r="A28" s="596" t="s">
        <v>1082</v>
      </c>
      <c r="B28" s="373"/>
      <c r="C28" s="404"/>
      <c r="D28" s="373"/>
      <c r="E28" s="384">
        <f>Application!AC876</f>
        <v>23000</v>
      </c>
      <c r="F28" s="384"/>
      <c r="G28" s="384">
        <f>$E$28</f>
        <v>23000</v>
      </c>
      <c r="H28" s="384"/>
      <c r="I28" s="384">
        <f>$E$28</f>
        <v>23000</v>
      </c>
      <c r="J28" s="384"/>
      <c r="K28" s="384">
        <f>$E$28</f>
        <v>23000</v>
      </c>
      <c r="L28" s="384"/>
      <c r="M28" s="384">
        <f>$E$28</f>
        <v>23000</v>
      </c>
      <c r="N28" s="384"/>
      <c r="O28" s="384">
        <f>$E$28</f>
        <v>23000</v>
      </c>
      <c r="P28" s="384"/>
      <c r="Q28" s="384">
        <f>$E$28</f>
        <v>23000</v>
      </c>
      <c r="R28" s="384"/>
      <c r="S28" s="384">
        <f>$E$28</f>
        <v>23000</v>
      </c>
      <c r="T28" s="384"/>
      <c r="U28" s="384">
        <f>$E$28</f>
        <v>23000</v>
      </c>
      <c r="V28" s="384"/>
      <c r="W28" s="384">
        <f>$E$28</f>
        <v>23000</v>
      </c>
      <c r="X28" s="384"/>
      <c r="Y28" s="384">
        <f>$E$28</f>
        <v>23000</v>
      </c>
      <c r="Z28" s="384"/>
      <c r="AA28" s="384">
        <f>$E$28</f>
        <v>23000</v>
      </c>
      <c r="AB28" s="384"/>
      <c r="AC28" s="384">
        <f>$E$28</f>
        <v>23000</v>
      </c>
      <c r="AD28" s="384"/>
      <c r="AE28" s="384">
        <f>$E$28</f>
        <v>23000</v>
      </c>
      <c r="AF28" s="384"/>
      <c r="AG28" s="384">
        <f>$E$28</f>
        <v>23000</v>
      </c>
    </row>
    <row r="29" spans="1:34" ht="14.25">
      <c r="A29" s="596" t="s">
        <v>1926</v>
      </c>
      <c r="B29" s="373"/>
      <c r="C29" s="404">
        <v>1.03</v>
      </c>
      <c r="D29" s="373"/>
      <c r="E29" s="384">
        <f>Application!AC877</f>
        <v>12360</v>
      </c>
      <c r="F29" s="384"/>
      <c r="G29" s="384">
        <f>E29*$C$29</f>
        <v>12730.800000000001</v>
      </c>
      <c r="H29" s="384"/>
      <c r="I29" s="384">
        <f t="shared" ref="I29" si="14">G29*$C$29</f>
        <v>13112.724000000002</v>
      </c>
      <c r="J29" s="384"/>
      <c r="K29" s="384">
        <f t="shared" ref="K29" si="15">I29*$C$29</f>
        <v>13506.105720000003</v>
      </c>
      <c r="L29" s="384"/>
      <c r="M29" s="384">
        <f t="shared" ref="M29" si="16">K29*$C$29</f>
        <v>13911.288891600003</v>
      </c>
      <c r="N29" s="384"/>
      <c r="O29" s="384">
        <f t="shared" ref="O29" si="17">M29*$C$29</f>
        <v>14328.627558348004</v>
      </c>
      <c r="P29" s="384"/>
      <c r="Q29" s="384">
        <f t="shared" ref="Q29" si="18">O29*$C$29</f>
        <v>14758.486385098444</v>
      </c>
      <c r="R29" s="384"/>
      <c r="S29" s="384">
        <f t="shared" ref="S29" si="19">Q29*$C$29</f>
        <v>15201.240976651397</v>
      </c>
      <c r="T29" s="384"/>
      <c r="U29" s="384">
        <f t="shared" ref="U29" si="20">S29*$C$29</f>
        <v>15657.278205950939</v>
      </c>
      <c r="V29" s="384"/>
      <c r="W29" s="384">
        <f t="shared" ref="W29" si="21">U29*$C$29</f>
        <v>16126.996552129467</v>
      </c>
      <c r="X29" s="384"/>
      <c r="Y29" s="384">
        <f t="shared" ref="Y29" si="22">W29*$C$29</f>
        <v>16610.806448693351</v>
      </c>
      <c r="Z29" s="384"/>
      <c r="AA29" s="384">
        <f t="shared" ref="AA29" si="23">Y29*$C$29</f>
        <v>17109.130642154152</v>
      </c>
      <c r="AB29" s="384"/>
      <c r="AC29" s="384">
        <f t="shared" ref="AC29" si="24">AA29*$C$29</f>
        <v>17622.404561418778</v>
      </c>
      <c r="AD29" s="384"/>
      <c r="AE29" s="384">
        <f t="shared" ref="AE29" si="25">AC29*$C$29</f>
        <v>18151.076698261342</v>
      </c>
      <c r="AF29" s="384"/>
      <c r="AG29" s="384">
        <f t="shared" ref="AG29" si="26">AE29*$C$29</f>
        <v>18695.608999209184</v>
      </c>
    </row>
    <row r="30" spans="1:34" ht="14.25">
      <c r="A30" s="596" t="s">
        <v>1083</v>
      </c>
      <c r="B30" s="373"/>
      <c r="C30" s="404">
        <v>1.02</v>
      </c>
      <c r="D30" s="373"/>
      <c r="E30" s="384">
        <f>Application!AC878</f>
        <v>50000</v>
      </c>
      <c r="F30" s="384"/>
      <c r="G30" s="384">
        <f>E30*$C$30</f>
        <v>51000</v>
      </c>
      <c r="H30" s="384"/>
      <c r="I30" s="384">
        <f>G30*$C$30</f>
        <v>52020</v>
      </c>
      <c r="J30" s="384"/>
      <c r="K30" s="384">
        <f>I30*$C$30</f>
        <v>53060.4</v>
      </c>
      <c r="L30" s="384"/>
      <c r="M30" s="384">
        <f>K30*$C$30</f>
        <v>54121.608</v>
      </c>
      <c r="N30" s="384"/>
      <c r="O30" s="384">
        <f>M30*$C$30</f>
        <v>55204.040160000004</v>
      </c>
      <c r="P30" s="384"/>
      <c r="Q30" s="384">
        <f>O30*$C$30</f>
        <v>56308.120963200003</v>
      </c>
      <c r="R30" s="384"/>
      <c r="S30" s="384">
        <f>Q30*$C$30</f>
        <v>57434.283382464004</v>
      </c>
      <c r="T30" s="384"/>
      <c r="U30" s="384">
        <f>S30*$C$30</f>
        <v>58582.969050113286</v>
      </c>
      <c r="V30" s="384"/>
      <c r="W30" s="384">
        <f>U30*$C$30</f>
        <v>59754.628431115554</v>
      </c>
      <c r="X30" s="384"/>
      <c r="Y30" s="384">
        <f>W30*$C$30</f>
        <v>60949.720999737867</v>
      </c>
      <c r="Z30" s="384"/>
      <c r="AA30" s="384">
        <f>Y30*$C$30</f>
        <v>62168.715419732624</v>
      </c>
      <c r="AB30" s="384"/>
      <c r="AC30" s="384">
        <f>AA30*$C$30</f>
        <v>63412.089728127277</v>
      </c>
      <c r="AD30" s="384"/>
      <c r="AE30" s="384">
        <f>AC30*$C$30</f>
        <v>64680.331522689827</v>
      </c>
      <c r="AF30" s="384"/>
      <c r="AG30" s="384">
        <f>AE30*$C$30</f>
        <v>65973.938153143623</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891009.65</v>
      </c>
      <c r="F35" s="385"/>
      <c r="G35" s="385">
        <f>SUM(G22:G33)</f>
        <v>920578.18775000004</v>
      </c>
      <c r="H35" s="385"/>
      <c r="I35" s="385">
        <f>SUM(I22:I33)</f>
        <v>951164.77032124985</v>
      </c>
      <c r="J35" s="385"/>
      <c r="K35" s="385">
        <f>SUM(K22:K33)</f>
        <v>982804.67366249347</v>
      </c>
      <c r="L35" s="385"/>
      <c r="M35" s="385">
        <f>SUM(M22:M33)</f>
        <v>1015534.4007120806</v>
      </c>
      <c r="N35" s="385"/>
      <c r="O35" s="385">
        <f>SUM(O22:O33)</f>
        <v>1049391.7241725454</v>
      </c>
      <c r="P35" s="385"/>
      <c r="Q35" s="385">
        <f>SUM(Q22:Q33)</f>
        <v>1084415.7307783929</v>
      </c>
      <c r="R35" s="385"/>
      <c r="S35" s="385">
        <f>SUM(S22:S33)</f>
        <v>1120646.8671092631</v>
      </c>
      <c r="T35" s="385"/>
      <c r="U35" s="385">
        <f>SUM(U22:U33)</f>
        <v>1158126.9870024668</v>
      </c>
      <c r="V35" s="385"/>
      <c r="W35" s="385">
        <f>SUM(W22:W33)</f>
        <v>1196899.4006207716</v>
      </c>
      <c r="X35" s="385"/>
      <c r="Y35" s="385">
        <f>SUM(Y22:Y33)</f>
        <v>1237008.9252332712</v>
      </c>
      <c r="Z35" s="385"/>
      <c r="AA35" s="385">
        <f>SUM(AA22:AA33)</f>
        <v>1278501.9377691962</v>
      </c>
      <c r="AB35" s="385"/>
      <c r="AC35" s="385">
        <f>SUM(AC22:AC33)</f>
        <v>1321426.4292066109</v>
      </c>
      <c r="AD35" s="385"/>
      <c r="AE35" s="385">
        <f>SUM(AE22:AE33)</f>
        <v>1365832.0608601132</v>
      </c>
      <c r="AF35" s="385"/>
      <c r="AG35" s="385">
        <f>SUM(AG22:AG33)</f>
        <v>1411770.2226338857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228528.6316735415</v>
      </c>
      <c r="F37" s="385"/>
      <c r="G37" s="385">
        <f>G11-G35</f>
        <v>226948.55096537992</v>
      </c>
      <c r="H37" s="385"/>
      <c r="I37" s="385">
        <f>I11-I35</f>
        <v>225050.13686201454</v>
      </c>
      <c r="J37" s="385"/>
      <c r="K37" s="385">
        <f>K11-K35</f>
        <v>222815.60620035254</v>
      </c>
      <c r="L37" s="385"/>
      <c r="M37" s="385">
        <f>M11-M35</f>
        <v>220226.38614733622</v>
      </c>
      <c r="N37" s="385"/>
      <c r="O37" s="385">
        <f>O11-O35</f>
        <v>217263.0823583568</v>
      </c>
      <c r="P37" s="385"/>
      <c r="Q37" s="385">
        <f>Q11-Q35</f>
        <v>213905.44591578166</v>
      </c>
      <c r="R37" s="385"/>
      <c r="S37" s="385">
        <f>S11-S35</f>
        <v>210132.33900226583</v>
      </c>
      <c r="T37" s="385"/>
      <c r="U37" s="385">
        <f>U11-U35</f>
        <v>205921.69926184998</v>
      </c>
      <c r="V37" s="385"/>
      <c r="W37" s="385">
        <f>W11-W35</f>
        <v>201250.5028001531</v>
      </c>
      <c r="X37" s="385"/>
      <c r="Y37" s="385">
        <f>Y11-Y35</f>
        <v>196094.72577317664</v>
      </c>
      <c r="Z37" s="385"/>
      <c r="AA37" s="385">
        <f>AA11-AA35</f>
        <v>190429.30451241275</v>
      </c>
      <c r="AB37" s="385"/>
      <c r="AC37" s="385">
        <f>AC11-AC35</f>
        <v>184228.09413203807</v>
      </c>
      <c r="AD37" s="385"/>
      <c r="AE37" s="385">
        <f>AE11-AE35</f>
        <v>177463.8255620019</v>
      </c>
      <c r="AF37" s="385"/>
      <c r="AG37" s="385">
        <f>AG11-AG35</f>
        <v>170108.06094878213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 loan</v>
      </c>
      <c r="B40" s="388"/>
      <c r="C40" s="382"/>
      <c r="D40" s="373"/>
      <c r="E40" s="381">
        <f>Application!AF629</f>
        <v>159013.41097307211</v>
      </c>
      <c r="F40" s="381"/>
      <c r="G40" s="381">
        <f>$E$40</f>
        <v>159013.41097307211</v>
      </c>
      <c r="H40" s="381"/>
      <c r="I40" s="381">
        <f>$E$40</f>
        <v>159013.41097307211</v>
      </c>
      <c r="J40" s="381"/>
      <c r="K40" s="381">
        <f>$E$40</f>
        <v>159013.41097307211</v>
      </c>
      <c r="L40" s="381"/>
      <c r="M40" s="381">
        <f>$E$40</f>
        <v>159013.41097307211</v>
      </c>
      <c r="N40" s="381"/>
      <c r="O40" s="381">
        <f>$E$40</f>
        <v>159013.41097307211</v>
      </c>
      <c r="P40" s="381"/>
      <c r="Q40" s="381">
        <f>$E$40</f>
        <v>159013.41097307211</v>
      </c>
      <c r="R40" s="381"/>
      <c r="S40" s="381">
        <f>$E$40</f>
        <v>159013.41097307211</v>
      </c>
      <c r="T40" s="381"/>
      <c r="U40" s="381">
        <f>$E$40</f>
        <v>159013.41097307211</v>
      </c>
      <c r="V40" s="381"/>
      <c r="W40" s="381">
        <f>$E$40</f>
        <v>159013.41097307211</v>
      </c>
      <c r="X40" s="381"/>
      <c r="Y40" s="381">
        <f>$E$40</f>
        <v>159013.41097307211</v>
      </c>
      <c r="Z40" s="381"/>
      <c r="AA40" s="381">
        <f>$E$40</f>
        <v>159013.41097307211</v>
      </c>
      <c r="AB40" s="381"/>
      <c r="AC40" s="381">
        <f>$E$40</f>
        <v>159013.41097307211</v>
      </c>
      <c r="AD40" s="381"/>
      <c r="AE40" s="381">
        <f>$E$40</f>
        <v>159013.41097307211</v>
      </c>
      <c r="AF40" s="381"/>
      <c r="AG40" s="381">
        <f>$E$40</f>
        <v>159013.41097307211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159013.41097307211</v>
      </c>
      <c r="F43" s="385"/>
      <c r="G43" s="385">
        <f>SUM(G40:G42)</f>
        <v>159013.41097307211</v>
      </c>
      <c r="H43" s="385"/>
      <c r="I43" s="385">
        <f>SUM(I40:I42)</f>
        <v>159013.41097307211</v>
      </c>
      <c r="J43" s="385"/>
      <c r="K43" s="385">
        <f>SUM(K40:K42)</f>
        <v>159013.41097307211</v>
      </c>
      <c r="L43" s="385"/>
      <c r="M43" s="385">
        <f>SUM(M40:M42)</f>
        <v>159013.41097307211</v>
      </c>
      <c r="N43" s="385"/>
      <c r="O43" s="385">
        <f>SUM(O40:O42)</f>
        <v>159013.41097307211</v>
      </c>
      <c r="P43" s="385"/>
      <c r="Q43" s="385">
        <f>SUM(Q40:Q42)</f>
        <v>159013.41097307211</v>
      </c>
      <c r="R43" s="385"/>
      <c r="S43" s="385">
        <f>SUM(S40:S42)</f>
        <v>159013.41097307211</v>
      </c>
      <c r="T43" s="385"/>
      <c r="U43" s="385">
        <f>SUM(U40:U42)</f>
        <v>159013.41097307211</v>
      </c>
      <c r="V43" s="385"/>
      <c r="W43" s="385">
        <f>SUM(W40:W42)</f>
        <v>159013.41097307211</v>
      </c>
      <c r="X43" s="385"/>
      <c r="Y43" s="385">
        <f>SUM(Y40:Y42)</f>
        <v>159013.41097307211</v>
      </c>
      <c r="Z43" s="385"/>
      <c r="AA43" s="385">
        <f>SUM(AA40:AA42)</f>
        <v>159013.41097307211</v>
      </c>
      <c r="AB43" s="385"/>
      <c r="AC43" s="385">
        <f>SUM(AC40:AC42)</f>
        <v>159013.41097307211</v>
      </c>
      <c r="AD43" s="385"/>
      <c r="AE43" s="385">
        <f>SUM(AE40:AE42)</f>
        <v>159013.41097307211</v>
      </c>
      <c r="AF43" s="385"/>
      <c r="AG43" s="385">
        <f>SUM(AG40:AG42)</f>
        <v>159013.41097307211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69515.220700469392</v>
      </c>
      <c r="F45" s="385"/>
      <c r="G45" s="385">
        <f>G37-G43</f>
        <v>67935.139992307813</v>
      </c>
      <c r="H45" s="385"/>
      <c r="I45" s="385">
        <f>I37-I43</f>
        <v>66036.725888942427</v>
      </c>
      <c r="J45" s="385"/>
      <c r="K45" s="385">
        <f>K37-K43</f>
        <v>63802.195227280434</v>
      </c>
      <c r="L45" s="385"/>
      <c r="M45" s="385">
        <f>M37-M43</f>
        <v>61212.975174264109</v>
      </c>
      <c r="N45" s="385"/>
      <c r="O45" s="385">
        <f>O37-O43</f>
        <v>58249.671385284688</v>
      </c>
      <c r="P45" s="385"/>
      <c r="Q45" s="385">
        <f>Q37-Q43</f>
        <v>54892.03494270955</v>
      </c>
      <c r="R45" s="385"/>
      <c r="S45" s="385">
        <f>S37-S43</f>
        <v>51118.928029193718</v>
      </c>
      <c r="T45" s="385"/>
      <c r="U45" s="385">
        <f>U37-U43</f>
        <v>46908.288288777869</v>
      </c>
      <c r="V45" s="385"/>
      <c r="W45" s="385">
        <f>W37-W43</f>
        <v>42237.091827080993</v>
      </c>
      <c r="X45" s="385"/>
      <c r="Y45" s="385">
        <f>Y37-Y43</f>
        <v>37081.314800104534</v>
      </c>
      <c r="Z45" s="385"/>
      <c r="AA45" s="385">
        <f>AA37-AA43</f>
        <v>31415.893539340643</v>
      </c>
      <c r="AB45" s="385"/>
      <c r="AC45" s="385">
        <f>AC37-AC43</f>
        <v>25214.683158965956</v>
      </c>
      <c r="AD45" s="385"/>
      <c r="AE45" s="385">
        <f>AE37-AE43</f>
        <v>18450.414588929794</v>
      </c>
      <c r="AF45" s="385"/>
      <c r="AG45" s="385">
        <f>AG37-AG43</f>
        <v>11094.649975710025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5.8823467286478977E-2</v>
      </c>
      <c r="F47" s="389"/>
      <c r="G47" s="389">
        <f>G45/(G4+G6+G8)</f>
        <v>5.6084302530419967E-2</v>
      </c>
      <c r="H47" s="389"/>
      <c r="I47" s="389">
        <f>I45/(I4+I6+I8)</f>
        <v>5.3187370006202099E-2</v>
      </c>
      <c r="J47" s="389"/>
      <c r="K47" s="389">
        <f>K45/(K4+K6+K8)</f>
        <v>5.013427506722129E-2</v>
      </c>
      <c r="L47" s="389"/>
      <c r="M47" s="389">
        <f>M45/(M4+M6+M8)</f>
        <v>4.6926562355500252E-2</v>
      </c>
      <c r="N47" s="389"/>
      <c r="O47" s="389">
        <f>O45/(O4+O6+O8)</f>
        <v>4.3565717070919038E-2</v>
      </c>
      <c r="P47" s="389"/>
      <c r="Q47" s="389">
        <f>Q45/(Q4+Q6+Q8)</f>
        <v>4.0053166207430414E-2</v>
      </c>
      <c r="R47" s="389"/>
      <c r="S47" s="389">
        <f>S45/(S4+S6+S8)</f>
        <v>3.6390279757050545E-2</v>
      </c>
      <c r="T47" s="389"/>
      <c r="U47" s="389">
        <f>U45/(U4+U6+U8)</f>
        <v>3.2578371882384216E-2</v>
      </c>
      <c r="V47" s="389"/>
      <c r="W47" s="389">
        <f>W45/(W4+W6+W8)</f>
        <v>2.8618702058438191E-2</v>
      </c>
      <c r="X47" s="389"/>
      <c r="Y47" s="389">
        <f>Y45/(Y4+Y6+Y8)</f>
        <v>2.4512476184445423E-2</v>
      </c>
      <c r="Z47" s="389"/>
      <c r="AA47" s="389">
        <f>AA45/(AA4+AA6+AA8)</f>
        <v>2.0260847666414471E-2</v>
      </c>
      <c r="AB47" s="389"/>
      <c r="AC47" s="389">
        <f>AC45/(AC4+AC6+AC8)</f>
        <v>1.586491847109563E-2</v>
      </c>
      <c r="AD47" s="389"/>
      <c r="AE47" s="389">
        <f>AE45/(AE4+AE6+AE8)</f>
        <v>1.1325740152038273E-2</v>
      </c>
      <c r="AF47" s="389"/>
      <c r="AG47" s="389">
        <f>AG45/(AG4+AG6+AG8)</f>
        <v>6.6443148484020206E-3</v>
      </c>
      <c r="AH47" s="389"/>
      <c r="AI47" s="389"/>
    </row>
    <row r="48" spans="1:35" ht="14.25">
      <c r="A48" s="389" t="s">
        <v>1089</v>
      </c>
      <c r="B48" s="389"/>
      <c r="C48" s="382"/>
      <c r="D48" s="389"/>
      <c r="E48" s="389">
        <f>E45/E43</f>
        <v>0.43716577284315561</v>
      </c>
      <c r="F48" s="389"/>
      <c r="G48" s="389">
        <f>G45/G43</f>
        <v>0.42722899645119988</v>
      </c>
      <c r="H48" s="389"/>
      <c r="I48" s="389">
        <f>I45/I43</f>
        <v>0.41529029208816431</v>
      </c>
      <c r="J48" s="389"/>
      <c r="K48" s="389">
        <f>K45/K43</f>
        <v>0.40123782539376457</v>
      </c>
      <c r="L48" s="389"/>
      <c r="M48" s="389">
        <f>M45/M43</f>
        <v>0.38495479594881549</v>
      </c>
      <c r="N48" s="389"/>
      <c r="O48" s="389">
        <f>O45/O43</f>
        <v>0.36631923703057279</v>
      </c>
      <c r="P48" s="389"/>
      <c r="Q48" s="389">
        <f>Q45/Q43</f>
        <v>0.3452038076964789</v>
      </c>
      <c r="R48" s="389"/>
      <c r="S48" s="389">
        <f>S45/S43</f>
        <v>0.3214755769112479</v>
      </c>
      <c r="T48" s="389"/>
      <c r="U48" s="389">
        <f>U45/U43</f>
        <v>0.29499579942173232</v>
      </c>
      <c r="V48" s="389"/>
      <c r="W48" s="389">
        <f>W45/W43</f>
        <v>0.2656196830733577</v>
      </c>
      <c r="X48" s="389"/>
      <c r="Y48" s="389">
        <f>Y45/Y43</f>
        <v>0.23319614725064927</v>
      </c>
      <c r="Z48" s="389"/>
      <c r="AA48" s="389">
        <f>AA45/AA43</f>
        <v>0.1975675721129001</v>
      </c>
      <c r="AB48" s="389"/>
      <c r="AC48" s="389">
        <f>AC45/AC43</f>
        <v>0.15856953828401241</v>
      </c>
      <c r="AD48" s="389"/>
      <c r="AE48" s="389">
        <f>AE45/AE43</f>
        <v>0.11603055664313906</v>
      </c>
      <c r="AF48" s="389"/>
      <c r="AG48" s="389">
        <f>AG45/AG43</f>
        <v>6.9771787849949529E-2</v>
      </c>
      <c r="AH48" s="389"/>
      <c r="AI48" s="389"/>
    </row>
    <row r="49" spans="1:35" ht="14.25">
      <c r="A49" s="390" t="s">
        <v>1090</v>
      </c>
      <c r="B49" s="390"/>
      <c r="C49" s="391"/>
      <c r="D49" s="390"/>
      <c r="E49" s="390">
        <f>E37/E43</f>
        <v>1.4371657728431557</v>
      </c>
      <c r="F49" s="390"/>
      <c r="G49" s="390">
        <f>G37/G43</f>
        <v>1.4272289964511999</v>
      </c>
      <c r="H49" s="390"/>
      <c r="I49" s="390">
        <f>I37/I43</f>
        <v>1.4152902920881643</v>
      </c>
      <c r="J49" s="390"/>
      <c r="K49" s="390">
        <f>K37/K43</f>
        <v>1.4012378253937645</v>
      </c>
      <c r="L49" s="390"/>
      <c r="M49" s="390">
        <f>M37/M43</f>
        <v>1.3849547959488155</v>
      </c>
      <c r="N49" s="390"/>
      <c r="O49" s="390">
        <f>O37/O43</f>
        <v>1.3663192370305728</v>
      </c>
      <c r="P49" s="390"/>
      <c r="Q49" s="390">
        <f>Q37/Q43</f>
        <v>1.345203807696479</v>
      </c>
      <c r="R49" s="390"/>
      <c r="S49" s="390">
        <f>S37/S43</f>
        <v>1.3214755769112478</v>
      </c>
      <c r="T49" s="390"/>
      <c r="U49" s="390">
        <f>U37/U43</f>
        <v>1.2949957994217323</v>
      </c>
      <c r="V49" s="390"/>
      <c r="W49" s="390">
        <f>W37/W43</f>
        <v>1.2656196830733577</v>
      </c>
      <c r="X49" s="390"/>
      <c r="Y49" s="390">
        <f>Y37/Y43</f>
        <v>1.2331961472506492</v>
      </c>
      <c r="Z49" s="390"/>
      <c r="AA49" s="390">
        <f>AA37/AA43</f>
        <v>1.1975675721129</v>
      </c>
      <c r="AB49" s="390"/>
      <c r="AC49" s="390">
        <f>AC37/AC43</f>
        <v>1.1585695382840124</v>
      </c>
      <c r="AD49" s="390"/>
      <c r="AE49" s="390">
        <f>AE37/AE43</f>
        <v>1.116030556643139</v>
      </c>
      <c r="AF49" s="390"/>
      <c r="AG49" s="390">
        <f>AG37/AG43</f>
        <v>1.0697717878499495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27">E54*$C$53</f>
        <v>0</v>
      </c>
      <c r="H54" s="815"/>
      <c r="I54" s="815">
        <f t="shared" si="27"/>
        <v>0</v>
      </c>
      <c r="J54" s="815"/>
      <c r="K54" s="815">
        <f t="shared" si="27"/>
        <v>0</v>
      </c>
      <c r="L54" s="815"/>
      <c r="M54" s="815">
        <f t="shared" si="27"/>
        <v>0</v>
      </c>
      <c r="N54" s="815"/>
      <c r="O54" s="815">
        <f t="shared" si="27"/>
        <v>0</v>
      </c>
      <c r="P54" s="815"/>
      <c r="Q54" s="815">
        <f t="shared" si="27"/>
        <v>0</v>
      </c>
      <c r="R54" s="815"/>
      <c r="S54" s="815">
        <f t="shared" si="27"/>
        <v>0</v>
      </c>
      <c r="T54" s="815"/>
      <c r="U54" s="815">
        <f t="shared" si="27"/>
        <v>0</v>
      </c>
      <c r="V54" s="815"/>
      <c r="W54" s="815">
        <f t="shared" si="27"/>
        <v>0</v>
      </c>
      <c r="X54" s="815"/>
      <c r="Y54" s="815">
        <f t="shared" si="27"/>
        <v>0</v>
      </c>
      <c r="Z54" s="815"/>
      <c r="AA54" s="815">
        <f t="shared" si="27"/>
        <v>0</v>
      </c>
      <c r="AB54" s="815"/>
      <c r="AC54" s="815">
        <f t="shared" si="27"/>
        <v>0</v>
      </c>
      <c r="AD54" s="815"/>
      <c r="AE54" s="815">
        <f t="shared" si="27"/>
        <v>0</v>
      </c>
      <c r="AF54" s="815"/>
      <c r="AG54" s="815">
        <f t="shared" si="27"/>
        <v>0</v>
      </c>
      <c r="AH54" s="377"/>
      <c r="AI54" s="377"/>
    </row>
    <row r="55" spans="1:35">
      <c r="A55" s="358" t="s">
        <v>1094</v>
      </c>
      <c r="B55" s="358"/>
      <c r="C55" s="406"/>
      <c r="D55" s="358"/>
      <c r="E55" s="399"/>
      <c r="F55" s="377"/>
      <c r="G55" s="815">
        <f t="shared" si="27"/>
        <v>0</v>
      </c>
      <c r="H55" s="815"/>
      <c r="I55" s="815">
        <f t="shared" si="27"/>
        <v>0</v>
      </c>
      <c r="J55" s="815"/>
      <c r="K55" s="815">
        <f t="shared" si="27"/>
        <v>0</v>
      </c>
      <c r="L55" s="815"/>
      <c r="M55" s="815">
        <f t="shared" si="27"/>
        <v>0</v>
      </c>
      <c r="N55" s="815"/>
      <c r="O55" s="815">
        <f t="shared" si="27"/>
        <v>0</v>
      </c>
      <c r="P55" s="815"/>
      <c r="Q55" s="815">
        <f t="shared" si="27"/>
        <v>0</v>
      </c>
      <c r="R55" s="815"/>
      <c r="S55" s="815">
        <f t="shared" si="27"/>
        <v>0</v>
      </c>
      <c r="T55" s="815"/>
      <c r="U55" s="815">
        <f t="shared" si="27"/>
        <v>0</v>
      </c>
      <c r="V55" s="815"/>
      <c r="W55" s="815">
        <f t="shared" si="27"/>
        <v>0</v>
      </c>
      <c r="X55" s="815"/>
      <c r="Y55" s="815">
        <f t="shared" si="27"/>
        <v>0</v>
      </c>
      <c r="Z55" s="815"/>
      <c r="AA55" s="815">
        <f t="shared" si="27"/>
        <v>0</v>
      </c>
      <c r="AB55" s="815"/>
      <c r="AC55" s="815">
        <f t="shared" si="27"/>
        <v>0</v>
      </c>
      <c r="AD55" s="815"/>
      <c r="AE55" s="815">
        <f t="shared" si="27"/>
        <v>0</v>
      </c>
      <c r="AF55" s="815"/>
      <c r="AG55" s="815">
        <f t="shared" si="27"/>
        <v>0</v>
      </c>
      <c r="AH55" s="377"/>
      <c r="AI55" s="377"/>
    </row>
    <row r="56" spans="1:35">
      <c r="A56" s="397"/>
      <c r="B56" s="397"/>
      <c r="C56" s="406"/>
      <c r="D56" s="358"/>
      <c r="E56" s="399"/>
      <c r="F56" s="377"/>
      <c r="G56" s="815">
        <f t="shared" si="27"/>
        <v>0</v>
      </c>
      <c r="H56" s="815"/>
      <c r="I56" s="815">
        <f t="shared" si="27"/>
        <v>0</v>
      </c>
      <c r="J56" s="815"/>
      <c r="K56" s="815">
        <f t="shared" si="27"/>
        <v>0</v>
      </c>
      <c r="L56" s="815"/>
      <c r="M56" s="815">
        <f t="shared" si="27"/>
        <v>0</v>
      </c>
      <c r="N56" s="815"/>
      <c r="O56" s="815">
        <f t="shared" si="27"/>
        <v>0</v>
      </c>
      <c r="P56" s="815"/>
      <c r="Q56" s="815">
        <f t="shared" si="27"/>
        <v>0</v>
      </c>
      <c r="R56" s="815"/>
      <c r="S56" s="815">
        <f t="shared" si="27"/>
        <v>0</v>
      </c>
      <c r="T56" s="815"/>
      <c r="U56" s="815">
        <f t="shared" si="27"/>
        <v>0</v>
      </c>
      <c r="V56" s="815"/>
      <c r="W56" s="815">
        <f t="shared" si="27"/>
        <v>0</v>
      </c>
      <c r="X56" s="815"/>
      <c r="Y56" s="815">
        <f t="shared" si="27"/>
        <v>0</v>
      </c>
      <c r="Z56" s="815"/>
      <c r="AA56" s="815">
        <f t="shared" si="27"/>
        <v>0</v>
      </c>
      <c r="AB56" s="815"/>
      <c r="AC56" s="815">
        <f t="shared" si="27"/>
        <v>0</v>
      </c>
      <c r="AD56" s="815"/>
      <c r="AE56" s="815">
        <f t="shared" si="27"/>
        <v>0</v>
      </c>
      <c r="AF56" s="815"/>
      <c r="AG56" s="815">
        <f t="shared" si="27"/>
        <v>0</v>
      </c>
      <c r="AH56" s="377"/>
      <c r="AI56" s="377"/>
    </row>
    <row r="57" spans="1:35">
      <c r="A57" s="397"/>
      <c r="B57" s="397"/>
      <c r="C57" s="406"/>
      <c r="D57" s="358"/>
      <c r="E57" s="403"/>
      <c r="F57" s="377"/>
      <c r="G57" s="817">
        <f t="shared" si="27"/>
        <v>0</v>
      </c>
      <c r="H57" s="815"/>
      <c r="I57" s="817">
        <f t="shared" si="27"/>
        <v>0</v>
      </c>
      <c r="J57" s="815"/>
      <c r="K57" s="817">
        <f t="shared" si="27"/>
        <v>0</v>
      </c>
      <c r="L57" s="815"/>
      <c r="M57" s="817">
        <f t="shared" si="27"/>
        <v>0</v>
      </c>
      <c r="N57" s="815"/>
      <c r="O57" s="817">
        <f t="shared" si="27"/>
        <v>0</v>
      </c>
      <c r="P57" s="815"/>
      <c r="Q57" s="817">
        <f t="shared" si="27"/>
        <v>0</v>
      </c>
      <c r="R57" s="815"/>
      <c r="S57" s="817">
        <f t="shared" si="27"/>
        <v>0</v>
      </c>
      <c r="T57" s="815"/>
      <c r="U57" s="817">
        <f t="shared" si="27"/>
        <v>0</v>
      </c>
      <c r="V57" s="815"/>
      <c r="W57" s="817">
        <f t="shared" si="27"/>
        <v>0</v>
      </c>
      <c r="X57" s="815"/>
      <c r="Y57" s="817">
        <f t="shared" si="27"/>
        <v>0</v>
      </c>
      <c r="Z57" s="815"/>
      <c r="AA57" s="817">
        <f t="shared" si="27"/>
        <v>0</v>
      </c>
      <c r="AB57" s="815"/>
      <c r="AC57" s="817">
        <f t="shared" si="27"/>
        <v>0</v>
      </c>
      <c r="AD57" s="815"/>
      <c r="AE57" s="817">
        <f t="shared" si="27"/>
        <v>0</v>
      </c>
      <c r="AF57" s="815"/>
      <c r="AG57" s="817">
        <f t="shared" si="27"/>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69515.220700469392</v>
      </c>
      <c r="F60" s="371"/>
      <c r="G60" s="371">
        <f>G45-G58</f>
        <v>67935.139992307813</v>
      </c>
      <c r="H60" s="371"/>
      <c r="I60" s="371">
        <f>I45-I58</f>
        <v>66036.725888942427</v>
      </c>
      <c r="J60" s="371"/>
      <c r="K60" s="371">
        <f>K45-K58</f>
        <v>63802.195227280434</v>
      </c>
      <c r="L60" s="371"/>
      <c r="M60" s="371">
        <f>M45-M58</f>
        <v>61212.975174264109</v>
      </c>
      <c r="N60" s="371"/>
      <c r="O60" s="371">
        <f>O45-O58</f>
        <v>58249.671385284688</v>
      </c>
      <c r="P60" s="371"/>
      <c r="Q60" s="371">
        <f>Q45-Q58</f>
        <v>54892.03494270955</v>
      </c>
      <c r="R60" s="371"/>
      <c r="S60" s="371">
        <f>S45-S58</f>
        <v>51118.928029193718</v>
      </c>
      <c r="T60" s="371"/>
      <c r="U60" s="371">
        <f>U45-U58</f>
        <v>46908.288288777869</v>
      </c>
      <c r="V60" s="371"/>
      <c r="W60" s="371">
        <f>W45-W58</f>
        <v>42237.091827080993</v>
      </c>
      <c r="X60" s="371"/>
      <c r="Y60" s="371">
        <f>Y45-Y58</f>
        <v>37081.314800104534</v>
      </c>
      <c r="Z60" s="371"/>
      <c r="AA60" s="371">
        <f>AA45-AA58</f>
        <v>31415.893539340643</v>
      </c>
      <c r="AB60" s="371"/>
      <c r="AC60" s="371">
        <f>AC45-AC58</f>
        <v>25214.683158965956</v>
      </c>
      <c r="AD60" s="371"/>
      <c r="AE60" s="371">
        <f>AE45-AE58</f>
        <v>18450.414588929794</v>
      </c>
      <c r="AF60" s="371"/>
      <c r="AG60" s="371">
        <f>AG45-AG58</f>
        <v>11094.649975710025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69515.220700469392</v>
      </c>
      <c r="F72" s="377"/>
      <c r="G72" s="371">
        <f>G60-G62-G70</f>
        <v>67935.139992307813</v>
      </c>
      <c r="H72" s="377"/>
      <c r="I72" s="371">
        <f>I60-I62-I70</f>
        <v>66036.725888942427</v>
      </c>
      <c r="J72" s="377"/>
      <c r="K72" s="371">
        <f>K60-K62-K70</f>
        <v>63802.195227280434</v>
      </c>
      <c r="L72" s="377"/>
      <c r="M72" s="371">
        <f>M60-M62-M70</f>
        <v>61212.975174264109</v>
      </c>
      <c r="N72" s="377"/>
      <c r="O72" s="371">
        <f>O60-O62-O70</f>
        <v>58249.671385284688</v>
      </c>
      <c r="P72" s="377"/>
      <c r="Q72" s="371">
        <f>Q60-Q62-Q70</f>
        <v>54892.03494270955</v>
      </c>
      <c r="R72" s="377"/>
      <c r="S72" s="371">
        <f>S60-S62-S70</f>
        <v>51118.928029193718</v>
      </c>
      <c r="T72" s="377"/>
      <c r="U72" s="371">
        <f>U60-U62-U70</f>
        <v>46908.288288777869</v>
      </c>
      <c r="V72" s="377"/>
      <c r="W72" s="371">
        <f>W60-W62-W70</f>
        <v>42237.091827080993</v>
      </c>
      <c r="X72" s="377"/>
      <c r="Y72" s="371">
        <f>Y60-Y62-Y70</f>
        <v>37081.314800104534</v>
      </c>
      <c r="Z72" s="377"/>
      <c r="AA72" s="371">
        <f>AA60-AA62-AA70</f>
        <v>31415.893539340643</v>
      </c>
      <c r="AB72" s="377"/>
      <c r="AC72" s="371">
        <f>AC60-AC62-AC70</f>
        <v>25214.683158965956</v>
      </c>
      <c r="AD72" s="377"/>
      <c r="AE72" s="371">
        <f>AE60-AE62-AE70</f>
        <v>18450.414588929794</v>
      </c>
      <c r="AF72" s="377"/>
      <c r="AG72" s="371">
        <f>AG60-AG62-AG70</f>
        <v>11094.649975710025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8" workbookViewId="0">
      <selection activeCell="E7" sqref="E7"/>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20</v>
      </c>
      <c r="C4" s="599">
        <f>Application!$O703</f>
        <v>777</v>
      </c>
      <c r="D4" s="600"/>
      <c r="E4" s="938">
        <f>[2]budgets!$AB$28-[2]budgets!$AE$7</f>
        <v>2262</v>
      </c>
      <c r="F4" s="599">
        <f>$E4*$B4</f>
        <v>45240</v>
      </c>
      <c r="G4" s="600"/>
      <c r="H4" s="599">
        <f>IF($E4=0,0,MAX($E4-$C4,0))</f>
        <v>1485</v>
      </c>
      <c r="I4" s="599">
        <f>IF($H4=0,0,($H4*$B4))</f>
        <v>29700</v>
      </c>
    </row>
    <row r="5" spans="1:9">
      <c r="A5" s="599" t="str">
        <f>Application!$B704</f>
        <v>SRO/Studio</v>
      </c>
      <c r="B5" s="939">
        <f>Application!$G704</f>
        <v>5</v>
      </c>
      <c r="C5" s="599">
        <f>Application!$O704</f>
        <v>300</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20</v>
      </c>
      <c r="C6" s="599">
        <f>Application!$O705</f>
        <v>830</v>
      </c>
      <c r="D6" s="600"/>
      <c r="E6" s="938">
        <f>[2]budgets!$AB$30-[2]budgets!$AE$11</f>
        <v>2572</v>
      </c>
      <c r="F6" s="599">
        <f t="shared" si="0"/>
        <v>51440</v>
      </c>
      <c r="G6" s="600"/>
      <c r="H6" s="599">
        <f t="shared" si="1"/>
        <v>1742</v>
      </c>
      <c r="I6" s="599">
        <f t="shared" si="2"/>
        <v>34840</v>
      </c>
    </row>
    <row r="7" spans="1:9">
      <c r="A7" s="599" t="str">
        <f>Application!$B706</f>
        <v>1 Bedroom</v>
      </c>
      <c r="B7" s="939">
        <f>Application!$G706</f>
        <v>1</v>
      </c>
      <c r="C7" s="599">
        <f>Application!$O706</f>
        <v>300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407280</v>
      </c>
      <c r="D40" s="600"/>
      <c r="E40" s="600"/>
      <c r="F40" s="603">
        <f>SUM(F4:F38)*12</f>
        <v>1160160</v>
      </c>
      <c r="G40" s="604"/>
      <c r="H40" s="602"/>
      <c r="I40" s="603">
        <f>SUM(I4:I38)*12</f>
        <v>774480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1100</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087" t="s">
        <v>508</v>
      </c>
      <c r="C11" s="1088"/>
      <c r="D11" s="1088"/>
      <c r="E11" s="1088"/>
      <c r="F11" s="1088"/>
      <c r="G11" s="1088"/>
      <c r="H11" s="1088"/>
      <c r="I11" s="1088"/>
      <c r="J11" s="1088"/>
      <c r="K11" s="1088"/>
      <c r="L11" s="1088"/>
      <c r="M11" s="1088"/>
      <c r="N11" s="1088"/>
      <c r="O11" s="1088"/>
      <c r="P11" s="1088"/>
      <c r="Q11" s="1088"/>
      <c r="R11" s="1088"/>
      <c r="S11" s="1089"/>
      <c r="T11" s="1630">
        <f ca="1">IF('Sources and Basis Breakdown'!F105=0,'Sources and Basis Breakdown'!E105,'Sources and Basis Breakdown'!F105)</f>
        <v>37718066</v>
      </c>
      <c r="U11" s="1623"/>
      <c r="V11" s="1623"/>
      <c r="W11" s="1623"/>
      <c r="X11" s="1623"/>
      <c r="Y11" s="1639">
        <f ca="1">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110">
        <f>'Basis &amp; Credits'!T14</f>
        <v>0</v>
      </c>
      <c r="U14" s="1077"/>
      <c r="V14" s="1077"/>
      <c r="W14" s="1077"/>
      <c r="X14" s="1077"/>
      <c r="Y14" s="1110">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110">
        <f>'Basis &amp; Credits'!T15</f>
        <v>0</v>
      </c>
      <c r="U15" s="1077"/>
      <c r="V15" s="1077"/>
      <c r="W15" s="1077"/>
      <c r="X15" s="1077"/>
      <c r="Y15" s="1110">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110">
        <f>'Basis &amp; Credits'!T16</f>
        <v>0</v>
      </c>
      <c r="U16" s="1077"/>
      <c r="V16" s="1077"/>
      <c r="W16" s="1077"/>
      <c r="X16" s="1077"/>
      <c r="Y16" s="1110">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110">
        <f>'Basis &amp; Credits'!T17</f>
        <v>0</v>
      </c>
      <c r="U17" s="1077"/>
      <c r="V17" s="1077"/>
      <c r="W17" s="1077"/>
      <c r="X17" s="1077"/>
      <c r="Y17" s="1110">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0"/>
      <c r="C18" s="1626" t="s">
        <v>1363</v>
      </c>
      <c r="D18" s="1627"/>
      <c r="E18" s="1627"/>
      <c r="F18" s="1627"/>
      <c r="G18" s="1627"/>
      <c r="H18" s="1627"/>
      <c r="I18" s="1627"/>
      <c r="J18" s="1627"/>
      <c r="K18" s="1627"/>
      <c r="L18" s="1627"/>
      <c r="M18" s="1627"/>
      <c r="N18" s="1627"/>
      <c r="O18" s="1627"/>
      <c r="P18" s="1627"/>
      <c r="Q18" s="1627"/>
      <c r="R18" s="1627"/>
      <c r="S18" s="1628"/>
      <c r="T18" s="1108">
        <f>'Basis &amp; Credits'!T18</f>
        <v>0</v>
      </c>
      <c r="U18" s="1109"/>
      <c r="V18" s="1109"/>
      <c r="W18" s="1109"/>
      <c r="X18" s="1110"/>
      <c r="Y18" s="1110">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110">
        <f>'Basis &amp; Credits'!T19</f>
        <v>0</v>
      </c>
      <c r="U19" s="1077"/>
      <c r="V19" s="1077"/>
      <c r="W19" s="1077"/>
      <c r="X19" s="1077"/>
      <c r="Y19" s="1110">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087" t="s">
        <v>771</v>
      </c>
      <c r="C20" s="1088"/>
      <c r="D20" s="1088"/>
      <c r="E20" s="1088"/>
      <c r="F20" s="1088"/>
      <c r="G20" s="1088"/>
      <c r="H20" s="1088"/>
      <c r="I20" s="1088"/>
      <c r="J20" s="1088"/>
      <c r="K20" s="1088"/>
      <c r="L20" s="1088"/>
      <c r="M20" s="1088"/>
      <c r="N20" s="1088"/>
      <c r="O20" s="1088"/>
      <c r="P20" s="1088"/>
      <c r="Q20" s="1088"/>
      <c r="R20" s="1088"/>
      <c r="S20" s="1089"/>
      <c r="T20" s="1615">
        <f>SUM(T13:X19)</f>
        <v>0</v>
      </c>
      <c r="U20" s="1220"/>
      <c r="V20" s="1220"/>
      <c r="W20" s="1220"/>
      <c r="X20" s="1220"/>
      <c r="Y20" s="1615">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87" t="s">
        <v>1705</v>
      </c>
      <c r="C21" s="1088"/>
      <c r="D21" s="1088"/>
      <c r="E21" s="1088"/>
      <c r="F21" s="1088"/>
      <c r="G21" s="1088"/>
      <c r="H21" s="1088"/>
      <c r="I21" s="1088"/>
      <c r="J21" s="1088"/>
      <c r="K21" s="1088"/>
      <c r="L21" s="1088"/>
      <c r="M21" s="1088"/>
      <c r="N21" s="1088"/>
      <c r="O21" s="1088"/>
      <c r="P21" s="1088"/>
      <c r="Q21" s="1088"/>
      <c r="R21" s="1088"/>
      <c r="S21" s="1089"/>
      <c r="T21" s="1110">
        <f>'Basis &amp; Credits'!E21</f>
        <v>0</v>
      </c>
      <c r="U21" s="1077"/>
      <c r="V21" s="1077"/>
      <c r="W21" s="1077"/>
      <c r="X21" s="1077"/>
      <c r="Y21" s="1110">
        <f>'Basis &amp; Credits'!J21</f>
        <v>0</v>
      </c>
      <c r="Z21" s="1077"/>
      <c r="AA21" s="1077"/>
      <c r="AB21" s="1077"/>
      <c r="AC21" s="1077"/>
      <c r="AD21" s="1077">
        <f>'Basis &amp; Credits'!O21</f>
        <v>0</v>
      </c>
      <c r="AE21" s="1077"/>
      <c r="AF21" s="1077"/>
      <c r="AG21" s="1077"/>
      <c r="AH21" s="1077"/>
      <c r="AI21" s="1077">
        <f ca="1">'Basis &amp; Credits'!T21</f>
        <v>9940288</v>
      </c>
      <c r="AJ21" s="1077"/>
      <c r="AK21" s="1077"/>
      <c r="AL21" s="1077"/>
      <c r="AM21" s="1077"/>
    </row>
    <row r="22" spans="1:39" ht="12.95" customHeight="1">
      <c r="B22" s="1087" t="s">
        <v>772</v>
      </c>
      <c r="C22" s="1088"/>
      <c r="D22" s="1088"/>
      <c r="E22" s="1088"/>
      <c r="F22" s="1088"/>
      <c r="G22" s="1088"/>
      <c r="H22" s="1088"/>
      <c r="I22" s="1088"/>
      <c r="J22" s="1088"/>
      <c r="K22" s="1088"/>
      <c r="L22" s="1088"/>
      <c r="M22" s="1088"/>
      <c r="N22" s="1088"/>
      <c r="O22" s="1088"/>
      <c r="P22" s="1088"/>
      <c r="Q22" s="1088"/>
      <c r="R22" s="1088"/>
      <c r="S22" s="1089"/>
      <c r="T22" s="1616">
        <f>(T20+T21)*-1</f>
        <v>0</v>
      </c>
      <c r="U22" s="1617"/>
      <c r="V22" s="1617"/>
      <c r="W22" s="1617"/>
      <c r="X22" s="1617"/>
      <c r="Y22" s="1616">
        <f>(Y20+Y21)*-1</f>
        <v>0</v>
      </c>
      <c r="Z22" s="1617"/>
      <c r="AA22" s="1617"/>
      <c r="AB22" s="1617"/>
      <c r="AC22" s="1617"/>
      <c r="AD22" s="1616">
        <f>(AD20+AD21)*-1</f>
        <v>0</v>
      </c>
      <c r="AE22" s="1617"/>
      <c r="AF22" s="1617"/>
      <c r="AG22" s="1617"/>
      <c r="AH22" s="1617"/>
      <c r="AI22" s="1616">
        <f ca="1">(AI20+AI21)*-1</f>
        <v>-9940288</v>
      </c>
      <c r="AJ22" s="1617"/>
      <c r="AK22" s="1617"/>
      <c r="AL22" s="1617"/>
      <c r="AM22" s="1617"/>
    </row>
    <row r="23" spans="1:39" ht="12.95" customHeight="1">
      <c r="B23" s="1087" t="s">
        <v>773</v>
      </c>
      <c r="C23" s="1088"/>
      <c r="D23" s="1088"/>
      <c r="E23" s="1088"/>
      <c r="F23" s="1088"/>
      <c r="G23" s="1088"/>
      <c r="H23" s="1088"/>
      <c r="I23" s="1088"/>
      <c r="J23" s="1088"/>
      <c r="K23" s="1088"/>
      <c r="L23" s="1088"/>
      <c r="M23" s="1088"/>
      <c r="N23" s="1088"/>
      <c r="O23" s="1088"/>
      <c r="P23" s="1088"/>
      <c r="Q23" s="1088"/>
      <c r="R23" s="1088"/>
      <c r="S23" s="1089"/>
      <c r="T23" s="1615">
        <f ca="1">T11+T22</f>
        <v>37718066</v>
      </c>
      <c r="U23" s="1220"/>
      <c r="V23" s="1220"/>
      <c r="W23" s="1220"/>
      <c r="X23" s="1220"/>
      <c r="Y23" s="1615">
        <f ca="1">Y11+Y22</f>
        <v>0</v>
      </c>
      <c r="Z23" s="1220"/>
      <c r="AA23" s="1220"/>
      <c r="AB23" s="1220"/>
      <c r="AC23" s="1220"/>
      <c r="AD23" s="1615">
        <f>AD11+AD22</f>
        <v>0</v>
      </c>
      <c r="AE23" s="1220"/>
      <c r="AF23" s="1220"/>
      <c r="AG23" s="1220"/>
      <c r="AH23" s="1220"/>
      <c r="AI23" s="1615">
        <f ca="1">AI11+AI22</f>
        <v>-9940288</v>
      </c>
      <c r="AJ23" s="1220"/>
      <c r="AK23" s="1220"/>
      <c r="AL23" s="1220"/>
      <c r="AM23" s="1220"/>
    </row>
    <row r="24" spans="1:39" ht="12.95" customHeight="1">
      <c r="B24" s="1087" t="s">
        <v>1218</v>
      </c>
      <c r="C24" s="1088"/>
      <c r="D24" s="1088"/>
      <c r="E24" s="1088"/>
      <c r="F24" s="1088"/>
      <c r="G24" s="1088"/>
      <c r="H24" s="1088"/>
      <c r="I24" s="1088"/>
      <c r="J24" s="1088"/>
      <c r="K24" s="1088"/>
      <c r="L24" s="1088"/>
      <c r="M24" s="1088"/>
      <c r="N24" s="1088"/>
      <c r="O24" s="1088"/>
      <c r="P24" s="1088"/>
      <c r="Q24" s="1088"/>
      <c r="R24" s="1088"/>
      <c r="S24" s="108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087" t="s">
        <v>774</v>
      </c>
      <c r="C26" s="1088"/>
      <c r="D26" s="1088"/>
      <c r="E26" s="1088"/>
      <c r="F26" s="1088"/>
      <c r="G26" s="1088"/>
      <c r="H26" s="1088"/>
      <c r="I26" s="1088"/>
      <c r="J26" s="1088"/>
      <c r="K26" s="1088"/>
      <c r="L26" s="1088"/>
      <c r="M26" s="1088"/>
      <c r="N26" s="1088"/>
      <c r="O26" s="1088"/>
      <c r="P26" s="1088"/>
      <c r="Q26" s="1088"/>
      <c r="R26" s="1088"/>
      <c r="S26" s="1089"/>
      <c r="T26" s="1083">
        <f ca="1">T23*T25</f>
        <v>37718066</v>
      </c>
      <c r="U26" s="1618"/>
      <c r="V26" s="1618"/>
      <c r="W26" s="1618"/>
      <c r="X26" s="1618"/>
      <c r="Y26" s="1083">
        <f ca="1">Y23*Y25</f>
        <v>0</v>
      </c>
      <c r="Z26" s="1618"/>
      <c r="AA26" s="1618"/>
      <c r="AB26" s="1618"/>
      <c r="AC26" s="1618"/>
      <c r="AD26" s="1083">
        <f>AD23*AD25</f>
        <v>0</v>
      </c>
      <c r="AE26" s="1618"/>
      <c r="AF26" s="1618"/>
      <c r="AG26" s="1618"/>
      <c r="AH26" s="1618"/>
      <c r="AI26" s="1083">
        <f ca="1">AI23*AI25</f>
        <v>-9940288</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087" t="s">
        <v>843</v>
      </c>
      <c r="C28" s="1088"/>
      <c r="D28" s="1088"/>
      <c r="E28" s="1088"/>
      <c r="F28" s="1088"/>
      <c r="G28" s="1088"/>
      <c r="H28" s="1088"/>
      <c r="I28" s="1088"/>
      <c r="J28" s="1088"/>
      <c r="K28" s="1088"/>
      <c r="L28" s="1088"/>
      <c r="M28" s="1088"/>
      <c r="N28" s="1088"/>
      <c r="O28" s="1088"/>
      <c r="P28" s="1088"/>
      <c r="Q28" s="1088"/>
      <c r="R28" s="1088"/>
      <c r="S28" s="1089"/>
      <c r="T28" s="1083">
        <f ca="1">IF(ISERROR((T26*T27)),0,(T26*T27))</f>
        <v>37718066</v>
      </c>
      <c r="U28" s="1618"/>
      <c r="V28" s="1618"/>
      <c r="W28" s="1618"/>
      <c r="X28" s="1618"/>
      <c r="Y28" s="1083">
        <f ca="1">IF(ISERROR((Y26*Y27)),0,(Y26*Y27))</f>
        <v>0</v>
      </c>
      <c r="Z28" s="1618"/>
      <c r="AA28" s="1618"/>
      <c r="AB28" s="1618"/>
      <c r="AC28" s="1618"/>
      <c r="AD28" s="1083">
        <f>IF(ISERROR((AD26*AD27)),0,(AD26*AD27))</f>
        <v>0</v>
      </c>
      <c r="AE28" s="1618"/>
      <c r="AF28" s="1618"/>
      <c r="AG28" s="1618"/>
      <c r="AH28" s="1618"/>
      <c r="AI28" s="1083">
        <f ca="1">IF(ISERROR((AI26*AI27)),0,(AI26*AI27))</f>
        <v>-9940288</v>
      </c>
      <c r="AJ28" s="1618"/>
      <c r="AK28" s="1618"/>
      <c r="AL28" s="1618"/>
      <c r="AM28" s="1618"/>
    </row>
    <row r="29" spans="1:39" ht="12.95" customHeight="1">
      <c r="B29" s="1087" t="s">
        <v>623</v>
      </c>
      <c r="C29" s="1088"/>
      <c r="D29" s="1088"/>
      <c r="E29" s="1088"/>
      <c r="F29" s="1088"/>
      <c r="G29" s="1088"/>
      <c r="H29" s="1088"/>
      <c r="I29" s="1088"/>
      <c r="J29" s="1088"/>
      <c r="K29" s="1088"/>
      <c r="L29" s="1088"/>
      <c r="M29" s="1088"/>
      <c r="N29" s="1088"/>
      <c r="O29" s="1088"/>
      <c r="P29" s="1088"/>
      <c r="Q29" s="1088"/>
      <c r="R29" s="1088"/>
      <c r="S29" s="1089"/>
      <c r="T29" s="1613">
        <f ca="1">T28+Y28+AD28+AI28</f>
        <v>27777778</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03" t="s">
        <v>41</v>
      </c>
      <c r="AE35" s="1503"/>
      <c r="AF35" s="1503"/>
      <c r="AG35" s="1503"/>
      <c r="AH35" s="1503"/>
    </row>
    <row r="36" spans="1:40" ht="12.95" customHeight="1">
      <c r="B36" s="202"/>
      <c r="X36" s="71"/>
      <c r="Y36" s="1622"/>
      <c r="Z36" s="1622"/>
      <c r="AA36" s="1622"/>
      <c r="AB36" s="1622"/>
      <c r="AC36" s="1622"/>
      <c r="AD36" s="1503"/>
      <c r="AE36" s="1503"/>
      <c r="AF36" s="1503"/>
      <c r="AG36" s="1503"/>
      <c r="AH36" s="15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03"/>
      <c r="AE37" s="1503"/>
      <c r="AF37" s="1503"/>
      <c r="AG37" s="1503"/>
      <c r="AH37" s="1503"/>
    </row>
    <row r="38" spans="1:40" ht="12.95" customHeight="1">
      <c r="A38" s="3"/>
      <c r="B38" s="1087" t="s">
        <v>843</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220">
        <f ca="1">IF(T24&gt;=(T23+Y23+AD23+AI23),T28+Y28,0)</f>
        <v>0</v>
      </c>
      <c r="Z38" s="1220"/>
      <c r="AA38" s="1220"/>
      <c r="AB38" s="1220"/>
      <c r="AC38" s="1220"/>
      <c r="AD38" s="1220">
        <f ca="1">IF(T24&gt;=(T23+Y23+AD23+AI23),AD28+AI28,0)</f>
        <v>0</v>
      </c>
      <c r="AE38" s="1220"/>
      <c r="AF38" s="1220"/>
      <c r="AG38" s="1220"/>
      <c r="AH38" s="1220"/>
    </row>
    <row r="39" spans="1:40" ht="12.95" customHeight="1">
      <c r="B39" s="1087" t="s">
        <v>765</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976">
        <v>0.09</v>
      </c>
      <c r="Z39" s="1976"/>
      <c r="AA39" s="1976"/>
      <c r="AB39" s="1976"/>
      <c r="AC39" s="1976"/>
      <c r="AD39" s="1653">
        <v>0.04</v>
      </c>
      <c r="AE39" s="1653"/>
      <c r="AF39" s="1653"/>
      <c r="AG39" s="1653"/>
      <c r="AH39" s="1653"/>
    </row>
    <row r="40" spans="1:40" ht="12.95" customHeight="1">
      <c r="A40" s="3"/>
      <c r="B40" s="1087" t="s">
        <v>23</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220">
        <f ca="1">ROUND(Y38*Y39,0)</f>
        <v>0</v>
      </c>
      <c r="Z40" s="1220"/>
      <c r="AA40" s="1220"/>
      <c r="AB40" s="1220"/>
      <c r="AC40" s="1220"/>
      <c r="AD40" s="1615">
        <f ca="1">ROUND(AD38*AD39,0)</f>
        <v>0</v>
      </c>
      <c r="AE40" s="1220"/>
      <c r="AF40" s="1220"/>
      <c r="AG40" s="1220"/>
      <c r="AH40" s="1220"/>
    </row>
    <row r="41" spans="1:40" ht="12.95" customHeight="1">
      <c r="B41" s="1087" t="s">
        <v>617</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613">
        <f ca="1">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14">
        <f ca="1">'Sources and Uses Budget'!B104-'Sources and Uses Budget'!$B$15</f>
        <v>41683500</v>
      </c>
      <c r="AC46" s="1215"/>
      <c r="AD46" s="1215"/>
      <c r="AE46" s="1215"/>
      <c r="AF46" s="1216"/>
    </row>
    <row r="47" spans="1:40" ht="12.95" customHeight="1">
      <c r="D47" s="3" t="s">
        <v>837</v>
      </c>
      <c r="AB47" s="1214">
        <f>Application!AG641-MIN('Sources and Uses Budget'!B15,Application!AG393)</f>
        <v>0</v>
      </c>
      <c r="AC47" s="1215"/>
      <c r="AD47" s="1215"/>
      <c r="AE47" s="1215"/>
      <c r="AF47" s="1216"/>
    </row>
    <row r="48" spans="1:40" ht="12.95" customHeight="1">
      <c r="D48" s="3" t="s">
        <v>378</v>
      </c>
      <c r="AB48" s="1214">
        <f ca="1">AB46-AB47</f>
        <v>41683500</v>
      </c>
      <c r="AC48" s="1215"/>
      <c r="AD48" s="1215"/>
      <c r="AE48" s="1215"/>
      <c r="AF48" s="1216"/>
    </row>
    <row r="49" spans="1:40" ht="12.95" customHeight="1">
      <c r="D49" s="3" t="s">
        <v>872</v>
      </c>
      <c r="AA49" s="34"/>
      <c r="AB49" s="1642"/>
      <c r="AC49" s="1643"/>
      <c r="AD49" s="1643"/>
      <c r="AE49" s="1643"/>
      <c r="AF49" s="1644"/>
    </row>
    <row r="50" spans="1:40" s="321" customFormat="1" ht="12.9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4">
        <f ca="1">ROUND(IF(ISERROR((AB48/AB49)),0,(AB48/AB49)),0)</f>
        <v>0</v>
      </c>
      <c r="AC53" s="1215"/>
      <c r="AD53" s="1215"/>
      <c r="AE53" s="1215"/>
      <c r="AF53" s="1216"/>
    </row>
    <row r="54" spans="1:40" ht="12.95" customHeight="1">
      <c r="D54" s="3" t="s">
        <v>561</v>
      </c>
      <c r="AB54" s="1214">
        <f ca="1">(AB53/10)</f>
        <v>0</v>
      </c>
      <c r="AC54" s="1215"/>
      <c r="AD54" s="1215"/>
      <c r="AE54" s="1215"/>
      <c r="AF54" s="1216"/>
    </row>
    <row r="55" spans="1:40" ht="12.95" customHeight="1">
      <c r="D55" s="3" t="s">
        <v>341</v>
      </c>
      <c r="AB55" s="1214">
        <f ca="1">(IF((Y41&lt;AB54),Y41,AB54))</f>
        <v>0</v>
      </c>
      <c r="AC55" s="1215"/>
      <c r="AD55" s="1215"/>
      <c r="AE55" s="1215"/>
      <c r="AF55" s="1216"/>
    </row>
    <row r="56" spans="1:40" ht="12.95" customHeight="1">
      <c r="D56" s="3" t="s">
        <v>107</v>
      </c>
      <c r="AB56" s="1214">
        <f ca="1">ROUND((10*AB55*AB49),0)</f>
        <v>0</v>
      </c>
      <c r="AC56" s="1215"/>
      <c r="AD56" s="1215"/>
      <c r="AE56" s="1215"/>
      <c r="AF56" s="1216"/>
    </row>
    <row r="57" spans="1:40" ht="12.95" customHeight="1">
      <c r="D57" s="3"/>
      <c r="AB57" s="274"/>
      <c r="AC57" s="274"/>
      <c r="AD57" s="274"/>
      <c r="AE57" s="274"/>
      <c r="AF57" s="274"/>
    </row>
    <row r="58" spans="1:40" ht="12.95" customHeight="1">
      <c r="D58" s="3" t="s">
        <v>106</v>
      </c>
      <c r="AB58" s="1538">
        <f ca="1">AB48-AB56</f>
        <v>41683500</v>
      </c>
      <c r="AC58" s="1538"/>
      <c r="AD58" s="1538"/>
      <c r="AE58" s="1538"/>
      <c r="AF58" s="1538"/>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2.95" customHeight="1">
      <c r="A62" s="3" t="s">
        <v>122</v>
      </c>
      <c r="C62" s="3" t="s">
        <v>509</v>
      </c>
      <c r="Y62" s="1188" t="s">
        <v>298</v>
      </c>
      <c r="Z62" s="1188"/>
      <c r="AA62" s="1188"/>
      <c r="AB62" s="1188"/>
      <c r="AC62" s="1188"/>
      <c r="AD62" s="1188" t="s">
        <v>41</v>
      </c>
      <c r="AE62" s="1188"/>
      <c r="AF62" s="1188"/>
      <c r="AG62" s="1188"/>
      <c r="AH62" s="118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20">
        <f ca="1">Y28</f>
        <v>0</v>
      </c>
      <c r="Z63" s="1645"/>
      <c r="AA63" s="1645"/>
      <c r="AB63" s="1645"/>
      <c r="AC63" s="1645"/>
      <c r="AD63" s="1220">
        <f ca="1">AI28</f>
        <v>-9940288</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20">
        <f ca="1">ROUND(Y63*Y66,0)</f>
        <v>0</v>
      </c>
      <c r="Z67" s="1645"/>
      <c r="AA67" s="1645"/>
      <c r="AB67" s="1645"/>
      <c r="AC67" s="1645"/>
      <c r="AD67" s="1220" t="str">
        <f>IF(OR(Application!D211="At-Risk",Application!D211="At-Risk/Located in Rural Census Tract",Application!D214="At-Risk"),ROUND(AD63*AD66,0),"$0")</f>
        <v>$0</v>
      </c>
      <c r="AE67" s="1220"/>
      <c r="AF67" s="1220"/>
      <c r="AG67" s="1220"/>
      <c r="AH67" s="122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2">
        <f ca="1">ROUND(IF(ISERROR((AB58/AB70)),0,(AB58/AB70)),0)</f>
        <v>0</v>
      </c>
      <c r="AC75" s="1542"/>
      <c r="AD75" s="1542"/>
      <c r="AE75" s="1542"/>
      <c r="AF75" s="1542"/>
    </row>
    <row r="76" spans="1:34" ht="12.95" customHeight="1">
      <c r="C76" s="3"/>
      <c r="D76" s="3" t="s">
        <v>105</v>
      </c>
      <c r="AB76" s="1555">
        <f ca="1">IF((Y67+AD67&lt;AB75),Y67+AD67,AB75)</f>
        <v>0</v>
      </c>
      <c r="AC76" s="1556"/>
      <c r="AD76" s="1556"/>
      <c r="AE76" s="1556"/>
      <c r="AF76" s="1557"/>
    </row>
    <row r="77" spans="1:34" ht="12.95" customHeight="1">
      <c r="C77" s="3"/>
      <c r="D77" s="3" t="s">
        <v>942</v>
      </c>
      <c r="AB77" s="1640">
        <f ca="1">AB76*AB70</f>
        <v>0</v>
      </c>
      <c r="AC77" s="1640"/>
      <c r="AD77" s="1640"/>
      <c r="AE77" s="1640"/>
      <c r="AF77" s="1640"/>
    </row>
    <row r="78" spans="1:34" ht="12.95" customHeight="1">
      <c r="C78" s="3"/>
      <c r="D78" s="3"/>
      <c r="AB78" s="595"/>
      <c r="AC78" s="595"/>
      <c r="AD78" s="595"/>
      <c r="AE78" s="595"/>
      <c r="AF78" s="595"/>
    </row>
    <row r="79" spans="1:34" ht="12.95" customHeight="1">
      <c r="D79" s="3" t="s">
        <v>106</v>
      </c>
      <c r="AB79" s="1538">
        <f ca="1">AB48-(AB56+AB77)</f>
        <v>41683500</v>
      </c>
      <c r="AC79" s="1538"/>
      <c r="AD79" s="1538"/>
      <c r="AE79" s="1538"/>
      <c r="AF79" s="1538"/>
    </row>
    <row r="80" spans="1:34" ht="12.95" customHeight="1">
      <c r="F80" s="16"/>
      <c r="J80" s="16" t="str">
        <f ca="1">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087" t="s">
        <v>508</v>
      </c>
      <c r="C11" s="1088"/>
      <c r="D11" s="1088"/>
      <c r="E11" s="1088"/>
      <c r="F11" s="1088"/>
      <c r="G11" s="1088"/>
      <c r="H11" s="1088"/>
      <c r="I11" s="1088"/>
      <c r="J11" s="1088"/>
      <c r="K11" s="1088"/>
      <c r="L11" s="1088"/>
      <c r="M11" s="1088"/>
      <c r="N11" s="1088"/>
      <c r="O11" s="1088"/>
      <c r="P11" s="1088"/>
      <c r="Q11" s="1088"/>
      <c r="R11" s="1088"/>
      <c r="S11" s="1089"/>
      <c r="T11" s="1630">
        <f ca="1">IF('Sources and Basis Breakdown'!F105=0,'Sources and Basis Breakdown'!E105,'Sources and Basis Breakdown'!F105)</f>
        <v>37718066</v>
      </c>
      <c r="U11" s="1623"/>
      <c r="V11" s="1623"/>
      <c r="W11" s="1623"/>
      <c r="X11" s="1623"/>
      <c r="Y11" s="1639">
        <f ca="1">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110">
        <f>'Basis &amp; Credits'!T14</f>
        <v>0</v>
      </c>
      <c r="U14" s="1077"/>
      <c r="V14" s="1077"/>
      <c r="W14" s="1077"/>
      <c r="X14" s="1077"/>
      <c r="Y14" s="1110">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110">
        <f>'Basis &amp; Credits'!T15</f>
        <v>0</v>
      </c>
      <c r="U15" s="1077"/>
      <c r="V15" s="1077"/>
      <c r="W15" s="1077"/>
      <c r="X15" s="1077"/>
      <c r="Y15" s="1110">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110">
        <f>'Basis &amp; Credits'!T16</f>
        <v>0</v>
      </c>
      <c r="U16" s="1077"/>
      <c r="V16" s="1077"/>
      <c r="W16" s="1077"/>
      <c r="X16" s="1077"/>
      <c r="Y16" s="1110">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110">
        <f>'Basis &amp; Credits'!T17</f>
        <v>0</v>
      </c>
      <c r="U17" s="1077"/>
      <c r="V17" s="1077"/>
      <c r="W17" s="1077"/>
      <c r="X17" s="1077"/>
      <c r="Y17" s="1110">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0"/>
      <c r="C18" s="1626" t="s">
        <v>1363</v>
      </c>
      <c r="D18" s="1627"/>
      <c r="E18" s="1627"/>
      <c r="F18" s="1627"/>
      <c r="G18" s="1627"/>
      <c r="H18" s="1627"/>
      <c r="I18" s="1627"/>
      <c r="J18" s="1627"/>
      <c r="K18" s="1627"/>
      <c r="L18" s="1627"/>
      <c r="M18" s="1627"/>
      <c r="N18" s="1627"/>
      <c r="O18" s="1627"/>
      <c r="P18" s="1627"/>
      <c r="Q18" s="1627"/>
      <c r="R18" s="1627"/>
      <c r="S18" s="1628"/>
      <c r="T18" s="1108">
        <f>'Basis &amp; Credits'!T18</f>
        <v>0</v>
      </c>
      <c r="U18" s="1109"/>
      <c r="V18" s="1109"/>
      <c r="W18" s="1109"/>
      <c r="X18" s="1110"/>
      <c r="Y18" s="1110">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110">
        <f>'Basis &amp; Credits'!T19</f>
        <v>0</v>
      </c>
      <c r="U19" s="1077"/>
      <c r="V19" s="1077"/>
      <c r="W19" s="1077"/>
      <c r="X19" s="1077"/>
      <c r="Y19" s="1110">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087" t="s">
        <v>771</v>
      </c>
      <c r="C20" s="1088"/>
      <c r="D20" s="1088"/>
      <c r="E20" s="1088"/>
      <c r="F20" s="1088"/>
      <c r="G20" s="1088"/>
      <c r="H20" s="1088"/>
      <c r="I20" s="1088"/>
      <c r="J20" s="1088"/>
      <c r="K20" s="1088"/>
      <c r="L20" s="1088"/>
      <c r="M20" s="1088"/>
      <c r="N20" s="1088"/>
      <c r="O20" s="1088"/>
      <c r="P20" s="1088"/>
      <c r="Q20" s="1088"/>
      <c r="R20" s="1088"/>
      <c r="S20" s="1089"/>
      <c r="T20" s="1615">
        <f>SUM(T13:X19)</f>
        <v>0</v>
      </c>
      <c r="U20" s="1220"/>
      <c r="V20" s="1220"/>
      <c r="W20" s="1220"/>
      <c r="X20" s="1220"/>
      <c r="Y20" s="1615">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87" t="s">
        <v>1705</v>
      </c>
      <c r="C21" s="1088"/>
      <c r="D21" s="1088"/>
      <c r="E21" s="1088"/>
      <c r="F21" s="1088"/>
      <c r="G21" s="1088"/>
      <c r="H21" s="1088"/>
      <c r="I21" s="1088"/>
      <c r="J21" s="1088"/>
      <c r="K21" s="1088"/>
      <c r="L21" s="1088"/>
      <c r="M21" s="1088"/>
      <c r="N21" s="1088"/>
      <c r="O21" s="1088"/>
      <c r="P21" s="1088"/>
      <c r="Q21" s="1088"/>
      <c r="R21" s="1088"/>
      <c r="S21" s="1089"/>
      <c r="T21" s="1110">
        <f ca="1">'Basis &amp; Credits'!T21</f>
        <v>9940288</v>
      </c>
      <c r="U21" s="1077"/>
      <c r="V21" s="1077"/>
      <c r="W21" s="1077"/>
      <c r="X21" s="1077"/>
      <c r="Y21" s="1110">
        <f>'Basis &amp; Credits'!Y21</f>
        <v>0</v>
      </c>
      <c r="Z21" s="1077"/>
      <c r="AA21" s="1077"/>
      <c r="AB21" s="1077"/>
      <c r="AC21" s="1077"/>
      <c r="AD21" s="1077">
        <f>'Basis &amp; Credits'!AD21</f>
        <v>0</v>
      </c>
      <c r="AE21" s="1077"/>
      <c r="AF21" s="1077"/>
      <c r="AG21" s="1077"/>
      <c r="AH21" s="1077"/>
      <c r="AI21" s="1077">
        <f>'Basis &amp; Credits'!AI21</f>
        <v>0</v>
      </c>
      <c r="AJ21" s="1077"/>
      <c r="AK21" s="1077"/>
      <c r="AL21" s="1077"/>
      <c r="AM21" s="1077"/>
    </row>
    <row r="22" spans="1:39" ht="12.95" customHeight="1">
      <c r="B22" s="1087" t="s">
        <v>772</v>
      </c>
      <c r="C22" s="1088"/>
      <c r="D22" s="1088"/>
      <c r="E22" s="1088"/>
      <c r="F22" s="1088"/>
      <c r="G22" s="1088"/>
      <c r="H22" s="1088"/>
      <c r="I22" s="1088"/>
      <c r="J22" s="1088"/>
      <c r="K22" s="1088"/>
      <c r="L22" s="1088"/>
      <c r="M22" s="1088"/>
      <c r="N22" s="1088"/>
      <c r="O22" s="1088"/>
      <c r="P22" s="1088"/>
      <c r="Q22" s="1088"/>
      <c r="R22" s="1088"/>
      <c r="S22" s="1089"/>
      <c r="T22" s="1616">
        <f ca="1">(T20+T21)*-1</f>
        <v>-9940288</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087" t="s">
        <v>773</v>
      </c>
      <c r="C23" s="1088"/>
      <c r="D23" s="1088"/>
      <c r="E23" s="1088"/>
      <c r="F23" s="1088"/>
      <c r="G23" s="1088"/>
      <c r="H23" s="1088"/>
      <c r="I23" s="1088"/>
      <c r="J23" s="1088"/>
      <c r="K23" s="1088"/>
      <c r="L23" s="1088"/>
      <c r="M23" s="1088"/>
      <c r="N23" s="1088"/>
      <c r="O23" s="1088"/>
      <c r="P23" s="1088"/>
      <c r="Q23" s="1088"/>
      <c r="R23" s="1088"/>
      <c r="S23" s="1089"/>
      <c r="T23" s="1615">
        <f ca="1">T11+T22</f>
        <v>27777778</v>
      </c>
      <c r="U23" s="1220"/>
      <c r="V23" s="1220"/>
      <c r="W23" s="1220"/>
      <c r="X23" s="1220"/>
      <c r="Y23" s="1615">
        <f ca="1">Y11+Y22</f>
        <v>0</v>
      </c>
      <c r="Z23" s="1220"/>
      <c r="AA23" s="1220"/>
      <c r="AB23" s="1220"/>
      <c r="AC23" s="1220"/>
      <c r="AD23" s="1615">
        <f>AD11+AD22</f>
        <v>0</v>
      </c>
      <c r="AE23" s="1220"/>
      <c r="AF23" s="1220"/>
      <c r="AG23" s="1220"/>
      <c r="AH23" s="1220"/>
      <c r="AI23" s="1615">
        <f>AI11+AI22</f>
        <v>0</v>
      </c>
      <c r="AJ23" s="1220"/>
      <c r="AK23" s="1220"/>
      <c r="AL23" s="1220"/>
      <c r="AM23" s="1220"/>
    </row>
    <row r="24" spans="1:39" ht="12.95" customHeight="1">
      <c r="B24" s="1087" t="s">
        <v>1218</v>
      </c>
      <c r="C24" s="1088"/>
      <c r="D24" s="1088"/>
      <c r="E24" s="1088"/>
      <c r="F24" s="1088"/>
      <c r="G24" s="1088"/>
      <c r="H24" s="1088"/>
      <c r="I24" s="1088"/>
      <c r="J24" s="1088"/>
      <c r="K24" s="1088"/>
      <c r="L24" s="1088"/>
      <c r="M24" s="1088"/>
      <c r="N24" s="1088"/>
      <c r="O24" s="1088"/>
      <c r="P24" s="1088"/>
      <c r="Q24" s="1088"/>
      <c r="R24" s="1088"/>
      <c r="S24" s="108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087" t="s">
        <v>774</v>
      </c>
      <c r="C26" s="1088"/>
      <c r="D26" s="1088"/>
      <c r="E26" s="1088"/>
      <c r="F26" s="1088"/>
      <c r="G26" s="1088"/>
      <c r="H26" s="1088"/>
      <c r="I26" s="1088"/>
      <c r="J26" s="1088"/>
      <c r="K26" s="1088"/>
      <c r="L26" s="1088"/>
      <c r="M26" s="1088"/>
      <c r="N26" s="1088"/>
      <c r="O26" s="1088"/>
      <c r="P26" s="1088"/>
      <c r="Q26" s="1088"/>
      <c r="R26" s="1088"/>
      <c r="S26" s="1089"/>
      <c r="T26" s="1083">
        <f ca="1">T23*T25</f>
        <v>27777778</v>
      </c>
      <c r="U26" s="1618"/>
      <c r="V26" s="1618"/>
      <c r="W26" s="1618"/>
      <c r="X26" s="1618"/>
      <c r="Y26" s="1083">
        <f ca="1">Y23*Y25</f>
        <v>0</v>
      </c>
      <c r="Z26" s="1618"/>
      <c r="AA26" s="1618"/>
      <c r="AB26" s="1618"/>
      <c r="AC26" s="1618"/>
      <c r="AD26" s="1083">
        <f>AD23*AD25</f>
        <v>0</v>
      </c>
      <c r="AE26" s="1618"/>
      <c r="AF26" s="1618"/>
      <c r="AG26" s="1618"/>
      <c r="AH26" s="1618"/>
      <c r="AI26" s="1083">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087" t="s">
        <v>843</v>
      </c>
      <c r="C28" s="1088"/>
      <c r="D28" s="1088"/>
      <c r="E28" s="1088"/>
      <c r="F28" s="1088"/>
      <c r="G28" s="1088"/>
      <c r="H28" s="1088"/>
      <c r="I28" s="1088"/>
      <c r="J28" s="1088"/>
      <c r="K28" s="1088"/>
      <c r="L28" s="1088"/>
      <c r="M28" s="1088"/>
      <c r="N28" s="1088"/>
      <c r="O28" s="1088"/>
      <c r="P28" s="1088"/>
      <c r="Q28" s="1088"/>
      <c r="R28" s="1088"/>
      <c r="S28" s="1089"/>
      <c r="T28" s="1083">
        <f ca="1">IF(ISERROR((T26*T27)),0,(T26*T27))</f>
        <v>27777778</v>
      </c>
      <c r="U28" s="1618"/>
      <c r="V28" s="1618"/>
      <c r="W28" s="1618"/>
      <c r="X28" s="1618"/>
      <c r="Y28" s="1083">
        <f ca="1">IF(ISERROR((Y26*Y27)),0,(Y26*Y27))</f>
        <v>0</v>
      </c>
      <c r="Z28" s="1618"/>
      <c r="AA28" s="1618"/>
      <c r="AB28" s="1618"/>
      <c r="AC28" s="1618"/>
      <c r="AD28" s="1083">
        <f>IF(ISERROR((AD26*AD27)),0,(AD26*AD27))</f>
        <v>0</v>
      </c>
      <c r="AE28" s="1618"/>
      <c r="AF28" s="1618"/>
      <c r="AG28" s="1618"/>
      <c r="AH28" s="1618"/>
      <c r="AI28" s="1083">
        <f>IF(ISERROR((AI26*AI27)),0,(AI26*AI27))</f>
        <v>0</v>
      </c>
      <c r="AJ28" s="1618"/>
      <c r="AK28" s="1618"/>
      <c r="AL28" s="1618"/>
      <c r="AM28" s="1618"/>
    </row>
    <row r="29" spans="1:39" ht="12.95" customHeight="1">
      <c r="B29" s="1087" t="s">
        <v>623</v>
      </c>
      <c r="C29" s="1088"/>
      <c r="D29" s="1088"/>
      <c r="E29" s="1088"/>
      <c r="F29" s="1088"/>
      <c r="G29" s="1088"/>
      <c r="H29" s="1088"/>
      <c r="I29" s="1088"/>
      <c r="J29" s="1088"/>
      <c r="K29" s="1088"/>
      <c r="L29" s="1088"/>
      <c r="M29" s="1088"/>
      <c r="N29" s="1088"/>
      <c r="O29" s="1088"/>
      <c r="P29" s="1088"/>
      <c r="Q29" s="1088"/>
      <c r="R29" s="1088"/>
      <c r="S29" s="1089"/>
      <c r="T29" s="1613">
        <f ca="1">T28+Y28+AD28+AI28</f>
        <v>27777778</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03" t="s">
        <v>41</v>
      </c>
      <c r="AE35" s="1503"/>
      <c r="AF35" s="1503"/>
      <c r="AG35" s="1503"/>
      <c r="AH35" s="1503"/>
    </row>
    <row r="36" spans="1:40" ht="12.95" customHeight="1">
      <c r="B36" s="202"/>
      <c r="X36" s="71"/>
      <c r="Y36" s="1622"/>
      <c r="Z36" s="1622"/>
      <c r="AA36" s="1622"/>
      <c r="AB36" s="1622"/>
      <c r="AC36" s="1622"/>
      <c r="AD36" s="1503"/>
      <c r="AE36" s="1503"/>
      <c r="AF36" s="1503"/>
      <c r="AG36" s="1503"/>
      <c r="AH36" s="15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03"/>
      <c r="AE37" s="1503"/>
      <c r="AF37" s="1503"/>
      <c r="AG37" s="1503"/>
      <c r="AH37" s="1503"/>
    </row>
    <row r="38" spans="1:40" ht="12.95" customHeight="1">
      <c r="A38" s="3"/>
      <c r="B38" s="1087" t="s">
        <v>843</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220">
        <f ca="1">IF(T24&gt;=(T23+Y23+AD23+AI23),T28+Y28,0)</f>
        <v>0</v>
      </c>
      <c r="Z38" s="1220"/>
      <c r="AA38" s="1220"/>
      <c r="AB38" s="1220"/>
      <c r="AC38" s="1220"/>
      <c r="AD38" s="1220">
        <f ca="1">IF(T24&gt;=(T23+Y23+AD23+AI23),AD28+AI28,0)</f>
        <v>0</v>
      </c>
      <c r="AE38" s="1220"/>
      <c r="AF38" s="1220"/>
      <c r="AG38" s="1220"/>
      <c r="AH38" s="1220"/>
    </row>
    <row r="39" spans="1:40" ht="12.95" customHeight="1">
      <c r="B39" s="1087" t="s">
        <v>765</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976">
        <v>0.09</v>
      </c>
      <c r="Z39" s="1976"/>
      <c r="AA39" s="1976"/>
      <c r="AB39" s="1976"/>
      <c r="AC39" s="1976"/>
      <c r="AD39" s="1976">
        <f>'Basis &amp; Credits'!AD39:AH39</f>
        <v>0.04</v>
      </c>
      <c r="AE39" s="1976"/>
      <c r="AF39" s="1976"/>
      <c r="AG39" s="1976"/>
      <c r="AH39" s="1976"/>
    </row>
    <row r="40" spans="1:40" ht="12.95" customHeight="1">
      <c r="A40" s="3"/>
      <c r="B40" s="1087" t="s">
        <v>23</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220">
        <f ca="1">ROUND(Y38*Y39,0)</f>
        <v>0</v>
      </c>
      <c r="Z40" s="1220"/>
      <c r="AA40" s="1220"/>
      <c r="AB40" s="1220"/>
      <c r="AC40" s="1220"/>
      <c r="AD40" s="1615">
        <f ca="1">ROUND(AD38*AD39,0)</f>
        <v>0</v>
      </c>
      <c r="AE40" s="1220"/>
      <c r="AF40" s="1220"/>
      <c r="AG40" s="1220"/>
      <c r="AH40" s="1220"/>
    </row>
    <row r="41" spans="1:40" ht="12.95" customHeight="1">
      <c r="B41" s="1087" t="s">
        <v>617</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613">
        <f ca="1">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14">
        <f ca="1">'Sources and Uses Budget'!B104-'Sources and Uses Budget'!$B$15</f>
        <v>41683500</v>
      </c>
      <c r="AC46" s="1215"/>
      <c r="AD46" s="1215"/>
      <c r="AE46" s="1215"/>
      <c r="AF46" s="1216"/>
    </row>
    <row r="47" spans="1:40" ht="12.95" customHeight="1">
      <c r="D47" s="3" t="s">
        <v>837</v>
      </c>
      <c r="AB47" s="1214">
        <f>Application!AG641-MIN('Sources and Uses Budget'!B15,Application!AG393)</f>
        <v>0</v>
      </c>
      <c r="AC47" s="1215"/>
      <c r="AD47" s="1215"/>
      <c r="AE47" s="1215"/>
      <c r="AF47" s="1216"/>
    </row>
    <row r="48" spans="1:40" ht="12.95" customHeight="1">
      <c r="D48" s="3" t="s">
        <v>378</v>
      </c>
      <c r="AB48" s="1214">
        <f ca="1">AB46-AB47</f>
        <v>41683500</v>
      </c>
      <c r="AC48" s="1215"/>
      <c r="AD48" s="1215"/>
      <c r="AE48" s="1215"/>
      <c r="AF48" s="1216"/>
    </row>
    <row r="49" spans="1:40" ht="12.95" customHeight="1">
      <c r="D49" s="3" t="s">
        <v>872</v>
      </c>
      <c r="AA49" s="34"/>
      <c r="AB49" s="1642"/>
      <c r="AC49" s="1643"/>
      <c r="AD49" s="1643"/>
      <c r="AE49" s="1643"/>
      <c r="AF49" s="1644"/>
    </row>
    <row r="50" spans="1:40" s="321" customFormat="1" ht="12.9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4">
        <f ca="1">ROUND(IF(ISERROR((AB48/AB49)),0,(AB48/AB49)),0)</f>
        <v>0</v>
      </c>
      <c r="AC53" s="1215"/>
      <c r="AD53" s="1215"/>
      <c r="AE53" s="1215"/>
      <c r="AF53" s="1216"/>
    </row>
    <row r="54" spans="1:40" ht="12.95" customHeight="1">
      <c r="D54" s="3" t="s">
        <v>561</v>
      </c>
      <c r="AB54" s="1214">
        <f ca="1">(AB53/10)</f>
        <v>0</v>
      </c>
      <c r="AC54" s="1215"/>
      <c r="AD54" s="1215"/>
      <c r="AE54" s="1215"/>
      <c r="AF54" s="1216"/>
    </row>
    <row r="55" spans="1:40" ht="12.95" customHeight="1">
      <c r="D55" s="3" t="s">
        <v>341</v>
      </c>
      <c r="AB55" s="1978">
        <f ca="1">(IF((Y41&lt;AB54),Y41,AB54))</f>
        <v>0</v>
      </c>
      <c r="AC55" s="1979"/>
      <c r="AD55" s="1979"/>
      <c r="AE55" s="1979"/>
      <c r="AF55" s="1980"/>
    </row>
    <row r="56" spans="1:40" ht="12.95" customHeight="1">
      <c r="D56" s="3" t="s">
        <v>107</v>
      </c>
      <c r="AB56" s="1214">
        <f ca="1">ROUND((10*AB55*AB49),0)</f>
        <v>0</v>
      </c>
      <c r="AC56" s="1215"/>
      <c r="AD56" s="1215"/>
      <c r="AE56" s="1215"/>
      <c r="AF56" s="1216"/>
    </row>
    <row r="57" spans="1:40" ht="12.95" customHeight="1">
      <c r="D57" s="3"/>
      <c r="AB57" s="274"/>
      <c r="AC57" s="274"/>
      <c r="AD57" s="274"/>
      <c r="AE57" s="274"/>
      <c r="AF57" s="274"/>
    </row>
    <row r="58" spans="1:40" ht="12.95" customHeight="1">
      <c r="D58" s="3" t="s">
        <v>106</v>
      </c>
      <c r="AB58" s="1538">
        <f ca="1">AB48-AB56</f>
        <v>41683500</v>
      </c>
      <c r="AC58" s="1538"/>
      <c r="AD58" s="1538"/>
      <c r="AE58" s="1538"/>
      <c r="AF58" s="1538"/>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2.95" customHeight="1">
      <c r="A62" s="3" t="s">
        <v>122</v>
      </c>
      <c r="C62" s="3" t="s">
        <v>509</v>
      </c>
      <c r="Y62" s="1188" t="s">
        <v>298</v>
      </c>
      <c r="Z62" s="1188"/>
      <c r="AA62" s="1188"/>
      <c r="AB62" s="1188"/>
      <c r="AC62" s="1188"/>
      <c r="AD62" s="1188" t="s">
        <v>41</v>
      </c>
      <c r="AE62" s="1188"/>
      <c r="AF62" s="1188"/>
      <c r="AG62" s="1188"/>
      <c r="AH62" s="118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20">
        <f ca="1">Y28</f>
        <v>0</v>
      </c>
      <c r="Z63" s="1645"/>
      <c r="AA63" s="1645"/>
      <c r="AB63" s="1645"/>
      <c r="AC63" s="1645"/>
      <c r="AD63" s="1220">
        <f>AI28</f>
        <v>0</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20">
        <f ca="1">ROUND(Y63*Y66,0)</f>
        <v>0</v>
      </c>
      <c r="Z67" s="1645"/>
      <c r="AA67" s="1645"/>
      <c r="AB67" s="1645"/>
      <c r="AC67" s="1645"/>
      <c r="AD67" s="1220" t="str">
        <f>IF(OR(Application!D211="At-Risk",Application!D211="At-Risk/Located in Rural Census Tract",Application!D214="At-Risk"),ROUND(AD63*AD66,0),"$0")</f>
        <v>$0</v>
      </c>
      <c r="AE67" s="1220"/>
      <c r="AF67" s="1220"/>
      <c r="AG67" s="1220"/>
      <c r="AH67" s="122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2">
        <f ca="1">ROUND(IF(ISERROR((AB58/AB70)),0,(AB58/AB70)),0)</f>
        <v>0</v>
      </c>
      <c r="AC75" s="1542"/>
      <c r="AD75" s="1542"/>
      <c r="AE75" s="1542"/>
      <c r="AF75" s="1542"/>
    </row>
    <row r="76" spans="1:34" ht="12.95" customHeight="1">
      <c r="C76" s="3"/>
      <c r="D76" s="3" t="s">
        <v>105</v>
      </c>
      <c r="AB76" s="1555">
        <f ca="1">IF((Y67+AD67&lt;AB75),Y67+AD67,AB75)</f>
        <v>0</v>
      </c>
      <c r="AC76" s="1556"/>
      <c r="AD76" s="1556"/>
      <c r="AE76" s="1556"/>
      <c r="AF76" s="1557"/>
    </row>
    <row r="77" spans="1:34" ht="12.95" customHeight="1">
      <c r="C77" s="3"/>
      <c r="D77" s="3" t="s">
        <v>942</v>
      </c>
      <c r="AB77" s="1640">
        <f ca="1">AB76*AB70</f>
        <v>0</v>
      </c>
      <c r="AC77" s="1640"/>
      <c r="AD77" s="1640"/>
      <c r="AE77" s="1640"/>
      <c r="AF77" s="1640"/>
    </row>
    <row r="78" spans="1:34" ht="12.95" customHeight="1">
      <c r="C78" s="3"/>
      <c r="D78" s="3"/>
      <c r="AB78" s="595"/>
      <c r="AC78" s="595"/>
      <c r="AD78" s="595"/>
      <c r="AE78" s="595"/>
      <c r="AF78" s="595"/>
    </row>
    <row r="79" spans="1:34" ht="12.95" customHeight="1">
      <c r="D79" s="3" t="s">
        <v>106</v>
      </c>
      <c r="AB79" s="1538">
        <f ca="1">AB48-(AB56+AB77)</f>
        <v>41683500</v>
      </c>
      <c r="AC79" s="1538"/>
      <c r="AD79" s="1538"/>
      <c r="AE79" s="1538"/>
      <c r="AF79" s="1538"/>
    </row>
    <row r="80" spans="1:34" ht="12.95" customHeight="1">
      <c r="F80" s="16"/>
      <c r="J80" s="16" t="str">
        <f ca="1">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1253674</v>
      </c>
      <c r="C5" s="327">
        <f>'Sources and Uses Budget'!C4</f>
        <v>1253674</v>
      </c>
      <c r="D5" s="327">
        <f>'Sources and Uses Budget'!C4</f>
        <v>1253674</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38499</v>
      </c>
      <c r="C7" s="327">
        <f>'Sources and Uses Budget'!C6</f>
        <v>38499</v>
      </c>
      <c r="D7" s="327">
        <f>'Sources and Uses Budget'!C6</f>
        <v>38499</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1292173</v>
      </c>
      <c r="C9" s="329">
        <f>SUM(C5:C8)</f>
        <v>1292173</v>
      </c>
      <c r="D9" s="329">
        <f>SUM(D5:D8)</f>
        <v>1292173</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684488</v>
      </c>
      <c r="C11" s="327">
        <f>'Sources and Uses Budget'!C10</f>
        <v>684488</v>
      </c>
      <c r="D11" s="327">
        <f>'Sources and Uses Budget'!C10</f>
        <v>684488</v>
      </c>
      <c r="E11" s="329">
        <f t="shared" si="0"/>
        <v>0</v>
      </c>
      <c r="F11" s="328"/>
      <c r="G11" s="328"/>
    </row>
    <row r="12" spans="1:7" s="565" customFormat="1" ht="12.75">
      <c r="A12" s="882" t="s">
        <v>586</v>
      </c>
      <c r="B12" s="329">
        <f>SUM(B10:B11)</f>
        <v>684488</v>
      </c>
      <c r="C12" s="329">
        <f>SUM(C10:C11)</f>
        <v>684488</v>
      </c>
      <c r="D12" s="329">
        <f>SUM(D10:D11)</f>
        <v>684488</v>
      </c>
      <c r="E12" s="329">
        <f t="shared" si="0"/>
        <v>0</v>
      </c>
      <c r="F12" s="328"/>
      <c r="G12" s="328"/>
    </row>
    <row r="13" spans="1:7" s="565" customFormat="1" ht="12.75">
      <c r="A13" s="882" t="s">
        <v>711</v>
      </c>
      <c r="B13" s="329">
        <f>SUM(B9+B12)</f>
        <v>1976661</v>
      </c>
      <c r="C13" s="329">
        <f>SUM(C9+C12)</f>
        <v>1976661</v>
      </c>
      <c r="D13" s="329">
        <f>SUM(D9+D12)</f>
        <v>1976661</v>
      </c>
      <c r="E13" s="329">
        <f t="shared" si="0"/>
        <v>0</v>
      </c>
      <c r="F13" s="328"/>
      <c r="G13" s="328"/>
    </row>
    <row r="14" spans="1:7" s="565" customFormat="1" ht="12.75">
      <c r="A14" s="883" t="s">
        <v>1110</v>
      </c>
      <c r="B14" s="327">
        <f>'Sources and Uses Budget'!C13</f>
        <v>371000</v>
      </c>
      <c r="C14" s="327">
        <f>'Sources and Uses Budget'!C13</f>
        <v>371000</v>
      </c>
      <c r="D14" s="327">
        <f>'Sources and Uses Budget'!C13</f>
        <v>371000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2242094</v>
      </c>
      <c r="C30" s="327">
        <f>'Sources and Uses Budget'!C29</f>
        <v>2242094</v>
      </c>
      <c r="D30" s="327">
        <f>'Sources and Uses Budget'!C29</f>
        <v>2242094</v>
      </c>
      <c r="E30" s="329">
        <f t="shared" si="0"/>
        <v>0</v>
      </c>
      <c r="F30" s="328"/>
      <c r="G30" s="328"/>
    </row>
    <row r="31" spans="1:7" s="565" customFormat="1" ht="12.75">
      <c r="A31" s="237" t="s">
        <v>911</v>
      </c>
      <c r="B31" s="327">
        <f ca="1">'Sources and Uses Budget'!C30</f>
        <v>17509291</v>
      </c>
      <c r="C31" s="327">
        <f ca="1">'Sources and Uses Budget'!C30</f>
        <v>17509291</v>
      </c>
      <c r="D31" s="327">
        <f ca="1">'Sources and Uses Budget'!C30</f>
        <v>17509291</v>
      </c>
      <c r="E31" s="329">
        <f t="shared" ca="1" si="0"/>
        <v>0</v>
      </c>
      <c r="F31" s="328"/>
      <c r="G31" s="328"/>
    </row>
    <row r="32" spans="1:7" s="565" customFormat="1" ht="12.75">
      <c r="A32" s="237" t="s">
        <v>912</v>
      </c>
      <c r="B32" s="327">
        <f>'Sources and Uses Budget'!C31</f>
        <v>1738170</v>
      </c>
      <c r="C32" s="327">
        <f>'Sources and Uses Budget'!C31</f>
        <v>1738170</v>
      </c>
      <c r="D32" s="327">
        <f>'Sources and Uses Budget'!C31</f>
        <v>1738170</v>
      </c>
      <c r="E32" s="329">
        <f t="shared" si="0"/>
        <v>0</v>
      </c>
      <c r="F32" s="328"/>
      <c r="G32" s="328"/>
    </row>
    <row r="33" spans="1:7" s="565" customFormat="1" ht="12.75">
      <c r="A33" s="237" t="s">
        <v>913</v>
      </c>
      <c r="B33" s="327">
        <f>'Sources and Uses Budget'!C32</f>
        <v>397201</v>
      </c>
      <c r="C33" s="327">
        <f>'Sources and Uses Budget'!C32</f>
        <v>397201</v>
      </c>
      <c r="D33" s="327">
        <f>'Sources and Uses Budget'!C32</f>
        <v>397201</v>
      </c>
      <c r="E33" s="329">
        <f t="shared" si="0"/>
        <v>0</v>
      </c>
      <c r="F33" s="328"/>
      <c r="G33" s="328"/>
    </row>
    <row r="34" spans="1:7" s="565" customFormat="1" ht="12.75">
      <c r="A34" s="237" t="s">
        <v>914</v>
      </c>
      <c r="B34" s="327">
        <f>'Sources and Uses Budget'!C33</f>
        <v>397201</v>
      </c>
      <c r="C34" s="327">
        <f>'Sources and Uses Budget'!C33</f>
        <v>397201</v>
      </c>
      <c r="D34" s="327">
        <f>'Sources and Uses Budget'!C33</f>
        <v>397201</v>
      </c>
      <c r="E34" s="329">
        <f t="shared" si="0"/>
        <v>0</v>
      </c>
      <c r="F34" s="328"/>
      <c r="G34" s="328"/>
    </row>
    <row r="35" spans="1:7" s="565" customFormat="1" ht="12.75">
      <c r="A35" s="237" t="s">
        <v>915</v>
      </c>
      <c r="B35" s="327">
        <f ca="1">'Sources and Uses Budget'!C34</f>
        <v>3950277</v>
      </c>
      <c r="C35" s="327">
        <f ca="1">'Sources and Uses Budget'!C34</f>
        <v>3950277</v>
      </c>
      <c r="D35" s="327">
        <f ca="1">'Sources and Uses Budget'!C34</f>
        <v>3950277</v>
      </c>
      <c r="E35" s="329">
        <f t="shared" ca="1" si="0"/>
        <v>0</v>
      </c>
      <c r="F35" s="328"/>
      <c r="G35" s="328"/>
    </row>
    <row r="36" spans="1:7" s="565" customFormat="1" ht="12.75">
      <c r="A36" s="237" t="s">
        <v>916</v>
      </c>
      <c r="B36" s="327">
        <f>'Sources and Uses Budget'!C35</f>
        <v>433878</v>
      </c>
      <c r="C36" s="327">
        <f>'Sources and Uses Budget'!C35</f>
        <v>433878</v>
      </c>
      <c r="D36" s="327">
        <f>'Sources and Uses Budget'!C35</f>
        <v>433878</v>
      </c>
      <c r="E36" s="329">
        <f t="shared" si="0"/>
        <v>0</v>
      </c>
      <c r="F36" s="328"/>
      <c r="G36" s="328"/>
    </row>
    <row r="37" spans="1:7" s="565" customFormat="1" ht="12.75">
      <c r="A37" s="237" t="s">
        <v>1940</v>
      </c>
      <c r="B37" s="327">
        <f>'Sources and Uses Budget'!C36</f>
        <v>96000</v>
      </c>
      <c r="C37" s="327">
        <f>'Sources and Uses Budget'!C36</f>
        <v>96000</v>
      </c>
      <c r="D37" s="327">
        <f>'Sources and Uses Budget'!C36</f>
        <v>96000</v>
      </c>
      <c r="E37" s="329">
        <f t="shared" si="0"/>
        <v>0</v>
      </c>
      <c r="F37" s="328"/>
      <c r="G37" s="328"/>
    </row>
    <row r="38" spans="1:7" s="565" customFormat="1" ht="12.75">
      <c r="A38" s="248" t="s">
        <v>533</v>
      </c>
      <c r="B38" s="327">
        <f>'Sources and Uses Budget'!C37</f>
        <v>196091</v>
      </c>
      <c r="C38" s="327">
        <f>'Sources and Uses Budget'!C37</f>
        <v>196091</v>
      </c>
      <c r="D38" s="327">
        <f>'Sources and Uses Budget'!C37</f>
        <v>196091</v>
      </c>
      <c r="E38" s="329">
        <f>C38-B38</f>
        <v>0</v>
      </c>
      <c r="F38" s="328"/>
      <c r="G38" s="328"/>
    </row>
    <row r="39" spans="1:7" s="565" customFormat="1" ht="12.75">
      <c r="A39" s="884" t="s">
        <v>919</v>
      </c>
      <c r="B39" s="891">
        <f ca="1">'Sources and Uses Budget'!C38</f>
        <v>26960203</v>
      </c>
      <c r="C39" s="891">
        <f ca="1">'Sources and Uses Budget'!C38</f>
        <v>26960203</v>
      </c>
      <c r="D39" s="891">
        <f ca="1">'Sources and Uses Budget'!C38</f>
        <v>26960203</v>
      </c>
      <c r="E39" s="329">
        <f ca="1">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902717</v>
      </c>
      <c r="C41" s="327">
        <f>'Sources and Uses Budget'!C40</f>
        <v>902717</v>
      </c>
      <c r="D41" s="327">
        <f>'Sources and Uses Budget'!C40</f>
        <v>902717</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902717</v>
      </c>
      <c r="C43" s="891">
        <f>'Sources and Uses Budget'!C42</f>
        <v>902717</v>
      </c>
      <c r="D43" s="891">
        <f>'Sources and Uses Budget'!C42</f>
        <v>902717</v>
      </c>
      <c r="E43" s="329">
        <f>C43-B43</f>
        <v>0</v>
      </c>
      <c r="F43" s="328"/>
      <c r="G43" s="328"/>
    </row>
    <row r="44" spans="1:7" s="565" customFormat="1" ht="12.75">
      <c r="A44" s="884" t="s">
        <v>924</v>
      </c>
      <c r="B44" s="327">
        <f>'Sources and Uses Budget'!C43</f>
        <v>581700</v>
      </c>
      <c r="C44" s="327">
        <f>'Sources and Uses Budget'!C43</f>
        <v>581700</v>
      </c>
      <c r="D44" s="327">
        <f>'Sources and Uses Budget'!C43</f>
        <v>581700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1995183</v>
      </c>
      <c r="C46" s="327">
        <f>'Sources and Uses Budget'!C45</f>
        <v>1995183</v>
      </c>
      <c r="D46" s="327">
        <f>'Sources and Uses Budget'!C45</f>
        <v>1995183</v>
      </c>
      <c r="E46" s="329">
        <f t="shared" si="0"/>
        <v>0</v>
      </c>
      <c r="F46" s="328"/>
      <c r="G46" s="328"/>
    </row>
    <row r="47" spans="1:7" s="565" customFormat="1" ht="12.75">
      <c r="A47" s="237" t="s">
        <v>927</v>
      </c>
      <c r="B47" s="327">
        <f>'Sources and Uses Budget'!C46</f>
        <v>192754</v>
      </c>
      <c r="C47" s="327">
        <f>'Sources and Uses Budget'!C46</f>
        <v>192754</v>
      </c>
      <c r="D47" s="327">
        <f>'Sources and Uses Budget'!C46</f>
        <v>192754</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100000</v>
      </c>
      <c r="C50" s="327">
        <f>'Sources and Uses Budget'!C49</f>
        <v>100000</v>
      </c>
      <c r="D50" s="327">
        <f>'Sources and Uses Budget'!C49</f>
        <v>100000</v>
      </c>
      <c r="E50" s="329">
        <f t="shared" si="0"/>
        <v>0</v>
      </c>
      <c r="F50" s="328"/>
      <c r="G50" s="328"/>
    </row>
    <row r="51" spans="1:7" s="565" customFormat="1" ht="12.75">
      <c r="A51" s="237" t="s">
        <v>930</v>
      </c>
      <c r="B51" s="327">
        <f>'Sources and Uses Budget'!C50</f>
        <v>85000</v>
      </c>
      <c r="C51" s="327">
        <f>'Sources and Uses Budget'!C50</f>
        <v>85000</v>
      </c>
      <c r="D51" s="327">
        <f>'Sources and Uses Budget'!C50</f>
        <v>85000</v>
      </c>
      <c r="E51" s="329">
        <f t="shared" si="0"/>
        <v>0</v>
      </c>
      <c r="F51" s="328"/>
      <c r="G51" s="328"/>
    </row>
    <row r="52" spans="1:7" s="566" customFormat="1" ht="12.75">
      <c r="A52" s="237" t="s">
        <v>931</v>
      </c>
      <c r="B52" s="327">
        <f>'Sources and Uses Budget'!C51</f>
        <v>400000</v>
      </c>
      <c r="C52" s="327">
        <f>'Sources and Uses Budget'!C51</f>
        <v>400000</v>
      </c>
      <c r="D52" s="327">
        <f>'Sources and Uses Budget'!C51</f>
        <v>400000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91">
        <f>'Sources and Uses Budget'!C53</f>
        <v>2772937</v>
      </c>
      <c r="C54" s="891">
        <f>'Sources and Uses Budget'!C53</f>
        <v>2772937</v>
      </c>
      <c r="D54" s="891">
        <f>'Sources and Uses Budget'!C53</f>
        <v>2772937</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14516</v>
      </c>
      <c r="C56" s="327">
        <f>'Sources and Uses Budget'!C55</f>
        <v>14516</v>
      </c>
      <c r="D56" s="327">
        <f>'Sources and Uses Budget'!C55</f>
        <v>14516</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10000</v>
      </c>
      <c r="C58" s="327">
        <f>'Sources and Uses Budget'!C57</f>
        <v>10000</v>
      </c>
      <c r="D58" s="327">
        <f>'Sources and Uses Budget'!C57</f>
        <v>10000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35000</v>
      </c>
      <c r="C61" s="327">
        <f>'Sources and Uses Budget'!C60</f>
        <v>35000</v>
      </c>
      <c r="D61" s="327">
        <f>'Sources and Uses Budget'!C60</f>
        <v>35000</v>
      </c>
      <c r="E61" s="329">
        <f t="shared" si="0"/>
        <v>0</v>
      </c>
      <c r="F61" s="328"/>
      <c r="G61" s="328"/>
    </row>
    <row r="62" spans="1:7" s="565" customFormat="1" ht="12.75">
      <c r="A62" s="884" t="s">
        <v>500</v>
      </c>
      <c r="B62" s="891">
        <f>'Sources and Uses Budget'!C61</f>
        <v>59516</v>
      </c>
      <c r="C62" s="891">
        <f>'Sources and Uses Budget'!C61</f>
        <v>59516</v>
      </c>
      <c r="D62" s="891">
        <f>'Sources and Uses Budget'!C61</f>
        <v>59516</v>
      </c>
      <c r="E62" s="329">
        <f t="shared" si="0"/>
        <v>0</v>
      </c>
      <c r="F62" s="328"/>
      <c r="G62" s="328"/>
    </row>
    <row r="63" spans="1:7" s="565" customFormat="1" ht="12.75">
      <c r="A63" s="887" t="s">
        <v>501</v>
      </c>
      <c r="B63" s="891">
        <f ca="1">'Sources and Uses Budget'!C62</f>
        <v>33624734</v>
      </c>
      <c r="C63" s="891">
        <f ca="1">'Sources and Uses Budget'!C62</f>
        <v>33624734</v>
      </c>
      <c r="D63" s="891">
        <f ca="1">'Sources and Uses Budget'!C62</f>
        <v>33624734</v>
      </c>
      <c r="E63" s="329">
        <f t="shared" ca="1"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115000</v>
      </c>
      <c r="C65" s="327">
        <f>'Sources and Uses Budget'!C64</f>
        <v>115000</v>
      </c>
      <c r="D65" s="327">
        <f>'Sources and Uses Budget'!C64</f>
        <v>115000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145000</v>
      </c>
      <c r="C69" s="327">
        <f>'Sources and Uses Budget'!C68</f>
        <v>145000</v>
      </c>
      <c r="D69" s="327">
        <f>'Sources and Uses Budget'!C68</f>
        <v>145000</v>
      </c>
      <c r="E69" s="329">
        <f t="shared" si="0"/>
        <v>0</v>
      </c>
      <c r="F69" s="328"/>
      <c r="G69" s="328"/>
    </row>
    <row r="70" spans="1:7" s="565" customFormat="1" ht="12.75">
      <c r="A70" s="241" t="s">
        <v>1945</v>
      </c>
      <c r="B70" s="891">
        <f>'Sources and Uses Budget'!C69</f>
        <v>260000</v>
      </c>
      <c r="C70" s="891">
        <f>'Sources and Uses Budget'!C69</f>
        <v>260000</v>
      </c>
      <c r="D70" s="891">
        <f>'Sources and Uses Budget'!C69</f>
        <v>260000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350008</v>
      </c>
      <c r="C75" s="327">
        <f>'Sources and Uses Budget'!C74</f>
        <v>350008</v>
      </c>
      <c r="D75" s="327">
        <f>'Sources and Uses Budget'!C74</f>
        <v>350008</v>
      </c>
      <c r="E75" s="329">
        <f>C75-B75</f>
        <v>0</v>
      </c>
      <c r="F75" s="328"/>
      <c r="G75" s="328"/>
    </row>
    <row r="76" spans="1:7" s="565" customFormat="1" ht="12.75">
      <c r="A76" s="889" t="s">
        <v>533</v>
      </c>
      <c r="B76" s="327">
        <f>'Sources and Uses Budget'!C75</f>
        <v>174024</v>
      </c>
      <c r="C76" s="327">
        <f>'Sources and Uses Budget'!C75</f>
        <v>174024</v>
      </c>
      <c r="D76" s="327">
        <f>'Sources and Uses Budget'!C75</f>
        <v>174024</v>
      </c>
      <c r="E76" s="329">
        <f>C76-B76</f>
        <v>0</v>
      </c>
      <c r="F76" s="328"/>
      <c r="G76" s="328"/>
    </row>
    <row r="77" spans="1:7" s="565" customFormat="1" ht="12.75">
      <c r="A77" s="884" t="s">
        <v>289</v>
      </c>
      <c r="B77" s="891">
        <f>'Sources and Uses Budget'!C76</f>
        <v>524032</v>
      </c>
      <c r="C77" s="891">
        <f>'Sources and Uses Budget'!C76</f>
        <v>524032</v>
      </c>
      <c r="D77" s="891">
        <f>'Sources and Uses Budget'!C76</f>
        <v>524032</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1385511</v>
      </c>
      <c r="C79" s="327">
        <f>'Sources and Uses Budget'!C78</f>
        <v>1385511</v>
      </c>
      <c r="D79" s="327">
        <f>'Sources and Uses Budget'!C78</f>
        <v>1385511</v>
      </c>
      <c r="E79" s="329">
        <f t="shared" ref="E79:E105" si="2">C79-B79</f>
        <v>0</v>
      </c>
      <c r="F79" s="328"/>
      <c r="G79" s="328"/>
    </row>
    <row r="80" spans="1:7" s="565" customFormat="1" ht="12.75">
      <c r="A80" s="885" t="s">
        <v>538</v>
      </c>
      <c r="B80" s="327">
        <f>'Sources and Uses Budget'!C79</f>
        <v>450000</v>
      </c>
      <c r="C80" s="327">
        <f>'Sources and Uses Budget'!C79</f>
        <v>450000</v>
      </c>
      <c r="D80" s="327">
        <f>'Sources and Uses Budget'!C79</f>
        <v>450000</v>
      </c>
      <c r="E80" s="329">
        <f t="shared" si="2"/>
        <v>0</v>
      </c>
      <c r="F80" s="328"/>
      <c r="G80" s="328"/>
    </row>
    <row r="81" spans="1:7" s="565" customFormat="1" ht="12.75">
      <c r="A81" s="884" t="s">
        <v>1734</v>
      </c>
      <c r="B81" s="891">
        <f>'Sources and Uses Budget'!C80</f>
        <v>1835511</v>
      </c>
      <c r="C81" s="891">
        <f>'Sources and Uses Budget'!C80</f>
        <v>1835511</v>
      </c>
      <c r="D81" s="891">
        <f>'Sources and Uses Budget'!C80</f>
        <v>1835511</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133500</v>
      </c>
      <c r="C83" s="327">
        <f>'Sources and Uses Budget'!C82</f>
        <v>133500</v>
      </c>
      <c r="D83" s="327">
        <f>'Sources and Uses Budget'!C82</f>
        <v>133500</v>
      </c>
      <c r="E83" s="329">
        <f t="shared" si="2"/>
        <v>0</v>
      </c>
      <c r="F83" s="328"/>
      <c r="G83" s="328"/>
    </row>
    <row r="84" spans="1:7" s="565" customFormat="1" ht="12.75">
      <c r="A84" s="237" t="s">
        <v>516</v>
      </c>
      <c r="B84" s="327">
        <f>'Sources and Uses Budget'!C83</f>
        <v>92223</v>
      </c>
      <c r="C84" s="327">
        <f>'Sources and Uses Budget'!C83</f>
        <v>92223</v>
      </c>
      <c r="D84" s="327">
        <f>'Sources and Uses Budget'!C83</f>
        <v>92223</v>
      </c>
      <c r="E84" s="329">
        <f t="shared" si="2"/>
        <v>0</v>
      </c>
      <c r="F84" s="328"/>
      <c r="G84" s="328"/>
    </row>
    <row r="85" spans="1:7" s="565" customFormat="1" ht="12.75">
      <c r="A85" s="237" t="s">
        <v>517</v>
      </c>
      <c r="B85" s="327">
        <f>'Sources and Uses Budget'!C84</f>
        <v>650000</v>
      </c>
      <c r="C85" s="327">
        <f>'Sources and Uses Budget'!C84</f>
        <v>650000</v>
      </c>
      <c r="D85" s="327">
        <f>'Sources and Uses Budget'!C84</f>
        <v>650000</v>
      </c>
      <c r="E85" s="329">
        <f t="shared" si="2"/>
        <v>0</v>
      </c>
      <c r="F85" s="328"/>
      <c r="G85" s="328"/>
    </row>
    <row r="86" spans="1:7" s="565" customFormat="1" ht="12.75">
      <c r="A86" s="237" t="s">
        <v>518</v>
      </c>
      <c r="B86" s="327">
        <f>'Sources and Uses Budget'!C85</f>
        <v>740000</v>
      </c>
      <c r="C86" s="327">
        <f>'Sources and Uses Budget'!C85</f>
        <v>740000</v>
      </c>
      <c r="D86" s="327">
        <f>'Sources and Uses Budget'!C85</f>
        <v>740000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306000</v>
      </c>
      <c r="C88" s="327">
        <f>'Sources and Uses Budget'!C87</f>
        <v>306000</v>
      </c>
      <c r="D88" s="327">
        <f>'Sources and Uses Budget'!C87</f>
        <v>306000</v>
      </c>
      <c r="E88" s="329">
        <f t="shared" si="2"/>
        <v>0</v>
      </c>
      <c r="F88" s="328"/>
      <c r="G88" s="328"/>
    </row>
    <row r="89" spans="1:7" s="565" customFormat="1" ht="12.75">
      <c r="A89" s="237" t="s">
        <v>521</v>
      </c>
      <c r="B89" s="327">
        <f>'Sources and Uses Budget'!C88</f>
        <v>185500</v>
      </c>
      <c r="C89" s="327">
        <f>'Sources and Uses Budget'!C88</f>
        <v>185500</v>
      </c>
      <c r="D89" s="327">
        <f>'Sources and Uses Budget'!C88</f>
        <v>185500</v>
      </c>
      <c r="E89" s="329">
        <f t="shared" si="2"/>
        <v>0</v>
      </c>
      <c r="F89" s="328"/>
      <c r="G89" s="328"/>
    </row>
    <row r="90" spans="1:7" s="565" customFormat="1" ht="12.75">
      <c r="A90" s="237" t="s">
        <v>522</v>
      </c>
      <c r="B90" s="327">
        <f>'Sources and Uses Budget'!C89</f>
        <v>17000</v>
      </c>
      <c r="C90" s="327">
        <f>'Sources and Uses Budget'!C89</f>
        <v>17000</v>
      </c>
      <c r="D90" s="327">
        <f>'Sources and Uses Budget'!C89</f>
        <v>17000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25000</v>
      </c>
      <c r="C92" s="327">
        <f>'Sources and Uses Budget'!C91</f>
        <v>25000</v>
      </c>
      <c r="D92" s="327">
        <f>'Sources and Uses Budget'!C91</f>
        <v>25000</v>
      </c>
      <c r="E92" s="329">
        <f t="shared" si="2"/>
        <v>0</v>
      </c>
      <c r="F92" s="328"/>
      <c r="G92" s="328"/>
    </row>
    <row r="93" spans="1:7" s="565" customFormat="1" ht="12.75">
      <c r="A93" s="244" t="s">
        <v>533</v>
      </c>
      <c r="B93" s="327">
        <f>'Sources and Uses Budget'!C92</f>
        <v>350000</v>
      </c>
      <c r="C93" s="327">
        <f>'Sources and Uses Budget'!C92</f>
        <v>350000</v>
      </c>
      <c r="D93" s="327">
        <f>'Sources and Uses Budget'!C92</f>
        <v>350000</v>
      </c>
      <c r="E93" s="329">
        <f t="shared" si="2"/>
        <v>0</v>
      </c>
      <c r="F93" s="328"/>
      <c r="G93" s="328"/>
    </row>
    <row r="94" spans="1:7" s="565" customFormat="1" ht="12.75">
      <c r="A94" s="244" t="s">
        <v>533</v>
      </c>
      <c r="B94" s="327">
        <f>'Sources and Uses Budget'!C93</f>
        <v>140000</v>
      </c>
      <c r="C94" s="327">
        <f>'Sources and Uses Budget'!C93</f>
        <v>140000</v>
      </c>
      <c r="D94" s="327">
        <f>'Sources and Uses Budget'!C93</f>
        <v>140000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2639223</v>
      </c>
      <c r="C96" s="891">
        <f>'Sources and Uses Budget'!C95</f>
        <v>2639223</v>
      </c>
      <c r="D96" s="891">
        <f>'Sources and Uses Budget'!C95</f>
        <v>2639223</v>
      </c>
      <c r="E96" s="329">
        <f t="shared" si="2"/>
        <v>0</v>
      </c>
      <c r="F96" s="328"/>
      <c r="G96" s="328"/>
    </row>
    <row r="97" spans="1:7" s="565" customFormat="1" ht="12.75">
      <c r="A97" s="241" t="s">
        <v>524</v>
      </c>
      <c r="B97" s="891">
        <f ca="1">'Sources and Uses Budget'!C96</f>
        <v>38883500</v>
      </c>
      <c r="C97" s="891">
        <f ca="1">'Sources and Uses Budget'!C96</f>
        <v>38883500</v>
      </c>
      <c r="D97" s="891">
        <f ca="1">'Sources and Uses Budget'!C96</f>
        <v>38883500</v>
      </c>
      <c r="E97" s="329">
        <f t="shared" ca="1"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 ca="1">'Sources and Uses Budget'!C104</f>
        <v>41683500</v>
      </c>
      <c r="C105" s="891">
        <f ca="1">'Sources and Uses Budget'!C104</f>
        <v>41683500</v>
      </c>
      <c r="D105" s="891">
        <f ca="1">'Sources and Uses Budget'!C104</f>
        <v>41683500</v>
      </c>
      <c r="E105" s="329">
        <f t="shared" ca="1"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8" workbookViewId="0">
      <selection activeCell="B1268" sqref="B126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2283</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1375</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1375</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124</v>
      </c>
      <c r="D25" s="985" t="s">
        <v>1407</v>
      </c>
      <c r="E25" s="985"/>
      <c r="F25" s="985"/>
    </row>
    <row r="26" spans="1:7" ht="14.25">
      <c r="A26" s="269"/>
      <c r="B26" s="269"/>
      <c r="D26" s="985"/>
      <c r="E26" s="985"/>
      <c r="F26" s="985"/>
    </row>
    <row r="27" spans="1:7" ht="14.25">
      <c r="A27" s="269"/>
      <c r="B27" s="269"/>
      <c r="D27" s="44"/>
    </row>
    <row r="28" spans="1:7" ht="14.25" customHeight="1">
      <c r="A28" s="269"/>
      <c r="B28" s="606" t="s">
        <v>1375</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1375</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1375</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1375</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1375</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1375</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1375</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1375</v>
      </c>
      <c r="D73" s="985" t="s">
        <v>1538</v>
      </c>
      <c r="E73" s="985"/>
      <c r="F73" s="985"/>
    </row>
    <row r="74" spans="1:6" ht="12.75">
      <c r="D74" s="985"/>
      <c r="E74" s="985"/>
      <c r="F74" s="985"/>
    </row>
    <row r="75" spans="1:6" ht="12.75">
      <c r="D75" s="985"/>
      <c r="E75" s="985"/>
      <c r="F75" s="985"/>
    </row>
    <row r="76" spans="1:6" ht="12.75"/>
    <row r="77" spans="1:6" ht="14.25">
      <c r="A77" s="269" t="s">
        <v>229</v>
      </c>
      <c r="B77" s="606" t="s">
        <v>124</v>
      </c>
      <c r="D77" s="985" t="s">
        <v>1442</v>
      </c>
      <c r="E77" s="985"/>
      <c r="F77" s="985"/>
    </row>
    <row r="78" spans="1:6" ht="12.75">
      <c r="D78" s="985"/>
      <c r="E78" s="985"/>
      <c r="F78" s="985"/>
    </row>
    <row r="79" spans="1:6" ht="12.75"/>
    <row r="80" spans="1:6" ht="14.25">
      <c r="A80" s="269" t="s">
        <v>229</v>
      </c>
      <c r="B80" s="606" t="s">
        <v>124</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1375</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1375</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1375</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1375</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124</v>
      </c>
      <c r="D149" s="977" t="s">
        <v>2325</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1375</v>
      </c>
      <c r="D166" s="1031" t="s">
        <v>2278</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1375</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124</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1375</v>
      </c>
      <c r="D186" s="1037" t="s">
        <v>1725</v>
      </c>
      <c r="E186" s="1014"/>
      <c r="F186" s="1014"/>
    </row>
    <row r="187" spans="1:7" ht="14.25">
      <c r="A187" s="269"/>
      <c r="D187" s="310"/>
      <c r="E187" s="100"/>
      <c r="F187" s="100"/>
    </row>
    <row r="188" spans="1:7" ht="14.25">
      <c r="A188" s="269"/>
      <c r="B188" s="606" t="s">
        <v>1375</v>
      </c>
      <c r="D188" s="1014" t="s">
        <v>1546</v>
      </c>
      <c r="E188" s="1014"/>
      <c r="F188" s="1014"/>
    </row>
    <row r="189" spans="1:7" ht="14.25">
      <c r="A189" s="269"/>
      <c r="D189" s="100"/>
      <c r="E189" s="100"/>
      <c r="F189" s="100"/>
    </row>
    <row r="190" spans="1:7" ht="14.25">
      <c r="A190" s="269"/>
      <c r="B190" s="606" t="s">
        <v>1375</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2279</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2280</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1375</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124</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124</v>
      </c>
      <c r="D264" s="100" t="s">
        <v>1451</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1375</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1375</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1375</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124</v>
      </c>
      <c r="D328" s="985" t="s">
        <v>1560</v>
      </c>
      <c r="E328" s="985"/>
      <c r="F328" s="985"/>
    </row>
    <row r="329" spans="1:7" ht="14.25">
      <c r="A329" s="269"/>
      <c r="B329" s="269"/>
      <c r="D329" s="985"/>
      <c r="E329" s="985"/>
      <c r="F329" s="985"/>
    </row>
    <row r="330" spans="1:7" ht="12.75"/>
    <row r="331" spans="1:7" ht="14.45" customHeight="1">
      <c r="A331" s="269"/>
      <c r="B331" s="606" t="s">
        <v>124</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1375</v>
      </c>
      <c r="D343" s="1004" t="s">
        <v>1563</v>
      </c>
      <c r="E343" s="1004"/>
      <c r="F343" s="1004"/>
      <c r="G343"/>
    </row>
    <row r="344" spans="1:7" ht="14.25">
      <c r="A344" s="269"/>
      <c r="B344" s="269"/>
      <c r="D344" s="417"/>
      <c r="G344"/>
    </row>
    <row r="345" spans="1:7" ht="14.25">
      <c r="A345" s="269"/>
      <c r="B345" s="606" t="s">
        <v>124</v>
      </c>
      <c r="D345" s="1004" t="s">
        <v>1564</v>
      </c>
      <c r="E345" s="1004"/>
      <c r="F345" s="1004"/>
      <c r="G345"/>
    </row>
    <row r="346" spans="1:7" ht="12.75">
      <c r="G346"/>
    </row>
    <row r="347" spans="1:7" ht="14.45" customHeight="1">
      <c r="A347" s="269"/>
      <c r="B347" s="606" t="s">
        <v>124</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124</v>
      </c>
      <c r="C383" s="358"/>
      <c r="D383" s="1021" t="s">
        <v>2125</v>
      </c>
      <c r="E383" s="1021"/>
      <c r="F383" s="1021"/>
    </row>
    <row r="384" spans="1:6" ht="14.25">
      <c r="A384" s="269"/>
      <c r="B384" s="269"/>
      <c r="C384" s="358"/>
      <c r="D384" s="417"/>
    </row>
    <row r="385" spans="1:6" ht="14.25">
      <c r="A385" s="269"/>
      <c r="B385" s="606" t="s">
        <v>124</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1712</v>
      </c>
      <c r="E485" s="985"/>
      <c r="F485" s="985"/>
    </row>
    <row r="486" spans="1:6" ht="12.75">
      <c r="D486" s="985"/>
      <c r="E486" s="985"/>
      <c r="F486" s="985"/>
    </row>
    <row r="487" spans="1:6" ht="12.75">
      <c r="D487" s="44"/>
      <c r="E487" s="44"/>
    </row>
    <row r="488" spans="1:6" ht="14.25">
      <c r="B488" s="606" t="s">
        <v>124</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124</v>
      </c>
      <c r="D516" s="1041" t="s">
        <v>1574</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1576</v>
      </c>
      <c r="E524" s="1004"/>
      <c r="F524" s="1004"/>
      <c r="G524"/>
    </row>
    <row r="525" spans="1:7" ht="12.75">
      <c r="D525" s="44"/>
      <c r="G525"/>
    </row>
    <row r="526" spans="1:7" ht="14.25">
      <c r="A526" s="269"/>
      <c r="B526" s="606" t="s">
        <v>124</v>
      </c>
      <c r="D526" s="985" t="s">
        <v>1577</v>
      </c>
      <c r="E526" s="985"/>
      <c r="F526" s="985"/>
      <c r="G526"/>
    </row>
    <row r="527" spans="1:7" ht="12.75">
      <c r="D527" s="985"/>
      <c r="E527" s="985"/>
      <c r="F527" s="985"/>
      <c r="G527"/>
    </row>
    <row r="528" spans="1:7" ht="12.75">
      <c r="D528" s="417"/>
      <c r="G528"/>
    </row>
    <row r="529" spans="1:7" ht="14.25">
      <c r="A529" s="269"/>
      <c r="B529" s="606" t="s">
        <v>124</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1375</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124</v>
      </c>
      <c r="D551" s="985" t="s">
        <v>1547</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1375</v>
      </c>
      <c r="C562" s="205"/>
      <c r="D562" s="1004" t="s">
        <v>1113</v>
      </c>
      <c r="E562" s="1004"/>
      <c r="F562" s="1004"/>
    </row>
    <row r="563" spans="1:7" ht="12" customHeight="1">
      <c r="A563" s="205"/>
      <c r="B563" s="205"/>
      <c r="C563" s="205"/>
      <c r="D563" s="44"/>
      <c r="E563"/>
      <c r="F563"/>
      <c r="G563"/>
    </row>
    <row r="564" spans="1:7" ht="14.45" customHeight="1">
      <c r="A564" s="269"/>
      <c r="B564" s="606" t="s">
        <v>1375</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1375</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1375</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1375</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79</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1375</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1375</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1375</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1375</v>
      </c>
      <c r="D614" s="1007" t="s">
        <v>1114</v>
      </c>
      <c r="E614" s="1007"/>
      <c r="F614" s="1007"/>
    </row>
    <row r="615" spans="1:7" ht="12.75">
      <c r="A615" s="18"/>
      <c r="B615" s="18"/>
      <c r="D615" s="358"/>
    </row>
    <row r="616" spans="1:7" ht="14.45" customHeight="1">
      <c r="A616" s="269"/>
      <c r="B616" s="606" t="s">
        <v>1375</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1375</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1445</v>
      </c>
      <c r="E628" s="1007"/>
      <c r="F628" s="1007"/>
    </row>
    <row r="629" spans="1:7" ht="14.25">
      <c r="A629" s="269"/>
      <c r="B629" s="269"/>
      <c r="D629" s="1007"/>
      <c r="E629" s="1007"/>
      <c r="F629" s="1007"/>
    </row>
    <row r="630" spans="1:7" ht="14.25">
      <c r="A630" s="269"/>
      <c r="B630" s="269"/>
      <c r="D630" s="368"/>
    </row>
    <row r="631" spans="1:7" ht="14.25">
      <c r="A631" s="269"/>
      <c r="B631" s="606" t="s">
        <v>1375</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1375</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1375</v>
      </c>
      <c r="D654" s="1014" t="s">
        <v>1550</v>
      </c>
      <c r="E654" s="1014"/>
      <c r="F654" s="1014"/>
    </row>
    <row r="655" spans="1:7" ht="14.25">
      <c r="A655" s="269"/>
      <c r="B655" s="269"/>
      <c r="D655" s="44"/>
    </row>
    <row r="656" spans="1:7" ht="14.25">
      <c r="A656" s="269"/>
      <c r="B656" s="606" t="s">
        <v>124</v>
      </c>
      <c r="D656" s="985" t="s">
        <v>1551</v>
      </c>
      <c r="E656" s="985"/>
      <c r="F656" s="985"/>
    </row>
    <row r="657" spans="1:7" ht="14.25">
      <c r="A657" s="269"/>
      <c r="B657" s="269"/>
      <c r="D657" s="985"/>
      <c r="E657" s="985"/>
      <c r="F657" s="985"/>
    </row>
    <row r="658" spans="1:7" ht="14.25">
      <c r="A658" s="269"/>
      <c r="B658" s="269"/>
      <c r="D658" s="44"/>
    </row>
    <row r="659" spans="1:7" ht="14.25">
      <c r="A659" s="269"/>
      <c r="B659" s="606" t="s">
        <v>1375</v>
      </c>
      <c r="D659" s="977" t="s">
        <v>1910</v>
      </c>
      <c r="E659" s="977"/>
      <c r="F659" s="977"/>
    </row>
    <row r="660" spans="1:7" ht="13.7" customHeight="1">
      <c r="D660" s="977"/>
      <c r="E660" s="977"/>
      <c r="F660" s="977"/>
    </row>
    <row r="661" spans="1:7" ht="12.75"/>
    <row r="662" spans="1:7" ht="14.25">
      <c r="A662" s="269"/>
      <c r="B662" s="606" t="s">
        <v>1375</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1375</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1375</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1375</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1375</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1375</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1375</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124</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1375</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1375</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124</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1375</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124</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1375</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124</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1375</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1375</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124</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1375</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1375</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124</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124</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124</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124</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124</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1375</v>
      </c>
      <c r="D1145" s="985" t="s">
        <v>1657</v>
      </c>
      <c r="E1145" s="985"/>
      <c r="F1145" s="985"/>
    </row>
    <row r="1146" spans="1:7" ht="12.75">
      <c r="D1146" s="985"/>
      <c r="E1146" s="985"/>
      <c r="F1146" s="985"/>
    </row>
    <row r="1147" spans="1:7" ht="12.75"/>
    <row r="1148" spans="1:7" ht="14.25">
      <c r="A1148" s="269"/>
      <c r="B1148" s="606" t="s">
        <v>124</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124</v>
      </c>
      <c r="D1153" s="1004" t="s">
        <v>1659</v>
      </c>
      <c r="E1153" s="1004"/>
      <c r="F1153" s="1004"/>
    </row>
    <row r="1154" spans="1:7" ht="12.75"/>
    <row r="1155" spans="1:7" ht="14.25">
      <c r="A1155" s="269"/>
      <c r="B1155" s="606" t="s">
        <v>124</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124</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1375</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1375</v>
      </c>
      <c r="D1196" s="1004" t="s">
        <v>1662</v>
      </c>
      <c r="E1196" s="1004"/>
      <c r="F1196" s="1004"/>
      <c r="G1196"/>
    </row>
    <row r="1197" spans="1:7" ht="12.75">
      <c r="G1197"/>
    </row>
    <row r="1198" spans="1:7" ht="14.25">
      <c r="A1198" s="269"/>
      <c r="B1198" s="606" t="s">
        <v>124</v>
      </c>
      <c r="D1198" s="1004" t="s">
        <v>1663</v>
      </c>
      <c r="E1198" s="1004"/>
      <c r="F1198" s="1004"/>
      <c r="G1198"/>
    </row>
    <row r="1199" spans="1:7" ht="12.75">
      <c r="D1199" s="44"/>
      <c r="G1199"/>
    </row>
    <row r="1200" spans="1:7" ht="14.25">
      <c r="A1200" s="269"/>
      <c r="B1200" s="606" t="s">
        <v>124</v>
      </c>
      <c r="D1200" s="1004" t="s">
        <v>1664</v>
      </c>
      <c r="E1200" s="1004"/>
      <c r="F1200" s="1004"/>
      <c r="G1200"/>
    </row>
    <row r="1201" spans="1:7" ht="12.75">
      <c r="D1201" s="44"/>
      <c r="G1201"/>
    </row>
    <row r="1202" spans="1:7" ht="14.25">
      <c r="A1202" s="269"/>
      <c r="B1202" s="606" t="s">
        <v>124</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1375</v>
      </c>
      <c r="D1210" s="1004" t="s">
        <v>1668</v>
      </c>
      <c r="E1210" s="1004"/>
      <c r="F1210" s="1004"/>
    </row>
    <row r="1211" spans="1:7" ht="14.25">
      <c r="A1211" s="269"/>
      <c r="B1211" s="269"/>
      <c r="D1211" s="44"/>
    </row>
    <row r="1212" spans="1:7" ht="14.25">
      <c r="A1212" s="269"/>
      <c r="B1212" s="606" t="s">
        <v>124</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1375</v>
      </c>
      <c r="D1223" s="1003" t="s">
        <v>1511</v>
      </c>
      <c r="E1223" s="1003"/>
      <c r="F1223" s="1003"/>
    </row>
    <row r="1224" spans="1:7" ht="12.75">
      <c r="D1224" s="1043" t="s">
        <v>1906</v>
      </c>
      <c r="E1224" s="1043"/>
      <c r="F1224" s="1043"/>
    </row>
    <row r="1225" spans="1:7" ht="12.75">
      <c r="G1225"/>
    </row>
    <row r="1226" spans="1:7" ht="12.75" customHeight="1">
      <c r="B1226" s="606" t="s">
        <v>1375</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124</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124</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25" right="0.25" top="0.75" bottom="0.75" header="0.3" footer="0.3"/>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699" workbookViewId="0">
      <selection activeCell="A699" sqref="A699"/>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2316</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2330</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06" t="s">
        <v>2332</v>
      </c>
      <c r="I15" s="1406"/>
      <c r="J15" s="1406"/>
      <c r="K15" s="1406"/>
      <c r="L15" s="1406"/>
      <c r="M15" s="1406"/>
      <c r="N15" s="1406"/>
      <c r="O15" s="1406"/>
      <c r="P15" s="1406"/>
      <c r="Q15" s="1406"/>
      <c r="R15" s="1406"/>
      <c r="S15" s="1406"/>
      <c r="T15" s="1406"/>
      <c r="U15" s="1406"/>
      <c r="V15" s="1406"/>
      <c r="W15" s="1406"/>
      <c r="X15" s="1406"/>
      <c r="Y15" s="1406"/>
      <c r="Z15" s="1406"/>
      <c r="AA15" s="1406"/>
      <c r="AB15" s="1406"/>
      <c r="AC15" s="1406"/>
      <c r="AD15" s="1406"/>
      <c r="AE15" s="1406"/>
      <c r="AF15" s="1406"/>
      <c r="AG15" s="1406"/>
      <c r="AH15" s="1406"/>
      <c r="AI15" s="1406"/>
      <c r="AJ15" s="1406"/>
    </row>
    <row r="16" spans="1:46" ht="12.95" customHeight="1">
      <c r="C16"/>
    </row>
    <row r="17" spans="1:46" ht="12.95" customHeight="1">
      <c r="A17" s="63" t="s">
        <v>793</v>
      </c>
      <c r="C17" s="5"/>
      <c r="D17" s="5"/>
      <c r="E17" s="5"/>
      <c r="F17" s="5"/>
      <c r="G17" s="5"/>
      <c r="H17" s="1146" t="s">
        <v>2331</v>
      </c>
      <c r="I17" s="1146"/>
      <c r="J17" s="1146"/>
      <c r="K17" s="1146"/>
      <c r="L17" s="1146"/>
      <c r="M17" s="1146"/>
      <c r="N17" s="1146"/>
      <c r="O17" s="1146"/>
      <c r="P17" s="1146"/>
      <c r="Q17" s="1146"/>
      <c r="R17" s="1146"/>
      <c r="S17" s="1146"/>
      <c r="T17" s="1146"/>
      <c r="U17" s="1146"/>
      <c r="V17" s="1146"/>
      <c r="W17" s="1146"/>
      <c r="X17" s="1146"/>
      <c r="Y17" s="1146"/>
      <c r="Z17" s="1146"/>
      <c r="AA17" s="1146"/>
      <c r="AB17" s="1146"/>
      <c r="AC17" s="1146"/>
      <c r="AD17" s="1146"/>
      <c r="AE17" s="1146"/>
      <c r="AF17" s="1146"/>
      <c r="AG17" s="1146"/>
      <c r="AH17" s="1146"/>
      <c r="AI17" s="1146"/>
      <c r="AJ17" s="1146"/>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09" t="s">
        <v>1351</v>
      </c>
      <c r="B20" s="1409"/>
      <c r="C20" s="1409"/>
      <c r="D20" s="1409"/>
      <c r="E20" s="1409"/>
      <c r="F20" s="1409"/>
      <c r="G20" s="1409"/>
      <c r="H20" s="1409"/>
      <c r="I20" s="1409"/>
      <c r="J20" s="1409"/>
      <c r="K20" s="140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2234</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1">
        <f ca="1">ROUND('Basis &amp; Credits'!AB55,0)</f>
        <v>2500000</v>
      </c>
      <c r="N25" s="1411"/>
      <c r="O25" s="1411"/>
      <c r="P25" s="1411"/>
      <c r="Q25" s="141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1">
        <f ca="1">'Basis &amp; Credits'!AB76</f>
        <v>1390663</v>
      </c>
      <c r="N27" s="1411"/>
      <c r="O27" s="1411"/>
      <c r="P27" s="1411"/>
      <c r="Q27" s="1411"/>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2235</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41" t="s">
        <v>108</v>
      </c>
      <c r="P33" s="1141"/>
      <c r="Q33" s="1589" t="s">
        <v>2236</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2238</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2239</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2240</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2242</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2244</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2246</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2247</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2248</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2249</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2250</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2251</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19.899999999999999"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2252</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2253</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2254</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44">
        <v>1</v>
      </c>
      <c r="H115" s="1144"/>
      <c r="I115" s="41" t="s">
        <v>412</v>
      </c>
      <c r="J115" s="41"/>
      <c r="L115" s="1407" t="s">
        <v>2333</v>
      </c>
      <c r="M115" s="1408"/>
      <c r="N115" s="1408"/>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07" t="s">
        <v>28</v>
      </c>
      <c r="D117" s="1408"/>
      <c r="E117" s="1408"/>
      <c r="F117" s="1408"/>
      <c r="G117" s="1408"/>
      <c r="H117" s="1408"/>
      <c r="I117" s="1408"/>
      <c r="J117" s="1408"/>
      <c r="K117" s="1408"/>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6" t="s">
        <v>2334</v>
      </c>
      <c r="Z118" s="1400"/>
      <c r="AA118" s="1400"/>
      <c r="AB118" s="1400"/>
      <c r="AC118" s="1400"/>
      <c r="AD118" s="1400"/>
      <c r="AE118" s="1400"/>
      <c r="AF118" s="1400"/>
      <c r="AG118" s="1400"/>
      <c r="AH118" s="1400"/>
      <c r="AI118" s="1400"/>
      <c r="AJ118" s="1400"/>
      <c r="AK118" s="140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6" t="s">
        <v>2335</v>
      </c>
      <c r="Z121" s="1400"/>
      <c r="AA121" s="1400"/>
      <c r="AB121" s="1400"/>
      <c r="AC121" s="1400"/>
      <c r="AD121" s="1400"/>
      <c r="AE121" s="1400"/>
      <c r="AF121" s="1400"/>
      <c r="AG121" s="1400"/>
      <c r="AH121" s="1400"/>
      <c r="AI121" s="1400"/>
      <c r="AJ121" s="1400"/>
      <c r="AK121" s="140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46" t="s">
        <v>2337</v>
      </c>
      <c r="P156" s="1400"/>
      <c r="Q156" s="1400"/>
      <c r="R156" s="1400"/>
      <c r="S156" s="1400"/>
      <c r="T156" s="1400"/>
      <c r="U156" s="1400"/>
      <c r="V156" s="1400"/>
      <c r="W156" s="1400"/>
      <c r="X156" s="1400"/>
      <c r="Y156" s="1400"/>
      <c r="Z156" s="1400"/>
      <c r="AA156" s="1400"/>
      <c r="AB156" s="1400"/>
      <c r="AC156" s="1400"/>
      <c r="AD156" s="1400"/>
      <c r="AE156" s="1400"/>
      <c r="AF156" s="1400"/>
      <c r="AG156" s="1400"/>
      <c r="AH156" s="1400"/>
      <c r="BT156" t="s">
        <v>79</v>
      </c>
    </row>
    <row r="157" spans="1:72" ht="12.95" customHeight="1">
      <c r="C157"/>
      <c r="D157" s="337" t="s">
        <v>543</v>
      </c>
      <c r="O157" s="1465" t="s">
        <v>2338</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709</v>
      </c>
      <c r="BN157" s="30" t="s">
        <v>422</v>
      </c>
      <c r="BT157" t="s">
        <v>28</v>
      </c>
    </row>
    <row r="158" spans="1:72" ht="12.95" customHeight="1">
      <c r="C158"/>
      <c r="D158" s="12" t="s">
        <v>544</v>
      </c>
      <c r="F158" s="12"/>
      <c r="G158" s="12"/>
      <c r="H158" s="12"/>
      <c r="I158" s="12"/>
      <c r="J158" s="12"/>
      <c r="K158" s="12"/>
      <c r="L158" s="12"/>
      <c r="M158" s="12"/>
      <c r="N158" s="12"/>
      <c r="O158" s="1412" t="s">
        <v>545</v>
      </c>
      <c r="P158" s="1412"/>
      <c r="Q158" s="1412"/>
      <c r="R158" s="1412"/>
      <c r="S158" s="1412"/>
      <c r="T158" s="1412"/>
      <c r="U158" s="1412"/>
      <c r="V158" s="1412"/>
      <c r="W158" s="1412"/>
      <c r="X158" s="1412"/>
      <c r="Y158" s="1412"/>
      <c r="Z158" s="1412"/>
      <c r="AA158" s="1412"/>
      <c r="AB158" s="1412"/>
      <c r="AC158" s="1412"/>
      <c r="AD158" s="1412"/>
      <c r="AE158" s="1412"/>
      <c r="AF158" s="1412"/>
      <c r="AG158" s="1412"/>
      <c r="AH158" s="1412"/>
      <c r="BN158" s="30" t="s">
        <v>423</v>
      </c>
      <c r="BT158" t="s">
        <v>29</v>
      </c>
    </row>
    <row r="159" spans="1:72" ht="12.95" customHeight="1">
      <c r="C159"/>
      <c r="D159" t="s">
        <v>647</v>
      </c>
      <c r="O159" s="1150" t="s">
        <v>2339</v>
      </c>
      <c r="P159" s="1150"/>
      <c r="Q159" s="1150"/>
      <c r="R159" s="1150"/>
      <c r="S159" s="1150"/>
      <c r="T159" s="1150"/>
      <c r="U159" s="1150"/>
      <c r="V159" s="1150"/>
      <c r="W159" s="1150"/>
      <c r="X159" s="1150"/>
      <c r="Y159" s="1150"/>
      <c r="Z159" s="1150"/>
      <c r="AA159" s="1150"/>
      <c r="AB159" s="1150"/>
      <c r="AC159" s="1150"/>
      <c r="AD159" s="1150"/>
      <c r="AE159" s="1150"/>
      <c r="AF159" s="1150"/>
      <c r="AG159" s="1150"/>
      <c r="AH159" s="1150"/>
      <c r="BN159" s="30" t="s">
        <v>73</v>
      </c>
      <c r="BT159" t="s">
        <v>384</v>
      </c>
    </row>
    <row r="160" spans="1:72" ht="12.95" customHeight="1">
      <c r="C160"/>
      <c r="D160" t="s">
        <v>648</v>
      </c>
      <c r="O160" s="1400" t="s">
        <v>28</v>
      </c>
      <c r="P160" s="1400"/>
      <c r="Q160" s="1400"/>
      <c r="R160" s="1400"/>
      <c r="S160" s="1400"/>
      <c r="T160" s="1400"/>
      <c r="U160" s="1400"/>
      <c r="V160" s="1400"/>
      <c r="W160" s="1400"/>
      <c r="X160" s="1400"/>
      <c r="Y160" s="12"/>
      <c r="Z160" s="12"/>
      <c r="AA160" s="12"/>
      <c r="AB160" s="12"/>
      <c r="AC160" s="12"/>
      <c r="AD160" s="12"/>
      <c r="AE160" s="12"/>
      <c r="AF160" s="12"/>
      <c r="BN160" s="30" t="s">
        <v>75</v>
      </c>
      <c r="BT160" t="s">
        <v>385</v>
      </c>
    </row>
    <row r="161" spans="1:72" ht="12.95" customHeight="1">
      <c r="C161"/>
      <c r="D161" t="s">
        <v>649</v>
      </c>
      <c r="O161" s="1470">
        <v>94501</v>
      </c>
      <c r="P161" s="1470"/>
      <c r="Q161" s="1470"/>
      <c r="R161" s="147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64" t="s">
        <v>2340</v>
      </c>
      <c r="P162" s="1464"/>
      <c r="Q162" s="1464"/>
      <c r="R162" s="1464"/>
      <c r="S162" s="1464"/>
      <c r="T162" s="1464"/>
      <c r="V162" s="177" t="s">
        <v>12</v>
      </c>
      <c r="W162" s="1471"/>
      <c r="X162" s="1471"/>
      <c r="Y162" s="14"/>
      <c r="Z162" s="14"/>
      <c r="AA162" s="14"/>
      <c r="AB162" s="14"/>
      <c r="AC162" s="14"/>
      <c r="AD162" s="14"/>
      <c r="AE162" s="14"/>
      <c r="AF162" s="14"/>
      <c r="BJ162" t="s">
        <v>108</v>
      </c>
      <c r="BN162" s="30" t="s">
        <v>77</v>
      </c>
      <c r="BT162" t="s">
        <v>387</v>
      </c>
    </row>
    <row r="163" spans="1:72" ht="12.95" customHeight="1">
      <c r="C163"/>
      <c r="D163" t="s">
        <v>651</v>
      </c>
      <c r="O163" s="1464"/>
      <c r="P163" s="1464"/>
      <c r="Q163" s="1464"/>
      <c r="R163" s="1464"/>
      <c r="S163" s="1464"/>
      <c r="T163" s="1464"/>
      <c r="U163" s="14"/>
      <c r="V163" s="14"/>
      <c r="W163" s="14"/>
      <c r="X163" s="14"/>
      <c r="Y163" s="14"/>
      <c r="Z163" s="14"/>
      <c r="AA163" s="14"/>
      <c r="AB163" s="14"/>
      <c r="AC163" s="14"/>
      <c r="AD163" s="14"/>
      <c r="AE163" s="14"/>
      <c r="AF163" s="14"/>
      <c r="BN163" s="30" t="s">
        <v>476</v>
      </c>
      <c r="BT163" t="s">
        <v>388</v>
      </c>
    </row>
    <row r="164" spans="1:72" ht="12.95" customHeight="1">
      <c r="C164"/>
      <c r="D164" t="s">
        <v>652</v>
      </c>
      <c r="O164" s="1463" t="s">
        <v>2341</v>
      </c>
      <c r="P164" s="1463"/>
      <c r="Q164" s="1463"/>
      <c r="R164" s="1463"/>
      <c r="S164" s="1463"/>
      <c r="T164" s="1463"/>
      <c r="U164" s="1463"/>
      <c r="V164" s="1463"/>
      <c r="W164" s="1463"/>
      <c r="X164" s="1463"/>
      <c r="Y164" s="1463"/>
      <c r="Z164" s="1463"/>
      <c r="AA164" s="1463"/>
      <c r="AB164" s="1463"/>
      <c r="AC164" s="1463"/>
      <c r="AD164" s="1463"/>
      <c r="AE164" s="1463"/>
      <c r="AF164" s="1463"/>
      <c r="AG164" s="1463"/>
      <c r="AH164" s="146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83" t="s">
        <v>2281</v>
      </c>
      <c r="E167" s="1483"/>
      <c r="F167" s="1483"/>
      <c r="G167" s="1483"/>
      <c r="H167" s="1483"/>
      <c r="I167" s="1483"/>
      <c r="J167" s="1483"/>
      <c r="K167" s="1483"/>
      <c r="L167" s="1483"/>
      <c r="M167" s="1483"/>
      <c r="N167" s="1483"/>
      <c r="O167" s="1483"/>
      <c r="P167" s="1483"/>
      <c r="Q167" s="1483"/>
      <c r="R167" s="1483"/>
      <c r="S167" s="1483"/>
      <c r="T167" s="1483"/>
      <c r="U167" s="1483"/>
      <c r="V167" s="1483"/>
      <c r="W167" s="1483"/>
      <c r="X167" s="1483"/>
      <c r="Y167" s="148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126" t="s">
        <v>379</v>
      </c>
      <c r="B169" s="1126"/>
      <c r="C169" s="1126"/>
      <c r="D169" s="1126"/>
      <c r="E169" s="1126"/>
      <c r="F169" s="1126"/>
      <c r="G169" s="1126"/>
      <c r="H169" s="1126"/>
      <c r="I169" s="1126"/>
      <c r="J169" s="1126"/>
      <c r="K169" s="1126"/>
      <c r="L169" s="1126"/>
      <c r="M169" s="1126"/>
      <c r="N169" s="1126"/>
      <c r="O169" s="1126"/>
      <c r="P169" s="1126"/>
      <c r="Q169" s="1126"/>
      <c r="R169" s="1126"/>
      <c r="S169" s="1126"/>
      <c r="T169" s="1126"/>
      <c r="U169" s="1126"/>
      <c r="V169" s="1126"/>
      <c r="W169" s="1126"/>
      <c r="X169" s="1126"/>
      <c r="Y169" s="1126"/>
      <c r="Z169" s="1126"/>
      <c r="AA169" s="1126"/>
      <c r="AB169" s="1126"/>
      <c r="AC169" s="1126"/>
      <c r="AD169" s="1126"/>
      <c r="AE169" s="1126"/>
      <c r="AF169" s="1126"/>
      <c r="AG169" s="1126"/>
      <c r="AH169" s="1126"/>
      <c r="AI169" s="1126"/>
      <c r="AJ169" s="1126"/>
      <c r="AK169" s="1126"/>
      <c r="AL169" s="1126"/>
      <c r="AM169" s="1126"/>
      <c r="AN169" s="1126"/>
      <c r="AO169" s="1126"/>
      <c r="AP169" s="1126"/>
      <c r="AQ169" s="1126"/>
      <c r="AR169" s="1126"/>
      <c r="AS169" s="1126"/>
      <c r="AT169" s="1126"/>
      <c r="AU169"/>
      <c r="BN169" s="264" t="s">
        <v>486</v>
      </c>
      <c r="BT169" t="s">
        <v>394</v>
      </c>
    </row>
    <row r="170" spans="1:72" s="956" customFormat="1" ht="12.95" customHeight="1">
      <c r="A170" s="1126"/>
      <c r="B170" s="1126"/>
      <c r="C170" s="1126"/>
      <c r="D170" s="1126"/>
      <c r="E170" s="1126"/>
      <c r="F170" s="1126"/>
      <c r="G170" s="1126"/>
      <c r="H170" s="1126"/>
      <c r="I170" s="1126"/>
      <c r="J170" s="1126"/>
      <c r="K170" s="1126"/>
      <c r="L170" s="1126"/>
      <c r="M170" s="1126"/>
      <c r="N170" s="1126"/>
      <c r="O170" s="1126"/>
      <c r="P170" s="1126"/>
      <c r="Q170" s="1126"/>
      <c r="R170" s="1126"/>
      <c r="S170" s="1126"/>
      <c r="T170" s="1126"/>
      <c r="U170" s="1126"/>
      <c r="V170" s="1126"/>
      <c r="W170" s="1126"/>
      <c r="X170" s="1126"/>
      <c r="Y170" s="1126"/>
      <c r="Z170" s="1126"/>
      <c r="AA170" s="1126"/>
      <c r="AB170" s="1126"/>
      <c r="AC170" s="1126"/>
      <c r="AD170" s="1126"/>
      <c r="AE170" s="1126"/>
      <c r="AF170" s="1126"/>
      <c r="AG170" s="1126"/>
      <c r="AH170" s="1126"/>
      <c r="AI170" s="1126"/>
      <c r="AJ170" s="1126"/>
      <c r="AK170" s="1126"/>
      <c r="AL170" s="1126"/>
      <c r="AM170" s="1126"/>
      <c r="AN170" s="1126"/>
      <c r="AO170" s="1126"/>
      <c r="AP170" s="1126"/>
      <c r="AQ170" s="1126"/>
      <c r="AR170" s="1126"/>
      <c r="AS170" s="1126"/>
      <c r="AT170" s="1126"/>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01" t="s">
        <v>505</v>
      </c>
      <c r="K173" s="1401"/>
      <c r="L173" s="1401"/>
      <c r="M173" s="1401"/>
      <c r="N173" s="1401"/>
      <c r="O173" s="1401"/>
      <c r="P173" s="1401"/>
      <c r="Q173" s="1401"/>
      <c r="R173" s="1401"/>
      <c r="S173" s="1401"/>
      <c r="U173" s="32"/>
      <c r="X173" s="32"/>
      <c r="BN173" s="30" t="s">
        <v>491</v>
      </c>
      <c r="BT173" t="s">
        <v>398</v>
      </c>
    </row>
    <row r="174" spans="1:72" ht="12.95" customHeight="1">
      <c r="C174" s="31"/>
      <c r="D174" t="s">
        <v>438</v>
      </c>
      <c r="U174" s="1141" t="s">
        <v>108</v>
      </c>
      <c r="V174" s="1141"/>
      <c r="BN174" s="30" t="s">
        <v>594</v>
      </c>
      <c r="BT174" t="s">
        <v>399</v>
      </c>
    </row>
    <row r="175" spans="1:72" ht="12.95" customHeight="1">
      <c r="C175" s="12"/>
      <c r="D175" s="33"/>
      <c r="E175" t="s">
        <v>230</v>
      </c>
      <c r="O175" s="34"/>
      <c r="P175" t="s">
        <v>2091</v>
      </c>
      <c r="T175" s="34" t="s">
        <v>231</v>
      </c>
      <c r="U175" s="1285">
        <v>25</v>
      </c>
      <c r="V175" s="1285"/>
      <c r="W175" s="1" t="s">
        <v>232</v>
      </c>
      <c r="X175" s="1469">
        <v>53</v>
      </c>
      <c r="Y175" s="1469"/>
      <c r="BN175" s="30" t="s">
        <v>595</v>
      </c>
      <c r="BT175" t="s">
        <v>400</v>
      </c>
    </row>
    <row r="176" spans="1:72" ht="12.95" customHeight="1">
      <c r="C176" s="31"/>
      <c r="D176" t="s">
        <v>279</v>
      </c>
      <c r="U176" s="1141" t="s">
        <v>482</v>
      </c>
      <c r="V176" s="1141"/>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76"/>
      <c r="K178" s="1476"/>
      <c r="L178" s="367" t="s">
        <v>232</v>
      </c>
      <c r="M178" s="1152"/>
      <c r="N178" s="1152"/>
      <c r="O178" s="358"/>
      <c r="P178" s="358"/>
      <c r="Q178" s="358"/>
      <c r="R178" s="358"/>
      <c r="U178" s="358" t="s">
        <v>1233</v>
      </c>
      <c r="V178" s="358"/>
      <c r="W178" s="358"/>
      <c r="X178" s="358"/>
      <c r="Y178" s="358"/>
      <c r="Z178" s="358"/>
      <c r="AA178" s="358"/>
      <c r="AB178" s="358"/>
      <c r="AD178" s="1477"/>
      <c r="AE178" s="1477"/>
      <c r="AF178" s="1477"/>
      <c r="AG178" s="1477"/>
      <c r="AH178" s="1477"/>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41" t="s">
        <v>482</v>
      </c>
      <c r="Z180" s="1454"/>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3" t="str">
        <f>H17</f>
        <v>North Housing PSH II</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574</v>
      </c>
      <c r="BT184" t="s">
        <v>409</v>
      </c>
    </row>
    <row r="185" spans="1:72" ht="12.95" customHeight="1">
      <c r="C185" s="29"/>
      <c r="D185" t="s">
        <v>429</v>
      </c>
      <c r="I185" s="1261" t="s">
        <v>2336</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575</v>
      </c>
      <c r="BT185" t="s">
        <v>839</v>
      </c>
    </row>
    <row r="186" spans="1:72" ht="12.95" customHeight="1">
      <c r="C186" s="29"/>
      <c r="E186" t="s">
        <v>62</v>
      </c>
      <c r="BN186" s="30" t="s">
        <v>576</v>
      </c>
      <c r="BT186" t="s">
        <v>840</v>
      </c>
    </row>
    <row r="187" spans="1:72" ht="12.95" customHeight="1">
      <c r="C187" s="29"/>
      <c r="E187" s="1302" t="s">
        <v>2342</v>
      </c>
      <c r="F187" s="1302"/>
      <c r="G187" s="1302"/>
      <c r="H187" s="1302"/>
      <c r="I187" s="1302"/>
      <c r="J187" s="1302"/>
      <c r="K187" s="1302"/>
      <c r="L187" s="1302"/>
      <c r="M187" s="1302"/>
      <c r="N187" s="1302"/>
      <c r="O187" s="1302"/>
      <c r="P187" s="1302"/>
      <c r="Q187" s="1302"/>
      <c r="R187" s="1302"/>
      <c r="S187" s="1302"/>
      <c r="T187" s="1302"/>
      <c r="U187" s="1302"/>
      <c r="V187" s="1302"/>
      <c r="W187" s="1302"/>
      <c r="X187" s="1302"/>
      <c r="Y187" s="1302"/>
      <c r="Z187" s="1302"/>
      <c r="AA187" s="1302"/>
      <c r="AB187" s="1302"/>
      <c r="AC187" s="1302"/>
      <c r="AD187" s="1302"/>
      <c r="AE187" s="1302"/>
      <c r="BN187" s="30" t="s">
        <v>577</v>
      </c>
      <c r="BT187" t="s">
        <v>841</v>
      </c>
    </row>
    <row r="188" spans="1:72" ht="12.95" customHeight="1">
      <c r="C188" s="29"/>
      <c r="E188" s="1303"/>
      <c r="F188" s="1303"/>
      <c r="G188" s="1303"/>
      <c r="H188" s="1303"/>
      <c r="I188" s="1303"/>
      <c r="J188" s="1303"/>
      <c r="K188" s="1303"/>
      <c r="L188" s="1303"/>
      <c r="M188" s="1303"/>
      <c r="N188" s="1303"/>
      <c r="O188" s="1303"/>
      <c r="P188" s="1303"/>
      <c r="Q188" s="1303"/>
      <c r="R188" s="1303"/>
      <c r="S188" s="1303"/>
      <c r="T188" s="1303"/>
      <c r="U188" s="1303"/>
      <c r="V188" s="1303"/>
      <c r="W188" s="1303"/>
      <c r="X188" s="1303"/>
      <c r="Y188" s="1303"/>
      <c r="Z188" s="1303"/>
      <c r="AA188" s="1303"/>
      <c r="AB188" s="1303"/>
      <c r="AC188" s="1303"/>
      <c r="AD188" s="1303"/>
      <c r="AE188" s="1303"/>
      <c r="BN188" s="30" t="s">
        <v>579</v>
      </c>
      <c r="BT188" t="s">
        <v>842</v>
      </c>
    </row>
    <row r="189" spans="1:72" ht="12.95" customHeight="1">
      <c r="C189" s="29"/>
      <c r="D189" t="s">
        <v>430</v>
      </c>
      <c r="I189" s="1150" t="s">
        <v>28</v>
      </c>
      <c r="J189" s="1150"/>
      <c r="K189" s="1150"/>
      <c r="L189" s="1150"/>
      <c r="M189" s="1150"/>
      <c r="N189" s="1150"/>
      <c r="O189" s="1150"/>
      <c r="P189" s="1150"/>
      <c r="Q189" t="s">
        <v>432</v>
      </c>
      <c r="T189" s="1150" t="s">
        <v>28</v>
      </c>
      <c r="U189" s="1150"/>
      <c r="V189" s="1150"/>
      <c r="W189" s="1150"/>
      <c r="X189" s="1150"/>
      <c r="Y189" s="1150"/>
      <c r="Z189" s="1150"/>
      <c r="AA189" s="1150"/>
      <c r="AB189" s="1150"/>
      <c r="AC189" s="1150"/>
      <c r="AD189" s="1150"/>
      <c r="AE189" s="1150"/>
      <c r="BC189" t="s">
        <v>79</v>
      </c>
      <c r="BH189" s="41" t="s">
        <v>124</v>
      </c>
      <c r="BN189" s="30" t="s">
        <v>580</v>
      </c>
      <c r="BT189" t="s">
        <v>109</v>
      </c>
    </row>
    <row r="190" spans="1:72" ht="12.95" customHeight="1">
      <c r="C190" s="29"/>
      <c r="D190" t="s">
        <v>433</v>
      </c>
      <c r="I190" s="1261">
        <v>94501</v>
      </c>
      <c r="J190" s="1261"/>
      <c r="K190" s="1261"/>
      <c r="L190" s="1261"/>
      <c r="M190" s="1261"/>
      <c r="N190" s="1261"/>
      <c r="O190" t="s">
        <v>435</v>
      </c>
      <c r="T190" s="1474">
        <v>4287</v>
      </c>
      <c r="U190" s="1474"/>
      <c r="V190" s="1474"/>
      <c r="W190" s="1474"/>
      <c r="X190" s="1474"/>
      <c r="Y190" s="1474"/>
      <c r="Z190" s="1474"/>
      <c r="AA190" s="1474"/>
      <c r="AB190" s="1474"/>
      <c r="AC190" s="1474"/>
      <c r="AD190" s="1474"/>
      <c r="AE190" s="1474"/>
      <c r="BC190" t="s">
        <v>663</v>
      </c>
      <c r="BH190" t="s">
        <v>663</v>
      </c>
      <c r="BN190" s="30" t="s">
        <v>421</v>
      </c>
      <c r="BT190" t="s">
        <v>110</v>
      </c>
    </row>
    <row r="191" spans="1:72" ht="12.95" customHeight="1">
      <c r="C191" s="29"/>
      <c r="D191" t="s">
        <v>81</v>
      </c>
      <c r="N191" s="1302" t="s">
        <v>2343</v>
      </c>
      <c r="O191" s="1302"/>
      <c r="P191" s="1302"/>
      <c r="Q191" s="1302"/>
      <c r="R191" s="1302"/>
      <c r="S191" s="1302"/>
      <c r="T191" s="1302"/>
      <c r="U191" s="1302"/>
      <c r="V191" s="1302"/>
      <c r="W191" s="1302"/>
      <c r="X191" s="1302"/>
      <c r="Y191" s="1302"/>
      <c r="Z191" s="1302"/>
      <c r="AA191" s="1302"/>
      <c r="AB191" s="1302"/>
      <c r="AC191" s="1302"/>
      <c r="AD191" s="1302"/>
      <c r="AE191" s="1302"/>
      <c r="BC191" t="s">
        <v>1423</v>
      </c>
      <c r="BH191" t="s">
        <v>1423</v>
      </c>
      <c r="BN191" s="30" t="s">
        <v>582</v>
      </c>
      <c r="BT191" t="s">
        <v>111</v>
      </c>
    </row>
    <row r="192" spans="1:72" ht="12.95" customHeight="1">
      <c r="C192" s="29"/>
      <c r="M192" s="49"/>
      <c r="N192" s="1303"/>
      <c r="O192" s="1303"/>
      <c r="P192" s="1303"/>
      <c r="Q192" s="1303"/>
      <c r="R192" s="1303"/>
      <c r="S192" s="1303"/>
      <c r="T192" s="1303"/>
      <c r="U192" s="1303"/>
      <c r="V192" s="1303"/>
      <c r="W192" s="1303"/>
      <c r="X192" s="1303"/>
      <c r="Y192" s="1303"/>
      <c r="Z192" s="1303"/>
      <c r="AA192" s="1303"/>
      <c r="AB192" s="1303"/>
      <c r="AC192" s="1303"/>
      <c r="AD192" s="1303"/>
      <c r="AE192" s="1303"/>
      <c r="BC192" t="s">
        <v>664</v>
      </c>
      <c r="BH192" t="s">
        <v>615</v>
      </c>
      <c r="BN192" s="30" t="s">
        <v>583</v>
      </c>
      <c r="BT192" t="s">
        <v>112</v>
      </c>
    </row>
    <row r="193" spans="1:73" ht="12.95" customHeight="1">
      <c r="C193" s="29"/>
      <c r="D193" t="s">
        <v>436</v>
      </c>
      <c r="T193" s="1141" t="s">
        <v>482</v>
      </c>
      <c r="U193" s="1141"/>
      <c r="W193" s="41" t="s">
        <v>1875</v>
      </c>
      <c r="AA193" s="1481"/>
      <c r="AB193" s="1481"/>
      <c r="AC193" s="1481"/>
      <c r="BC193" t="s">
        <v>564</v>
      </c>
      <c r="BH193" s="5" t="s">
        <v>1428</v>
      </c>
      <c r="BN193" s="30" t="s">
        <v>584</v>
      </c>
      <c r="BT193" t="s">
        <v>113</v>
      </c>
    </row>
    <row r="194" spans="1:73" ht="12.95" customHeight="1">
      <c r="C194" s="29"/>
      <c r="D194" t="s">
        <v>118</v>
      </c>
      <c r="T194" s="1115" t="s">
        <v>482</v>
      </c>
      <c r="U194" s="1115"/>
      <c r="W194" t="s">
        <v>63</v>
      </c>
      <c r="AI194" s="1141" t="s">
        <v>482</v>
      </c>
      <c r="AJ194" s="1141"/>
      <c r="AX194" s="5" t="s">
        <v>124</v>
      </c>
      <c r="BC194" t="s">
        <v>615</v>
      </c>
      <c r="BN194" s="30" t="s">
        <v>753</v>
      </c>
      <c r="BT194" t="s">
        <v>114</v>
      </c>
    </row>
    <row r="195" spans="1:73" ht="12.95" customHeight="1">
      <c r="C195" s="29"/>
      <c r="D195" s="41" t="s">
        <v>1726</v>
      </c>
      <c r="T195" s="1115" t="s">
        <v>482</v>
      </c>
      <c r="U195" s="1115"/>
      <c r="X195" s="794" t="s">
        <v>2093</v>
      </c>
      <c r="AX195" s="5" t="s">
        <v>1150</v>
      </c>
      <c r="BN195" s="30" t="s">
        <v>754</v>
      </c>
      <c r="BT195" t="s">
        <v>115</v>
      </c>
    </row>
    <row r="196" spans="1:73" ht="12.95" customHeight="1">
      <c r="C196" s="29"/>
      <c r="D196" s="5" t="s">
        <v>1155</v>
      </c>
      <c r="T196" s="1115" t="s">
        <v>482</v>
      </c>
      <c r="U196" s="1115"/>
      <c r="AK196" s="1468"/>
      <c r="AL196" s="1468"/>
      <c r="AX196" s="41" t="s">
        <v>2184</v>
      </c>
      <c r="BN196" s="30" t="s">
        <v>755</v>
      </c>
      <c r="BT196" t="s">
        <v>116</v>
      </c>
    </row>
    <row r="197" spans="1:73" ht="12.95" customHeight="1">
      <c r="C197" s="29"/>
      <c r="D197" s="41" t="s">
        <v>1876</v>
      </c>
      <c r="T197" s="1141" t="s">
        <v>482</v>
      </c>
      <c r="U197" s="1141"/>
      <c r="AX197" s="5" t="s">
        <v>1151</v>
      </c>
      <c r="BC197" t="s">
        <v>79</v>
      </c>
      <c r="BN197" s="30" t="s">
        <v>756</v>
      </c>
      <c r="BT197" t="s">
        <v>117</v>
      </c>
    </row>
    <row r="198" spans="1:73" ht="12.95" customHeight="1">
      <c r="C198" s="29"/>
      <c r="D198" s="41" t="s">
        <v>1904</v>
      </c>
      <c r="W198" s="1479" t="s">
        <v>482</v>
      </c>
      <c r="X198" s="1141"/>
      <c r="AX198" s="5" t="s">
        <v>1152</v>
      </c>
      <c r="BC198" t="s">
        <v>1103</v>
      </c>
      <c r="BN198" s="30" t="s">
        <v>757</v>
      </c>
      <c r="BT198" t="s">
        <v>803</v>
      </c>
    </row>
    <row r="199" spans="1:73" ht="12.95" customHeight="1">
      <c r="C199" s="29"/>
      <c r="L199" s="307"/>
      <c r="M199" s="307"/>
      <c r="N199" s="307"/>
      <c r="O199" s="307"/>
      <c r="P199" s="307"/>
      <c r="Q199" s="918" t="s">
        <v>2094</v>
      </c>
      <c r="R199" s="1146" t="s">
        <v>2007</v>
      </c>
      <c r="S199" s="1146"/>
      <c r="T199" s="1146"/>
      <c r="U199" s="1146"/>
      <c r="V199" s="1146"/>
      <c r="W199" s="1146"/>
      <c r="X199" s="1146"/>
      <c r="Y199" s="1146"/>
      <c r="Z199" s="1146"/>
      <c r="AA199" s="1146"/>
      <c r="AB199" s="1146"/>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3" t="str">
        <f ca="1">IF(AND(M25&gt;0,M27&gt;0),"Federal and State","Federal Only")</f>
        <v>Federal and State</v>
      </c>
      <c r="E203" s="1263"/>
      <c r="F203" s="1263"/>
      <c r="G203" s="1263"/>
      <c r="H203" s="1263"/>
      <c r="I203" s="1263"/>
      <c r="J203" s="1263"/>
      <c r="K203" s="1263"/>
      <c r="L203" s="1263"/>
      <c r="M203" s="1263"/>
      <c r="P203" s="1484">
        <f ca="1">M25</f>
        <v>2500000</v>
      </c>
      <c r="Q203" s="1484"/>
      <c r="R203" s="1484"/>
      <c r="S203" s="1484"/>
      <c r="T203" s="1484"/>
      <c r="U203" s="1484"/>
      <c r="W203" s="1484">
        <f ca="1">M27</f>
        <v>1390663</v>
      </c>
      <c r="X203" s="1484"/>
      <c r="Y203" s="1484"/>
      <c r="Z203" s="1484"/>
      <c r="AA203" s="1484"/>
      <c r="AB203" s="1484"/>
      <c r="AV203" t="s">
        <v>124</v>
      </c>
      <c r="AX203" s="5" t="s">
        <v>564</v>
      </c>
      <c r="BC203" t="s">
        <v>1432</v>
      </c>
      <c r="BN203" s="30" t="s">
        <v>661</v>
      </c>
      <c r="BT203" s="40" t="s">
        <v>808</v>
      </c>
      <c r="BU203" s="21"/>
    </row>
    <row r="204" spans="1:73" ht="12.95" customHeight="1">
      <c r="C204" s="29"/>
      <c r="P204" s="1403" t="s">
        <v>175</v>
      </c>
      <c r="Q204" s="1403"/>
      <c r="R204" s="1403"/>
      <c r="S204" s="1403"/>
      <c r="T204" s="1403"/>
      <c r="U204" s="1403"/>
      <c r="V204" s="36"/>
      <c r="W204" s="1403" t="s">
        <v>176</v>
      </c>
      <c r="X204" s="1403"/>
      <c r="Y204" s="1403"/>
      <c r="Z204" s="1403"/>
      <c r="AA204" s="1403"/>
      <c r="AB204" s="1403"/>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400" t="s">
        <v>2344</v>
      </c>
      <c r="E208" s="1400"/>
      <c r="F208" s="1400"/>
      <c r="G208" s="1400"/>
      <c r="H208" s="1400"/>
      <c r="I208" s="1400"/>
      <c r="J208" s="1400"/>
      <c r="K208" s="1400"/>
      <c r="L208" s="1400"/>
      <c r="M208" s="140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46" t="s">
        <v>2184</v>
      </c>
      <c r="E211" s="1400"/>
      <c r="F211" s="1400"/>
      <c r="G211" s="1400"/>
      <c r="H211" s="1400"/>
      <c r="I211" s="1400"/>
      <c r="J211" s="1400"/>
      <c r="K211" s="1400"/>
      <c r="L211" s="1400"/>
      <c r="M211" s="1400"/>
      <c r="N211" s="1400"/>
      <c r="O211" s="1400"/>
      <c r="P211" s="1400"/>
      <c r="X211" s="800"/>
      <c r="Y211" s="1475" t="s">
        <v>482</v>
      </c>
      <c r="Z211" s="147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72" t="s">
        <v>664</v>
      </c>
      <c r="E214" s="1472"/>
      <c r="F214" s="1472"/>
      <c r="G214" s="1472"/>
      <c r="H214" s="1472"/>
      <c r="I214" s="1472"/>
      <c r="J214" s="1472"/>
      <c r="AX214" t="s">
        <v>2007</v>
      </c>
      <c r="BC214" t="s">
        <v>630</v>
      </c>
      <c r="BN214" s="30" t="s">
        <v>443</v>
      </c>
      <c r="BT214" s="40" t="s">
        <v>817</v>
      </c>
    </row>
    <row r="215" spans="1:72" ht="12.95" customHeight="1">
      <c r="C215"/>
      <c r="D215" s="35"/>
      <c r="E215" s="41" t="s">
        <v>2297</v>
      </c>
      <c r="S215" s="1482">
        <v>46</v>
      </c>
      <c r="T215" s="1482"/>
      <c r="V215" s="1478">
        <f>IFERROR(S215/AG441,"")</f>
        <v>1</v>
      </c>
      <c r="W215" s="1478"/>
      <c r="AX215" t="s">
        <v>2008</v>
      </c>
      <c r="BC215" t="s">
        <v>627</v>
      </c>
    </row>
    <row r="216" spans="1:72" ht="12.95" customHeight="1">
      <c r="C216"/>
      <c r="D216" s="35"/>
      <c r="E216" s="934" t="s">
        <v>2292</v>
      </c>
      <c r="AX216" t="s">
        <v>2009</v>
      </c>
      <c r="BC216" t="s">
        <v>744</v>
      </c>
    </row>
    <row r="217" spans="1:72" ht="12.95" customHeight="1">
      <c r="C217"/>
      <c r="E217" s="1410" t="s">
        <v>124</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2011</v>
      </c>
      <c r="BC217" t="s">
        <v>628</v>
      </c>
    </row>
    <row r="218" spans="1:72" ht="12.95" customHeight="1">
      <c r="C218"/>
      <c r="E218" s="41" t="s">
        <v>1947</v>
      </c>
      <c r="AA218" s="49"/>
      <c r="AC218" s="1371"/>
      <c r="AD218" s="1371"/>
      <c r="AE218" s="1371"/>
      <c r="AF218" s="1371"/>
      <c r="AG218" s="1371"/>
      <c r="AH218" s="1371"/>
      <c r="AI218" s="1371"/>
      <c r="AJ218" s="1371"/>
      <c r="AK218" s="1371"/>
      <c r="AL218" s="1371"/>
      <c r="AM218" s="1371"/>
      <c r="BC218" t="s">
        <v>629</v>
      </c>
      <c r="BI218" s="39"/>
    </row>
    <row r="219" spans="1:72" ht="12.95" customHeight="1">
      <c r="C219"/>
      <c r="E219" s="41" t="s">
        <v>1948</v>
      </c>
      <c r="AA219" s="49"/>
      <c r="AC219" s="1371"/>
      <c r="AD219" s="1371"/>
      <c r="AE219" s="1371"/>
      <c r="AF219" s="1371"/>
      <c r="AG219" s="1371"/>
      <c r="AH219" s="1371"/>
      <c r="AI219" s="1371"/>
      <c r="AJ219" s="1371"/>
      <c r="AK219" s="1371"/>
      <c r="AL219" s="1371"/>
      <c r="AM219" s="137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46" t="s">
        <v>1432</v>
      </c>
      <c r="E223" s="1146"/>
      <c r="F223" s="1146"/>
      <c r="G223" s="1146"/>
      <c r="H223" s="1146"/>
      <c r="I223" s="1146"/>
      <c r="J223" s="1146"/>
      <c r="K223" s="1146"/>
      <c r="L223" s="1146"/>
      <c r="M223" s="1146"/>
      <c r="N223" s="1146"/>
      <c r="O223" s="1146"/>
      <c r="P223" s="1146"/>
      <c r="Q223" s="1146"/>
      <c r="R223" s="1146"/>
      <c r="S223" s="1146"/>
      <c r="T223" s="1146"/>
      <c r="U223" s="1146"/>
      <c r="V223" s="1146"/>
      <c r="W223" s="1146"/>
      <c r="X223" s="1146"/>
      <c r="Y223" s="1146"/>
      <c r="Z223" s="1146"/>
      <c r="AA223" s="1146"/>
      <c r="AB223" s="1146"/>
      <c r="AC223" s="1146"/>
      <c r="AD223" s="1146"/>
      <c r="AE223" s="1146"/>
      <c r="AF223" s="1146"/>
      <c r="AG223" s="1146"/>
      <c r="AH223" s="1146"/>
      <c r="AI223" s="1146"/>
      <c r="AJ223" s="21"/>
      <c r="AK223" s="21"/>
      <c r="AL223" s="21"/>
    </row>
    <row r="224" spans="1:72" ht="12.95" customHeight="1">
      <c r="C224"/>
      <c r="AJ224" s="5"/>
    </row>
    <row r="225" spans="1:59" ht="12.95" customHeight="1">
      <c r="C225"/>
      <c r="D225" t="s">
        <v>557</v>
      </c>
      <c r="O225" s="1141">
        <v>13</v>
      </c>
      <c r="P225" s="1141"/>
    </row>
    <row r="226" spans="1:59" ht="12.95" customHeight="1">
      <c r="C226"/>
      <c r="D226" t="s">
        <v>558</v>
      </c>
      <c r="O226" s="1141">
        <v>18</v>
      </c>
      <c r="P226" s="1141"/>
      <c r="BB226" s="5" t="s">
        <v>638</v>
      </c>
      <c r="BG226" s="407">
        <f>IF(AND(AND($M$251="for profit",$M$259="for profit",$M$267="nonprofit")),2,0)</f>
        <v>0</v>
      </c>
    </row>
    <row r="227" spans="1:59" ht="12.95" customHeight="1">
      <c r="C227"/>
      <c r="D227" t="s">
        <v>559</v>
      </c>
      <c r="O227" s="1141">
        <v>9</v>
      </c>
      <c r="P227" s="1141"/>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126" t="s">
        <v>495</v>
      </c>
      <c r="B231" s="1126"/>
      <c r="C231" s="1126"/>
      <c r="D231" s="1126"/>
      <c r="E231" s="1126"/>
      <c r="F231" s="1126"/>
      <c r="G231" s="1126"/>
      <c r="H231" s="1126"/>
      <c r="I231" s="1126"/>
      <c r="J231" s="1126"/>
      <c r="K231" s="1126"/>
      <c r="L231" s="1126"/>
      <c r="M231" s="1126"/>
      <c r="N231" s="1126"/>
      <c r="O231" s="1126"/>
      <c r="P231" s="1126"/>
      <c r="Q231" s="1126"/>
      <c r="R231" s="1126"/>
      <c r="S231" s="1126"/>
      <c r="T231" s="1126"/>
      <c r="U231" s="1126"/>
      <c r="V231" s="1126"/>
      <c r="W231" s="1126"/>
      <c r="X231" s="1126"/>
      <c r="Y231" s="1126"/>
      <c r="Z231" s="1126"/>
      <c r="AA231" s="1126"/>
      <c r="AB231" s="1126"/>
      <c r="AC231" s="1126"/>
      <c r="AD231" s="1126"/>
      <c r="AE231" s="1126"/>
      <c r="AF231" s="1126"/>
      <c r="AG231" s="1126"/>
      <c r="AH231" s="1126"/>
      <c r="AI231" s="1126"/>
      <c r="AJ231" s="1126"/>
      <c r="AK231" s="1126"/>
      <c r="AL231" s="1126"/>
      <c r="AM231" s="1126"/>
      <c r="AN231" s="1126"/>
      <c r="AO231" s="1126"/>
      <c r="AP231" s="1126"/>
      <c r="AQ231" s="1126"/>
      <c r="AR231" s="1126"/>
      <c r="AS231" s="1126"/>
      <c r="AT231" s="1126"/>
    </row>
    <row r="232" spans="1:59" ht="12.95" customHeight="1">
      <c r="A232" s="1126"/>
      <c r="B232" s="1126"/>
      <c r="C232" s="1126"/>
      <c r="D232" s="1126"/>
      <c r="E232" s="1126"/>
      <c r="F232" s="1126"/>
      <c r="G232" s="1126"/>
      <c r="H232" s="1126"/>
      <c r="I232" s="1126"/>
      <c r="J232" s="1126"/>
      <c r="K232" s="1126"/>
      <c r="L232" s="1126"/>
      <c r="M232" s="1126"/>
      <c r="N232" s="1126"/>
      <c r="O232" s="1126"/>
      <c r="P232" s="1126"/>
      <c r="Q232" s="1126"/>
      <c r="R232" s="1126"/>
      <c r="S232" s="1126"/>
      <c r="T232" s="1126"/>
      <c r="U232" s="1126"/>
      <c r="V232" s="1126"/>
      <c r="W232" s="1126"/>
      <c r="X232" s="1126"/>
      <c r="Y232" s="1126"/>
      <c r="Z232" s="1126"/>
      <c r="AA232" s="1126"/>
      <c r="AB232" s="1126"/>
      <c r="AC232" s="1126"/>
      <c r="AD232" s="1126"/>
      <c r="AE232" s="1126"/>
      <c r="AF232" s="1126"/>
      <c r="AG232" s="1126"/>
      <c r="AH232" s="1126"/>
      <c r="AI232" s="1126"/>
      <c r="AJ232" s="1126"/>
      <c r="AK232" s="1126"/>
      <c r="AL232" s="1126"/>
      <c r="AM232" s="1126"/>
      <c r="AN232" s="1126"/>
      <c r="AO232" s="1126"/>
      <c r="AP232" s="1126"/>
      <c r="AQ232" s="1126"/>
      <c r="AR232" s="1126"/>
      <c r="AS232" s="1126"/>
      <c r="AT232" s="1126"/>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5" t="str">
        <f>H15</f>
        <v>Island City Development</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5" customHeight="1">
      <c r="C236"/>
      <c r="D236" s="5" t="s">
        <v>372</v>
      </c>
      <c r="E236" s="5"/>
      <c r="F236" s="5"/>
      <c r="G236" s="5"/>
      <c r="H236" s="5"/>
      <c r="I236" s="5"/>
      <c r="J236" s="5"/>
      <c r="K236" s="5"/>
      <c r="M236" s="1400" t="s">
        <v>2345</v>
      </c>
      <c r="N236" s="1400"/>
      <c r="O236" s="1400"/>
      <c r="P236" s="1400"/>
      <c r="Q236" s="1400"/>
      <c r="R236" s="1400"/>
      <c r="S236" s="1400"/>
      <c r="T236" s="1400"/>
      <c r="U236" s="1400"/>
      <c r="V236" s="1400"/>
      <c r="W236" s="1400"/>
      <c r="X236" s="1400"/>
      <c r="Y236" s="1400"/>
      <c r="Z236" s="1400"/>
      <c r="AA236" s="1400"/>
      <c r="AB236" s="1400"/>
      <c r="AC236" s="1400"/>
      <c r="AD236" s="1400"/>
      <c r="AE236" s="1400"/>
      <c r="AM236" s="41"/>
      <c r="AN236" s="41"/>
      <c r="BB236" t="s">
        <v>637</v>
      </c>
      <c r="BG236" s="407">
        <f>IF(AND(AND($M$251="nonprofit",$M$259="nonprofit",$M$267="nonprofit")),1,0)</f>
        <v>0</v>
      </c>
    </row>
    <row r="237" spans="1:59" ht="12.95" customHeight="1">
      <c r="C237"/>
      <c r="D237" s="5" t="s">
        <v>430</v>
      </c>
      <c r="E237" s="5"/>
      <c r="M237" s="1400" t="s">
        <v>28</v>
      </c>
      <c r="N237" s="1400"/>
      <c r="O237" s="1400"/>
      <c r="P237" s="1400"/>
      <c r="Q237" s="1400"/>
      <c r="R237" s="1400"/>
      <c r="S237" s="1400"/>
      <c r="T237" s="1400"/>
      <c r="V237" s="42" t="s">
        <v>373</v>
      </c>
      <c r="W237" s="1465" t="s">
        <v>2346</v>
      </c>
      <c r="X237" s="1262"/>
      <c r="Y237" s="5" t="s">
        <v>433</v>
      </c>
      <c r="AC237" s="1400">
        <v>94501</v>
      </c>
      <c r="AD237" s="1400"/>
      <c r="AE237" s="1400"/>
      <c r="AN237" s="41"/>
      <c r="BB237" t="s">
        <v>637</v>
      </c>
      <c r="BG237" s="407">
        <f>IF(AND(AND($M$251="nonprofit",$M$259="nonprofit",$M$267="(select one)")),1,0)</f>
        <v>0</v>
      </c>
    </row>
    <row r="238" spans="1:59" ht="12.95" customHeight="1">
      <c r="C238"/>
      <c r="D238" s="5" t="s">
        <v>374</v>
      </c>
      <c r="E238" s="5"/>
      <c r="F238" s="5"/>
      <c r="G238" s="5"/>
      <c r="H238" s="5"/>
      <c r="I238" s="5"/>
      <c r="J238" s="5"/>
      <c r="K238" s="28"/>
      <c r="M238" s="1146" t="s">
        <v>2334</v>
      </c>
      <c r="N238" s="1400"/>
      <c r="O238" s="1400"/>
      <c r="P238" s="1400"/>
      <c r="Q238" s="1400"/>
      <c r="R238" s="1400"/>
      <c r="S238" s="1400"/>
      <c r="T238" s="1400"/>
      <c r="U238" s="1400"/>
      <c r="V238" s="1400"/>
      <c r="W238" s="1400"/>
      <c r="X238" s="1400"/>
      <c r="Y238" s="1400"/>
      <c r="Z238" s="1400"/>
      <c r="AA238" s="1400"/>
      <c r="AB238" s="1400"/>
      <c r="AC238" s="1400"/>
      <c r="AD238" s="1400"/>
      <c r="AE238" s="1400"/>
      <c r="AI238" s="5"/>
      <c r="AJ238" s="5"/>
      <c r="AK238" s="5"/>
      <c r="AL238" s="5"/>
      <c r="AN238" s="41"/>
      <c r="BB238" t="s">
        <v>637</v>
      </c>
      <c r="BG238" s="407">
        <f>IF(AND(AND($M$251="nonprofit",$M$259="(select one)",$M$267="(select one)")),1,0)</f>
        <v>1</v>
      </c>
    </row>
    <row r="239" spans="1:59" ht="12.95" customHeight="1">
      <c r="C239"/>
      <c r="D239" s="5" t="s">
        <v>375</v>
      </c>
      <c r="E239" s="5"/>
      <c r="F239" s="5"/>
      <c r="M239" s="1264" t="s">
        <v>2347</v>
      </c>
      <c r="N239" s="1264"/>
      <c r="O239" s="1264"/>
      <c r="P239" s="1264"/>
      <c r="Q239" s="1264"/>
      <c r="R239" s="1264"/>
      <c r="S239" s="5" t="s">
        <v>818</v>
      </c>
      <c r="T239" s="5"/>
      <c r="U239" s="1262"/>
      <c r="V239" s="1262"/>
      <c r="W239" s="1262"/>
      <c r="X239" s="5" t="s">
        <v>376</v>
      </c>
      <c r="Z239" s="1264"/>
      <c r="AA239" s="1264"/>
      <c r="AB239" s="1264"/>
      <c r="AC239" s="1264"/>
      <c r="AD239" s="1264"/>
      <c r="AE239" s="1264"/>
      <c r="AM239" s="41"/>
      <c r="AN239" s="41"/>
      <c r="BB239" t="s">
        <v>1009</v>
      </c>
      <c r="BG239" s="407">
        <f>IF(AND(AND($M$251="for profit",$M$259="for profit",$M$267="for profit")),3,0)</f>
        <v>0</v>
      </c>
    </row>
    <row r="240" spans="1:59" ht="12.95" customHeight="1">
      <c r="C240"/>
      <c r="D240" s="5" t="s">
        <v>377</v>
      </c>
      <c r="E240" s="5"/>
      <c r="F240" s="5"/>
      <c r="M240" s="1463" t="s">
        <v>2348</v>
      </c>
      <c r="N240" s="1463"/>
      <c r="O240" s="1463"/>
      <c r="P240" s="1463"/>
      <c r="Q240" s="1463"/>
      <c r="R240" s="1463"/>
      <c r="S240" s="1463"/>
      <c r="T240" s="1463"/>
      <c r="U240" s="1463"/>
      <c r="V240" s="1463"/>
      <c r="W240" s="1463"/>
      <c r="X240" s="1463"/>
      <c r="Y240" s="1463"/>
      <c r="Z240" s="1463"/>
      <c r="AA240" s="1463"/>
      <c r="AB240" s="1463"/>
      <c r="AC240" s="1463"/>
      <c r="AD240" s="1463"/>
      <c r="AE240" s="1463"/>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1" t="s">
        <v>494</v>
      </c>
      <c r="N241" s="1261"/>
      <c r="O241" s="1261"/>
      <c r="P241" s="1261"/>
      <c r="Q241" s="1261"/>
      <c r="R241" s="1261"/>
      <c r="S241" s="1261"/>
      <c r="T241" s="1261"/>
      <c r="U241" s="5" t="s">
        <v>1144</v>
      </c>
      <c r="AA241" s="1404"/>
      <c r="AB241" s="1404"/>
      <c r="AC241" s="1404"/>
      <c r="AD241" s="1404"/>
      <c r="AE241" s="1404"/>
      <c r="AF241" s="1404"/>
      <c r="AG241" s="1404"/>
      <c r="AH241" s="1404"/>
      <c r="AI241" s="1404"/>
      <c r="AJ241" s="1404"/>
      <c r="AK241" s="1404"/>
      <c r="AL241" s="41"/>
      <c r="AM241" s="5"/>
      <c r="AN241" s="41"/>
      <c r="AO241" s="41"/>
      <c r="BB241" t="s">
        <v>1009</v>
      </c>
      <c r="BG241" s="408">
        <f>IF(AND(AND($M$251="for profit",$M$259="(select one)",$M$267="(select one)")),3,0)</f>
        <v>0</v>
      </c>
    </row>
    <row r="242" spans="1:67" ht="12.95" customHeight="1">
      <c r="C242"/>
      <c r="D242" t="s">
        <v>631</v>
      </c>
      <c r="M242" s="1146"/>
      <c r="N242" s="1150"/>
      <c r="O242" s="1150"/>
      <c r="P242" s="1150"/>
      <c r="Q242" s="1150"/>
      <c r="R242" s="1150"/>
      <c r="S242" s="1150"/>
      <c r="T242" s="1150"/>
      <c r="U242" s="1150"/>
      <c r="V242" s="1150"/>
      <c r="W242" s="1150"/>
      <c r="X242" s="1150"/>
      <c r="Y242" s="1150"/>
      <c r="Z242" s="1150"/>
      <c r="AA242" s="1150"/>
      <c r="AB242" s="1150"/>
      <c r="AC242" s="1150"/>
      <c r="AD242" s="1150"/>
      <c r="AE242" s="1150"/>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06" t="s">
        <v>2349</v>
      </c>
      <c r="N245" s="1406"/>
      <c r="O245" s="1406"/>
      <c r="P245" s="1406"/>
      <c r="Q245" s="1406"/>
      <c r="R245" s="1406"/>
      <c r="S245" s="1406"/>
      <c r="T245" s="1406"/>
      <c r="U245" s="1406"/>
      <c r="V245" s="1406"/>
      <c r="W245" s="1406"/>
      <c r="X245" s="1406"/>
      <c r="Y245" s="1406"/>
      <c r="Z245" s="1406"/>
      <c r="AA245" s="1406"/>
      <c r="AB245" s="1406"/>
      <c r="AC245" s="1406"/>
      <c r="AD245" s="1406"/>
      <c r="AE245" s="1406"/>
      <c r="AF245" s="1473" t="s">
        <v>2350</v>
      </c>
      <c r="AG245" s="1473"/>
      <c r="AH245" s="1473"/>
      <c r="AI245" s="1473"/>
      <c r="AJ245" s="1473"/>
      <c r="AK245" s="1473"/>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400" t="s">
        <v>2345</v>
      </c>
      <c r="N246" s="1400"/>
      <c r="O246" s="1400"/>
      <c r="P246" s="1400"/>
      <c r="Q246" s="1400"/>
      <c r="R246" s="1400"/>
      <c r="S246" s="1400"/>
      <c r="T246" s="1400"/>
      <c r="U246" s="1400"/>
      <c r="V246" s="1400"/>
      <c r="W246" s="1400"/>
      <c r="X246" s="1400"/>
      <c r="Y246" s="1400"/>
      <c r="Z246" s="1400"/>
      <c r="AA246" s="1400"/>
      <c r="AB246" s="1400"/>
      <c r="AC246" s="1400"/>
      <c r="AD246" s="1400"/>
      <c r="AE246" s="1400"/>
      <c r="AL246" s="5"/>
      <c r="AN246" s="41"/>
      <c r="BB246" s="5" t="s">
        <v>454</v>
      </c>
      <c r="BH246">
        <v>3</v>
      </c>
      <c r="BI246" t="s">
        <v>636</v>
      </c>
    </row>
    <row r="247" spans="1:67" ht="12.95" customHeight="1">
      <c r="A247" s="28"/>
      <c r="B247" s="5"/>
      <c r="C247" s="5"/>
      <c r="D247" s="5" t="s">
        <v>430</v>
      </c>
      <c r="E247" s="5"/>
      <c r="M247" s="1400" t="s">
        <v>28</v>
      </c>
      <c r="N247" s="1400"/>
      <c r="O247" s="1400"/>
      <c r="P247" s="1400"/>
      <c r="Q247" s="1400"/>
      <c r="R247" s="1400"/>
      <c r="S247" s="1400"/>
      <c r="T247" s="1400"/>
      <c r="V247" s="42" t="s">
        <v>373</v>
      </c>
      <c r="W247" s="1465" t="s">
        <v>2346</v>
      </c>
      <c r="X247" s="1262"/>
      <c r="Y247" s="5" t="s">
        <v>433</v>
      </c>
      <c r="AC247" s="1400">
        <v>94501</v>
      </c>
      <c r="AD247" s="1400"/>
      <c r="AE247" s="1400"/>
      <c r="AN247" s="41"/>
    </row>
    <row r="248" spans="1:67" ht="12.95" customHeight="1">
      <c r="A248" s="28"/>
      <c r="B248" s="5"/>
      <c r="C248" s="5"/>
      <c r="D248" s="5" t="s">
        <v>374</v>
      </c>
      <c r="E248" s="5"/>
      <c r="F248" s="5"/>
      <c r="G248" s="5"/>
      <c r="H248" s="5"/>
      <c r="I248" s="5"/>
      <c r="J248" s="5"/>
      <c r="K248" s="5"/>
      <c r="L248" s="28"/>
      <c r="M248" s="1400" t="s">
        <v>2334</v>
      </c>
      <c r="N248" s="1400"/>
      <c r="O248" s="1400"/>
      <c r="P248" s="1400"/>
      <c r="Q248" s="1400"/>
      <c r="R248" s="1400"/>
      <c r="S248" s="1400"/>
      <c r="T248" s="1400"/>
      <c r="U248" s="1400"/>
      <c r="V248" s="1400"/>
      <c r="W248" s="1400"/>
      <c r="X248" s="1400"/>
      <c r="Y248" s="1400"/>
      <c r="Z248" s="1400"/>
      <c r="AA248" s="1400"/>
      <c r="AB248" s="1400"/>
      <c r="AC248" s="1400"/>
      <c r="AD248" s="1400"/>
      <c r="AE248" s="1400"/>
      <c r="AJ248" s="5"/>
      <c r="AK248" s="5"/>
      <c r="AL248" s="5"/>
      <c r="AN248" s="41"/>
    </row>
    <row r="249" spans="1:67" ht="12.95" customHeight="1">
      <c r="A249" s="28"/>
      <c r="B249" s="5"/>
      <c r="C249" s="5"/>
      <c r="D249" s="5" t="s">
        <v>375</v>
      </c>
      <c r="E249" s="5"/>
      <c r="F249" s="5"/>
      <c r="M249" s="1264" t="s">
        <v>2347</v>
      </c>
      <c r="N249" s="1264"/>
      <c r="O249" s="1264"/>
      <c r="P249" s="1264"/>
      <c r="Q249" s="1264"/>
      <c r="R249" s="1264"/>
      <c r="S249" s="5" t="s">
        <v>818</v>
      </c>
      <c r="T249" s="5"/>
      <c r="U249" s="1262"/>
      <c r="V249" s="1262"/>
      <c r="W249" s="1262"/>
      <c r="X249" s="5" t="s">
        <v>376</v>
      </c>
      <c r="Z249" s="1264"/>
      <c r="AA249" s="1264"/>
      <c r="AB249" s="1264"/>
      <c r="AC249" s="1264"/>
      <c r="AD249" s="1264"/>
      <c r="AE249" s="1264"/>
      <c r="AM249" s="5"/>
      <c r="AN249" s="41"/>
    </row>
    <row r="250" spans="1:67" ht="12.95" customHeight="1">
      <c r="A250" s="28"/>
      <c r="B250" s="5"/>
      <c r="C250" s="5"/>
      <c r="D250" s="5" t="s">
        <v>377</v>
      </c>
      <c r="E250" s="5"/>
      <c r="F250" s="5"/>
      <c r="M250" s="1463" t="s">
        <v>2348</v>
      </c>
      <c r="N250" s="1463"/>
      <c r="O250" s="1463"/>
      <c r="P250" s="1463"/>
      <c r="Q250" s="1463"/>
      <c r="R250" s="1463"/>
      <c r="S250" s="1463"/>
      <c r="T250" s="1463"/>
      <c r="U250" s="1463"/>
      <c r="V250" s="1463"/>
      <c r="W250" s="1463"/>
      <c r="X250" s="1463"/>
      <c r="Y250" s="1463"/>
      <c r="Z250" s="1463"/>
      <c r="AA250" s="1463"/>
      <c r="AB250" s="1463"/>
      <c r="AC250" s="1463"/>
      <c r="AD250" s="1463"/>
      <c r="AE250" s="1463"/>
      <c r="AG250" s="5"/>
      <c r="AH250" s="5"/>
      <c r="AI250" s="5"/>
      <c r="AJ250" s="5"/>
      <c r="AK250" s="5"/>
      <c r="AL250" s="5"/>
    </row>
    <row r="251" spans="1:67" ht="12.95" customHeight="1">
      <c r="A251" s="18"/>
      <c r="B251" s="5"/>
      <c r="C251" s="62"/>
      <c r="D251" s="5" t="s">
        <v>635</v>
      </c>
      <c r="E251" s="5"/>
      <c r="F251" s="5"/>
      <c r="G251" s="5"/>
      <c r="H251" s="5"/>
      <c r="I251" s="5"/>
      <c r="J251" s="5"/>
      <c r="K251" s="5"/>
      <c r="L251" s="5"/>
      <c r="M251" s="1261" t="s">
        <v>634</v>
      </c>
      <c r="N251" s="1261"/>
      <c r="O251" s="1261"/>
      <c r="P251" s="1261"/>
      <c r="Q251" s="1261"/>
      <c r="R251" s="1261"/>
      <c r="S251" s="1261"/>
      <c r="T251" s="1261"/>
      <c r="U251" s="5" t="s">
        <v>1144</v>
      </c>
      <c r="AA251" s="1467" t="s">
        <v>2332</v>
      </c>
      <c r="AB251" s="1404"/>
      <c r="AC251" s="1404"/>
      <c r="AD251" s="1404"/>
      <c r="AE251" s="1404"/>
      <c r="AF251" s="1404"/>
      <c r="AG251" s="1404"/>
      <c r="AH251" s="1404"/>
      <c r="AI251" s="1404"/>
      <c r="AJ251" s="1404"/>
      <c r="AK251" s="140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06" t="s">
        <v>124</v>
      </c>
      <c r="N253" s="1406"/>
      <c r="O253" s="1406"/>
      <c r="P253" s="1406"/>
      <c r="Q253" s="1406"/>
      <c r="R253" s="1406"/>
      <c r="S253" s="1406"/>
      <c r="T253" s="1406"/>
      <c r="U253" s="1406"/>
      <c r="V253" s="1406"/>
      <c r="W253" s="1406"/>
      <c r="X253" s="1406"/>
      <c r="Y253" s="1406"/>
      <c r="Z253" s="1406"/>
      <c r="AA253" s="1406"/>
      <c r="AB253" s="1406"/>
      <c r="AC253" s="1406"/>
      <c r="AD253" s="1406"/>
      <c r="AE253" s="1406"/>
      <c r="AF253" s="1473" t="s">
        <v>79</v>
      </c>
      <c r="AG253" s="1473"/>
      <c r="AH253" s="1473"/>
      <c r="AI253" s="1473"/>
      <c r="AJ253" s="1473"/>
      <c r="AK253" s="1473"/>
      <c r="AM253" s="5"/>
    </row>
    <row r="254" spans="1:67" ht="12.95" customHeight="1">
      <c r="A254" s="28"/>
      <c r="B254" s="5"/>
      <c r="C254" s="5"/>
      <c r="D254" s="5" t="s">
        <v>372</v>
      </c>
      <c r="E254" s="5"/>
      <c r="F254" s="5"/>
      <c r="G254" s="5"/>
      <c r="H254" s="5"/>
      <c r="I254" s="5"/>
      <c r="J254" s="5"/>
      <c r="K254" s="5"/>
      <c r="L254" s="5"/>
      <c r="M254" s="1400"/>
      <c r="N254" s="1400"/>
      <c r="O254" s="1400"/>
      <c r="P254" s="1400"/>
      <c r="Q254" s="1400"/>
      <c r="R254" s="1400"/>
      <c r="S254" s="1400"/>
      <c r="T254" s="1400"/>
      <c r="U254" s="1400"/>
      <c r="V254" s="1400"/>
      <c r="W254" s="1400"/>
      <c r="X254" s="1400"/>
      <c r="Y254" s="1400"/>
      <c r="Z254" s="1400"/>
      <c r="AA254" s="1400"/>
      <c r="AB254" s="1400"/>
      <c r="AC254" s="1400"/>
      <c r="AD254" s="1400"/>
      <c r="AE254" s="1400"/>
      <c r="AL254" s="5"/>
    </row>
    <row r="255" spans="1:67" ht="12.95" customHeight="1">
      <c r="A255" s="28"/>
      <c r="B255" s="5"/>
      <c r="C255" s="5"/>
      <c r="D255" s="5" t="s">
        <v>430</v>
      </c>
      <c r="E255" s="5"/>
      <c r="M255" s="1400"/>
      <c r="N255" s="1400"/>
      <c r="O255" s="1400"/>
      <c r="P255" s="1400"/>
      <c r="Q255" s="1400"/>
      <c r="R255" s="1400"/>
      <c r="S255" s="1400"/>
      <c r="T255" s="1400"/>
      <c r="V255" s="42" t="s">
        <v>373</v>
      </c>
      <c r="W255" s="1262"/>
      <c r="X255" s="1262"/>
      <c r="Y255" s="5" t="s">
        <v>433</v>
      </c>
      <c r="AC255" s="1400"/>
      <c r="AD255" s="1400"/>
      <c r="AE255" s="1400"/>
    </row>
    <row r="256" spans="1:67" ht="12.95" customHeight="1">
      <c r="A256" s="28"/>
      <c r="B256" s="5"/>
      <c r="C256" s="5"/>
      <c r="D256" s="5" t="s">
        <v>374</v>
      </c>
      <c r="E256" s="5"/>
      <c r="F256" s="5"/>
      <c r="G256" s="5"/>
      <c r="H256" s="5"/>
      <c r="I256" s="5"/>
      <c r="J256" s="5"/>
      <c r="K256" s="5"/>
      <c r="L256" s="28"/>
      <c r="M256" s="1400"/>
      <c r="N256" s="1400"/>
      <c r="O256" s="1400"/>
      <c r="P256" s="1400"/>
      <c r="Q256" s="1400"/>
      <c r="R256" s="1400"/>
      <c r="S256" s="1400"/>
      <c r="T256" s="1400"/>
      <c r="U256" s="1400"/>
      <c r="V256" s="1400"/>
      <c r="W256" s="1400"/>
      <c r="X256" s="1400"/>
      <c r="Y256" s="1400"/>
      <c r="Z256" s="1400"/>
      <c r="AA256" s="1400"/>
      <c r="AB256" s="1400"/>
      <c r="AC256" s="1400"/>
      <c r="AD256" s="1400"/>
      <c r="AE256" s="1400"/>
      <c r="AJ256" s="5"/>
      <c r="AK256" s="5"/>
      <c r="AL256" s="5"/>
    </row>
    <row r="257" spans="1:53" ht="12.95" customHeight="1">
      <c r="A257" s="28"/>
      <c r="B257" s="5"/>
      <c r="C257" s="5"/>
      <c r="D257" s="5" t="s">
        <v>375</v>
      </c>
      <c r="E257" s="5"/>
      <c r="F257" s="5"/>
      <c r="M257" s="1264"/>
      <c r="N257" s="1264"/>
      <c r="O257" s="1264"/>
      <c r="P257" s="1264"/>
      <c r="Q257" s="1264"/>
      <c r="R257" s="1264"/>
      <c r="S257" s="5" t="s">
        <v>818</v>
      </c>
      <c r="T257" s="5"/>
      <c r="U257" s="1262"/>
      <c r="V257" s="1262"/>
      <c r="W257" s="1262"/>
      <c r="X257" s="5" t="s">
        <v>376</v>
      </c>
      <c r="Z257" s="1264"/>
      <c r="AA257" s="1264"/>
      <c r="AB257" s="1264"/>
      <c r="AC257" s="1264"/>
      <c r="AD257" s="1264"/>
      <c r="AE257" s="1264"/>
      <c r="BA257" s="43"/>
    </row>
    <row r="258" spans="1:53" ht="12.95" customHeight="1">
      <c r="A258" s="28"/>
      <c r="B258" s="5"/>
      <c r="C258" s="5"/>
      <c r="D258" s="5" t="s">
        <v>377</v>
      </c>
      <c r="E258" s="5"/>
      <c r="F258" s="5"/>
      <c r="M258" s="1463"/>
      <c r="N258" s="1463"/>
      <c r="O258" s="1463"/>
      <c r="P258" s="1463"/>
      <c r="Q258" s="1463"/>
      <c r="R258" s="1463"/>
      <c r="S258" s="1463"/>
      <c r="T258" s="1463"/>
      <c r="U258" s="1463"/>
      <c r="V258" s="1463"/>
      <c r="W258" s="1463"/>
      <c r="X258" s="1463"/>
      <c r="Y258" s="1463"/>
      <c r="Z258" s="1463"/>
      <c r="AA258" s="1463"/>
      <c r="AB258" s="1463"/>
      <c r="AC258" s="1463"/>
      <c r="AD258" s="1463"/>
      <c r="AE258" s="1463"/>
      <c r="AG258" s="5"/>
      <c r="AH258" s="5"/>
      <c r="AI258" s="5"/>
      <c r="AJ258" s="5"/>
      <c r="AK258" s="5"/>
      <c r="AL258" s="5"/>
    </row>
    <row r="259" spans="1:53" ht="12.95" customHeight="1">
      <c r="A259" s="18"/>
      <c r="B259" s="5"/>
      <c r="C259" s="62"/>
      <c r="D259" s="5" t="s">
        <v>635</v>
      </c>
      <c r="E259" s="5"/>
      <c r="F259" s="5"/>
      <c r="G259" s="5"/>
      <c r="H259" s="5"/>
      <c r="I259" s="5"/>
      <c r="J259" s="5"/>
      <c r="K259" s="5"/>
      <c r="L259" s="5"/>
      <c r="M259" s="1261" t="s">
        <v>79</v>
      </c>
      <c r="N259" s="1261"/>
      <c r="O259" s="1261"/>
      <c r="P259" s="1261"/>
      <c r="Q259" s="1261"/>
      <c r="R259" s="1261"/>
      <c r="S259" s="1261"/>
      <c r="T259" s="1261"/>
      <c r="U259" s="5" t="s">
        <v>1144</v>
      </c>
      <c r="AA259" s="1404"/>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1874</v>
      </c>
      <c r="D261" s="5" t="s">
        <v>632</v>
      </c>
      <c r="E261" s="5"/>
      <c r="F261" s="5"/>
      <c r="G261" s="5"/>
      <c r="H261" s="5"/>
      <c r="I261" s="5"/>
      <c r="J261" s="5"/>
      <c r="K261" s="5"/>
      <c r="L261" s="5"/>
      <c r="M261" s="1406" t="s">
        <v>124</v>
      </c>
      <c r="N261" s="1473"/>
      <c r="O261" s="1473"/>
      <c r="P261" s="1473"/>
      <c r="Q261" s="1473"/>
      <c r="R261" s="1473"/>
      <c r="S261" s="1473"/>
      <c r="T261" s="1473"/>
      <c r="U261" s="1473"/>
      <c r="V261" s="1473"/>
      <c r="W261" s="1473"/>
      <c r="X261" s="1473"/>
      <c r="Y261" s="1473"/>
      <c r="Z261" s="1473"/>
      <c r="AA261" s="1473"/>
      <c r="AB261" s="1473"/>
      <c r="AC261" s="1473"/>
      <c r="AD261" s="1473"/>
      <c r="AE261" s="1473"/>
      <c r="AF261" s="1473" t="s">
        <v>79</v>
      </c>
      <c r="AG261" s="1473"/>
      <c r="AH261" s="1473"/>
      <c r="AI261" s="1473"/>
      <c r="AJ261" s="1473"/>
      <c r="AK261" s="1473"/>
      <c r="AL261" s="41"/>
    </row>
    <row r="262" spans="1:53" ht="12.95" customHeight="1">
      <c r="A262" s="18"/>
      <c r="B262" s="5"/>
      <c r="C262" s="5"/>
      <c r="D262" s="5" t="s">
        <v>372</v>
      </c>
      <c r="E262" s="5"/>
      <c r="F262" s="5"/>
      <c r="G262" s="5"/>
      <c r="H262" s="5"/>
      <c r="I262" s="5"/>
      <c r="J262" s="5"/>
      <c r="K262" s="5"/>
      <c r="L262" s="5"/>
      <c r="M262" s="1400"/>
      <c r="N262" s="1400"/>
      <c r="O262" s="1400"/>
      <c r="P262" s="1400"/>
      <c r="Q262" s="1400"/>
      <c r="R262" s="1400"/>
      <c r="S262" s="1400"/>
      <c r="T262" s="1400"/>
      <c r="U262" s="1400"/>
      <c r="V262" s="1400"/>
      <c r="W262" s="1400"/>
      <c r="X262" s="1400"/>
      <c r="Y262" s="1400"/>
      <c r="Z262" s="1400"/>
      <c r="AA262" s="1400"/>
      <c r="AB262" s="1400"/>
      <c r="AC262" s="1400"/>
      <c r="AD262" s="1400"/>
      <c r="AE262" s="1400"/>
      <c r="AL262" s="41"/>
      <c r="BA262" s="43"/>
    </row>
    <row r="263" spans="1:53" ht="12.95" customHeight="1">
      <c r="A263" s="18"/>
      <c r="B263" s="5"/>
      <c r="C263" s="5"/>
      <c r="D263" s="5" t="s">
        <v>430</v>
      </c>
      <c r="E263" s="5"/>
      <c r="M263" s="1400"/>
      <c r="N263" s="1400"/>
      <c r="O263" s="1400"/>
      <c r="P263" s="1400"/>
      <c r="Q263" s="1400"/>
      <c r="R263" s="1400"/>
      <c r="S263" s="1400"/>
      <c r="T263" s="1400"/>
      <c r="V263" s="42" t="s">
        <v>373</v>
      </c>
      <c r="W263" s="1262"/>
      <c r="X263" s="1262"/>
      <c r="Y263" s="5" t="s">
        <v>433</v>
      </c>
      <c r="AC263" s="1400"/>
      <c r="AD263" s="1400"/>
      <c r="AE263" s="1400"/>
      <c r="AL263" s="41"/>
      <c r="BA263" s="43"/>
    </row>
    <row r="264" spans="1:53" ht="12.95" customHeight="1">
      <c r="A264" s="18"/>
      <c r="B264" s="5"/>
      <c r="C264" s="5"/>
      <c r="D264" s="5" t="s">
        <v>374</v>
      </c>
      <c r="E264" s="5"/>
      <c r="F264" s="5"/>
      <c r="G264" s="5"/>
      <c r="H264" s="5"/>
      <c r="I264" s="5"/>
      <c r="J264" s="5"/>
      <c r="K264" s="5"/>
      <c r="L264" s="28"/>
      <c r="M264" s="1400"/>
      <c r="N264" s="1400"/>
      <c r="O264" s="1400"/>
      <c r="P264" s="1400"/>
      <c r="Q264" s="1400"/>
      <c r="R264" s="1400"/>
      <c r="S264" s="1400"/>
      <c r="T264" s="1400"/>
      <c r="U264" s="1400"/>
      <c r="V264" s="1400"/>
      <c r="W264" s="1400"/>
      <c r="X264" s="1400"/>
      <c r="Y264" s="1400"/>
      <c r="Z264" s="1400"/>
      <c r="AA264" s="1400"/>
      <c r="AB264" s="1400"/>
      <c r="AC264" s="1400"/>
      <c r="AD264" s="1400"/>
      <c r="AE264" s="1400"/>
      <c r="AJ264" s="5"/>
      <c r="AK264" s="5"/>
      <c r="AL264" s="41"/>
      <c r="BA264" s="43"/>
    </row>
    <row r="265" spans="1:53" ht="12.95" customHeight="1">
      <c r="A265" s="18"/>
      <c r="B265" s="5"/>
      <c r="C265" s="5"/>
      <c r="D265" s="5" t="s">
        <v>375</v>
      </c>
      <c r="E265" s="5"/>
      <c r="F265" s="5"/>
      <c r="M265" s="1264"/>
      <c r="N265" s="1264"/>
      <c r="O265" s="1264"/>
      <c r="P265" s="1264"/>
      <c r="Q265" s="1264"/>
      <c r="R265" s="1264"/>
      <c r="S265" s="5" t="s">
        <v>818</v>
      </c>
      <c r="T265" s="5"/>
      <c r="U265" s="1262"/>
      <c r="V265" s="1262"/>
      <c r="W265" s="1262"/>
      <c r="X265" s="5" t="s">
        <v>376</v>
      </c>
      <c r="Z265" s="1264"/>
      <c r="AA265" s="1264"/>
      <c r="AB265" s="1264"/>
      <c r="AC265" s="1264"/>
      <c r="AD265" s="1264"/>
      <c r="AE265" s="1264"/>
      <c r="AL265" s="41"/>
      <c r="BA265" s="43"/>
    </row>
    <row r="266" spans="1:53" ht="12.95" customHeight="1">
      <c r="A266" s="18"/>
      <c r="B266" s="5"/>
      <c r="C266" s="5"/>
      <c r="D266" s="5" t="s">
        <v>377</v>
      </c>
      <c r="E266" s="5"/>
      <c r="F266" s="5"/>
      <c r="M266" s="1463"/>
      <c r="N266" s="1463"/>
      <c r="O266" s="1463"/>
      <c r="P266" s="1463"/>
      <c r="Q266" s="1463"/>
      <c r="R266" s="1463"/>
      <c r="S266" s="1463"/>
      <c r="T266" s="1463"/>
      <c r="U266" s="1463"/>
      <c r="V266" s="1463"/>
      <c r="W266" s="1463"/>
      <c r="X266" s="1463"/>
      <c r="Y266" s="1463"/>
      <c r="Z266" s="1463"/>
      <c r="AA266" s="1463"/>
      <c r="AB266" s="1463"/>
      <c r="AC266" s="1463"/>
      <c r="AD266" s="1463"/>
      <c r="AE266" s="146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1" t="s">
        <v>79</v>
      </c>
      <c r="N267" s="1261"/>
      <c r="O267" s="1261"/>
      <c r="P267" s="1261"/>
      <c r="Q267" s="1261"/>
      <c r="R267" s="1261"/>
      <c r="S267" s="1261"/>
      <c r="T267" s="1261"/>
      <c r="U267" s="5" t="s">
        <v>1144</v>
      </c>
      <c r="AA267" s="1404"/>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480" t="str">
        <f>BO245</f>
        <v>Nonprofit</v>
      </c>
      <c r="U269" s="1480"/>
      <c r="V269" s="1480"/>
      <c r="W269" s="1480"/>
      <c r="X269" s="1480"/>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00" t="s">
        <v>892</v>
      </c>
      <c r="E272" s="1400"/>
      <c r="F272" s="1400"/>
      <c r="G272" s="1400"/>
      <c r="H272" s="1400"/>
      <c r="J272" t="s">
        <v>891</v>
      </c>
      <c r="X272" s="1466" t="s">
        <v>124</v>
      </c>
      <c r="Y272" s="1466"/>
      <c r="Z272" s="1466"/>
      <c r="AA272" s="1466"/>
      <c r="AB272" s="1466"/>
      <c r="AC272" s="146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73" t="s">
        <v>2351</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5" customHeight="1">
      <c r="C277"/>
      <c r="D277" s="5" t="s">
        <v>372</v>
      </c>
      <c r="E277" s="5"/>
      <c r="F277" s="5"/>
      <c r="G277" s="5"/>
      <c r="H277" s="5"/>
      <c r="I277" s="5"/>
      <c r="J277" s="5"/>
      <c r="K277" s="5"/>
      <c r="L277" s="1400" t="s">
        <v>2345</v>
      </c>
      <c r="M277" s="1400"/>
      <c r="N277" s="1400"/>
      <c r="O277" s="1400"/>
      <c r="P277" s="1400"/>
      <c r="Q277" s="1400"/>
      <c r="R277" s="1400"/>
      <c r="S277" s="1400"/>
      <c r="T277" s="1400"/>
      <c r="U277" s="1400"/>
      <c r="V277" s="1400"/>
      <c r="W277" s="1400"/>
      <c r="X277" s="1400"/>
      <c r="Y277" s="1400"/>
      <c r="Z277" s="1400"/>
      <c r="AA277" s="1400"/>
      <c r="AB277" s="1400"/>
      <c r="AC277" s="1400"/>
      <c r="AD277" s="1400"/>
      <c r="AK277" s="41"/>
      <c r="AL277" s="41"/>
      <c r="BA277" s="43"/>
    </row>
    <row r="278" spans="1:53" ht="12.95" customHeight="1">
      <c r="C278"/>
      <c r="D278" s="5" t="s">
        <v>430</v>
      </c>
      <c r="E278" s="5"/>
      <c r="L278" s="1400" t="s">
        <v>28</v>
      </c>
      <c r="M278" s="1400"/>
      <c r="N278" s="1400"/>
      <c r="O278" s="1400"/>
      <c r="P278" s="1400"/>
      <c r="Q278" s="1400"/>
      <c r="R278" s="1400"/>
      <c r="S278" s="1400"/>
      <c r="U278" s="42" t="s">
        <v>373</v>
      </c>
      <c r="V278" s="1465" t="s">
        <v>2346</v>
      </c>
      <c r="W278" s="1262"/>
      <c r="X278" s="5" t="s">
        <v>433</v>
      </c>
      <c r="AB278" s="1400">
        <v>94501</v>
      </c>
      <c r="AC278" s="1400"/>
      <c r="AD278" s="1400"/>
      <c r="AK278" s="41"/>
      <c r="AL278" s="41"/>
      <c r="BA278" s="43"/>
    </row>
    <row r="279" spans="1:53" ht="12.95" customHeight="1">
      <c r="C279"/>
      <c r="D279" s="5" t="s">
        <v>374</v>
      </c>
      <c r="E279" s="5"/>
      <c r="F279" s="5"/>
      <c r="G279" s="5"/>
      <c r="H279" s="5"/>
      <c r="I279" s="5"/>
      <c r="J279" s="5"/>
      <c r="K279" s="28"/>
      <c r="L279" s="1146" t="s">
        <v>2353</v>
      </c>
      <c r="M279" s="1400"/>
      <c r="N279" s="1400"/>
      <c r="O279" s="1400"/>
      <c r="P279" s="1400"/>
      <c r="Q279" s="1400"/>
      <c r="R279" s="1400"/>
      <c r="S279" s="1400"/>
      <c r="T279" s="1400"/>
      <c r="U279" s="1400"/>
      <c r="V279" s="1400"/>
      <c r="W279" s="1400"/>
      <c r="X279" s="1400"/>
      <c r="Y279" s="1400"/>
      <c r="Z279" s="1400"/>
      <c r="AA279" s="1400"/>
      <c r="AB279" s="1400"/>
      <c r="AC279" s="1400"/>
      <c r="AD279" s="1400"/>
      <c r="AI279" s="5"/>
      <c r="AJ279" s="5"/>
      <c r="AK279" s="41"/>
      <c r="AL279" s="41"/>
      <c r="BA279" s="43"/>
    </row>
    <row r="280" spans="1:53" ht="12.95" customHeight="1">
      <c r="C280"/>
      <c r="D280" s="5" t="s">
        <v>375</v>
      </c>
      <c r="E280" s="5"/>
      <c r="F280" s="5"/>
      <c r="L280" s="1283" t="s">
        <v>2354</v>
      </c>
      <c r="M280" s="1264"/>
      <c r="N280" s="1264"/>
      <c r="O280" s="1264"/>
      <c r="P280" s="1264"/>
      <c r="Q280" s="1264"/>
      <c r="R280" s="5" t="s">
        <v>818</v>
      </c>
      <c r="S280" s="5"/>
      <c r="T280" s="1262"/>
      <c r="U280" s="1262"/>
      <c r="V280" s="1262"/>
      <c r="W280" s="5" t="s">
        <v>376</v>
      </c>
      <c r="Y280" s="1264"/>
      <c r="Z280" s="1264"/>
      <c r="AA280" s="1264"/>
      <c r="AB280" s="1264"/>
      <c r="AC280" s="1264"/>
      <c r="AD280" s="1264"/>
      <c r="BA280" s="43"/>
    </row>
    <row r="281" spans="1:53" ht="12.95" customHeight="1">
      <c r="C281"/>
      <c r="D281" s="5" t="s">
        <v>377</v>
      </c>
      <c r="E281" s="5"/>
      <c r="F281" s="5"/>
      <c r="L281" s="1463" t="s">
        <v>2355</v>
      </c>
      <c r="M281" s="1463"/>
      <c r="N281" s="1463"/>
      <c r="O281" s="1463"/>
      <c r="P281" s="1463"/>
      <c r="Q281" s="1463"/>
      <c r="R281" s="1463"/>
      <c r="S281" s="1463"/>
      <c r="T281" s="1463"/>
      <c r="U281" s="1463"/>
      <c r="V281" s="1463"/>
      <c r="W281" s="1463"/>
      <c r="X281" s="1463"/>
      <c r="Y281" s="1463"/>
      <c r="Z281" s="1463"/>
      <c r="AA281" s="1463"/>
      <c r="AB281" s="1463"/>
      <c r="AC281" s="1463"/>
      <c r="AD281" s="1463"/>
      <c r="AF281" s="5"/>
      <c r="AG281" s="5"/>
      <c r="AH281" s="5"/>
      <c r="AI281" s="5"/>
      <c r="AJ281" s="5"/>
      <c r="BA281" s="43"/>
    </row>
    <row r="282" spans="1:53" ht="12.95" customHeight="1">
      <c r="C282"/>
      <c r="D282" s="41" t="s">
        <v>186</v>
      </c>
      <c r="E282" s="41"/>
      <c r="F282" s="41"/>
      <c r="G282" s="41"/>
      <c r="H282" s="41"/>
      <c r="I282" s="41"/>
      <c r="L282" s="1465" t="s">
        <v>2352</v>
      </c>
      <c r="M282" s="1465"/>
      <c r="N282" s="1465"/>
      <c r="O282" s="1465"/>
      <c r="P282" s="1465"/>
      <c r="Q282" s="1465"/>
      <c r="R282" s="1465"/>
      <c r="S282" s="1465"/>
      <c r="T282" s="1465"/>
      <c r="U282" s="1465"/>
      <c r="V282" s="1465"/>
      <c r="W282" s="1465"/>
      <c r="X282" s="1465"/>
      <c r="Y282" s="1465"/>
      <c r="Z282" s="1465"/>
      <c r="AA282" s="1465"/>
      <c r="AB282" s="1465"/>
      <c r="AC282" s="1465"/>
      <c r="AD282" s="1465"/>
      <c r="AK282" s="41"/>
      <c r="AL282" s="41"/>
      <c r="BA282" s="43"/>
    </row>
    <row r="283" spans="1:53" ht="12.95" customHeight="1">
      <c r="C283"/>
      <c r="L283" s="4" t="s">
        <v>187</v>
      </c>
      <c r="BA283" s="43"/>
    </row>
    <row r="284" spans="1:53" ht="12.95" customHeight="1">
      <c r="A284" s="1126" t="s">
        <v>496</v>
      </c>
      <c r="B284" s="1126"/>
      <c r="C284" s="1126"/>
      <c r="D284" s="1126"/>
      <c r="E284" s="1126"/>
      <c r="F284" s="1126"/>
      <c r="G284" s="1126"/>
      <c r="H284" s="1126"/>
      <c r="I284" s="1126"/>
      <c r="J284" s="1126"/>
      <c r="K284" s="1126"/>
      <c r="L284" s="1126"/>
      <c r="M284" s="1126"/>
      <c r="N284" s="1126"/>
      <c r="O284" s="1126"/>
      <c r="P284" s="1126"/>
      <c r="Q284" s="1126"/>
      <c r="R284" s="1126"/>
      <c r="S284" s="1126"/>
      <c r="T284" s="1126"/>
      <c r="U284" s="1126"/>
      <c r="V284" s="1126"/>
      <c r="W284" s="1126"/>
      <c r="X284" s="1126"/>
      <c r="Y284" s="1126"/>
      <c r="Z284" s="1126"/>
      <c r="AA284" s="1126"/>
      <c r="AB284" s="1126"/>
      <c r="AC284" s="1126"/>
      <c r="AD284" s="1126"/>
      <c r="AE284" s="1126"/>
      <c r="AF284" s="1126"/>
      <c r="AG284" s="1126"/>
      <c r="AH284" s="1126"/>
      <c r="AI284" s="1126"/>
      <c r="AJ284" s="1126"/>
      <c r="AK284" s="1126"/>
      <c r="AL284" s="1126"/>
      <c r="AM284" s="1126"/>
      <c r="AN284" s="1126"/>
      <c r="AO284" s="1126"/>
      <c r="AP284" s="1126"/>
      <c r="AQ284" s="1126"/>
      <c r="AR284" s="1126"/>
      <c r="AS284" s="1126"/>
      <c r="AT284" s="1126"/>
      <c r="BA284" s="43"/>
    </row>
    <row r="285" spans="1:53" ht="12.95" customHeight="1">
      <c r="A285" s="1126"/>
      <c r="B285" s="1126"/>
      <c r="C285" s="1126"/>
      <c r="D285" s="1126"/>
      <c r="E285" s="1126"/>
      <c r="F285" s="1126"/>
      <c r="G285" s="1126"/>
      <c r="H285" s="1126"/>
      <c r="I285" s="1126"/>
      <c r="J285" s="1126"/>
      <c r="K285" s="1126"/>
      <c r="L285" s="1126"/>
      <c r="M285" s="1126"/>
      <c r="N285" s="1126"/>
      <c r="O285" s="1126"/>
      <c r="P285" s="1126"/>
      <c r="Q285" s="1126"/>
      <c r="R285" s="1126"/>
      <c r="S285" s="1126"/>
      <c r="T285" s="1126"/>
      <c r="U285" s="1126"/>
      <c r="V285" s="1126"/>
      <c r="W285" s="1126"/>
      <c r="X285" s="1126"/>
      <c r="Y285" s="1126"/>
      <c r="Z285" s="1126"/>
      <c r="AA285" s="1126"/>
      <c r="AB285" s="1126"/>
      <c r="AC285" s="1126"/>
      <c r="AD285" s="1126"/>
      <c r="AE285" s="1126"/>
      <c r="AF285" s="1126"/>
      <c r="AG285" s="1126"/>
      <c r="AH285" s="1126"/>
      <c r="AI285" s="1126"/>
      <c r="AJ285" s="1126"/>
      <c r="AK285" s="1126"/>
      <c r="AL285" s="1126"/>
      <c r="AM285" s="1126"/>
      <c r="AN285" s="1126"/>
      <c r="AO285" s="1126"/>
      <c r="AP285" s="1126"/>
      <c r="AQ285" s="1126"/>
      <c r="AR285" s="1126"/>
      <c r="AS285" s="1126"/>
      <c r="AT285" s="1126"/>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50" t="s">
        <v>2332</v>
      </c>
      <c r="I289" s="1150"/>
      <c r="J289" s="1150"/>
      <c r="K289" s="1150"/>
      <c r="L289" s="1150"/>
      <c r="M289" s="1150"/>
      <c r="N289" s="1150"/>
      <c r="O289" s="1150"/>
      <c r="P289" s="1150"/>
      <c r="Q289" s="1150"/>
      <c r="R289" s="1150"/>
      <c r="T289" s="41" t="s">
        <v>745</v>
      </c>
      <c r="V289" s="41"/>
      <c r="W289" s="41"/>
      <c r="X289" s="41"/>
      <c r="Y289" s="41"/>
      <c r="AA289" s="1150" t="s">
        <v>2358</v>
      </c>
      <c r="AB289" s="1150"/>
      <c r="AC289" s="1150"/>
      <c r="AD289" s="1150"/>
      <c r="AE289" s="1150"/>
      <c r="AF289" s="1150"/>
      <c r="AG289" s="1150"/>
      <c r="AH289" s="1150"/>
      <c r="AI289" s="1150"/>
      <c r="AJ289" s="1150"/>
      <c r="AK289" s="1150"/>
      <c r="BA289" s="43"/>
    </row>
    <row r="290" spans="2:53" ht="12.95" customHeight="1">
      <c r="B290" s="41" t="s">
        <v>699</v>
      </c>
      <c r="C290" s="41"/>
      <c r="D290" s="41"/>
      <c r="E290" s="41"/>
      <c r="F290" s="41"/>
      <c r="H290" s="1261" t="s">
        <v>2345</v>
      </c>
      <c r="I290" s="1261"/>
      <c r="J290" s="1261"/>
      <c r="K290" s="1261"/>
      <c r="L290" s="1261"/>
      <c r="M290" s="1261"/>
      <c r="N290" s="1261"/>
      <c r="O290" s="1261"/>
      <c r="P290" s="1261"/>
      <c r="Q290" s="1261"/>
      <c r="R290" s="1261"/>
      <c r="T290" s="41" t="s">
        <v>699</v>
      </c>
      <c r="V290" s="41"/>
      <c r="W290" s="41"/>
      <c r="X290" s="41"/>
      <c r="Y290" s="41"/>
      <c r="AA290" s="1261" t="s">
        <v>2359</v>
      </c>
      <c r="AB290" s="1261"/>
      <c r="AC290" s="1261"/>
      <c r="AD290" s="1261"/>
      <c r="AE290" s="1261"/>
      <c r="AF290" s="1261"/>
      <c r="AG290" s="1261"/>
      <c r="AH290" s="1261"/>
      <c r="AI290" s="1261"/>
      <c r="AJ290" s="1261"/>
      <c r="AK290" s="1261"/>
      <c r="BA290" s="43"/>
    </row>
    <row r="291" spans="2:53" ht="12.95" customHeight="1">
      <c r="B291" s="41" t="s">
        <v>701</v>
      </c>
      <c r="C291" s="41"/>
      <c r="D291" s="41"/>
      <c r="E291" s="41"/>
      <c r="F291" s="41"/>
      <c r="H291" s="1261" t="s">
        <v>2356</v>
      </c>
      <c r="I291" s="1261"/>
      <c r="J291" s="1261"/>
      <c r="K291" s="1261"/>
      <c r="L291" s="1261"/>
      <c r="M291" s="1261"/>
      <c r="N291" s="1261"/>
      <c r="O291" s="1261"/>
      <c r="P291" s="1261"/>
      <c r="Q291" s="1261"/>
      <c r="R291" s="1261"/>
      <c r="T291" s="41" t="s">
        <v>700</v>
      </c>
      <c r="V291" s="41"/>
      <c r="W291" s="41"/>
      <c r="X291" s="41"/>
      <c r="Y291" s="41"/>
      <c r="AA291" s="1261" t="s">
        <v>2360</v>
      </c>
      <c r="AB291" s="1261"/>
      <c r="AC291" s="1261"/>
      <c r="AD291" s="1261"/>
      <c r="AE291" s="1261"/>
      <c r="AF291" s="1261"/>
      <c r="AG291" s="1261"/>
      <c r="AH291" s="1261"/>
      <c r="AI291" s="1261"/>
      <c r="AJ291" s="1261"/>
      <c r="AK291" s="1261"/>
      <c r="BA291" s="43"/>
    </row>
    <row r="292" spans="2:53" ht="12.95" customHeight="1">
      <c r="B292" s="41" t="s">
        <v>374</v>
      </c>
      <c r="C292" s="41"/>
      <c r="D292" s="41"/>
      <c r="E292" s="41"/>
      <c r="F292" s="41"/>
      <c r="H292" s="1261" t="s">
        <v>2334</v>
      </c>
      <c r="I292" s="1261"/>
      <c r="J292" s="1261"/>
      <c r="K292" s="1261"/>
      <c r="L292" s="1261"/>
      <c r="M292" s="1261"/>
      <c r="N292" s="1261"/>
      <c r="O292" s="1261"/>
      <c r="P292" s="1261"/>
      <c r="Q292" s="1261"/>
      <c r="R292" s="1261"/>
      <c r="T292" s="41" t="s">
        <v>374</v>
      </c>
      <c r="V292" s="41"/>
      <c r="W292" s="41"/>
      <c r="X292" s="41"/>
      <c r="Y292" s="41"/>
      <c r="AA292" s="1261" t="s">
        <v>2361</v>
      </c>
      <c r="AB292" s="1261"/>
      <c r="AC292" s="1261"/>
      <c r="AD292" s="1261"/>
      <c r="AE292" s="1261"/>
      <c r="AF292" s="1261"/>
      <c r="AG292" s="1261"/>
      <c r="AH292" s="1261"/>
      <c r="AI292" s="1261"/>
      <c r="AJ292" s="1261"/>
      <c r="AK292" s="1261"/>
      <c r="BA292" s="43"/>
    </row>
    <row r="293" spans="2:53" ht="12.95" customHeight="1">
      <c r="B293" s="41" t="s">
        <v>375</v>
      </c>
      <c r="C293" s="41"/>
      <c r="D293" s="41"/>
      <c r="E293" s="41"/>
      <c r="F293" s="41"/>
      <c r="G293" s="41"/>
      <c r="H293" s="1404" t="s">
        <v>2347</v>
      </c>
      <c r="I293" s="1404"/>
      <c r="J293" s="1404"/>
      <c r="K293" s="1404"/>
      <c r="L293" s="1404"/>
      <c r="M293" s="1404"/>
      <c r="N293" s="5" t="s">
        <v>818</v>
      </c>
      <c r="O293" s="5"/>
      <c r="P293" s="1400"/>
      <c r="Q293" s="1400"/>
      <c r="R293" s="1400"/>
      <c r="S293" s="41"/>
      <c r="T293" s="41" t="s">
        <v>375</v>
      </c>
      <c r="V293" s="41"/>
      <c r="W293" s="41"/>
      <c r="X293" s="41"/>
      <c r="Y293" s="41"/>
      <c r="AA293" s="1404" t="s">
        <v>2362</v>
      </c>
      <c r="AB293" s="1404"/>
      <c r="AC293" s="1404"/>
      <c r="AD293" s="1404"/>
      <c r="AE293" s="1404"/>
      <c r="AF293" s="1404"/>
      <c r="AG293" s="5" t="s">
        <v>818</v>
      </c>
      <c r="AH293" s="5"/>
      <c r="AI293" s="1400"/>
      <c r="AJ293" s="1400"/>
      <c r="AK293" s="1400"/>
      <c r="BA293" s="43"/>
    </row>
    <row r="294" spans="2:53" ht="12.95" customHeight="1">
      <c r="B294" s="41" t="s">
        <v>376</v>
      </c>
      <c r="C294" s="41"/>
      <c r="D294" s="41"/>
      <c r="E294" s="41"/>
      <c r="F294" s="41"/>
      <c r="G294" s="41"/>
      <c r="H294" s="1264" t="s">
        <v>2357</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5" customHeight="1">
      <c r="B295" s="41" t="s">
        <v>702</v>
      </c>
      <c r="C295" s="41"/>
      <c r="D295" s="41"/>
      <c r="E295" s="41"/>
      <c r="F295" s="41"/>
      <c r="G295" s="41"/>
      <c r="H295" s="1261" t="s">
        <v>2348</v>
      </c>
      <c r="I295" s="1261"/>
      <c r="J295" s="1261"/>
      <c r="K295" s="1261"/>
      <c r="L295" s="1261"/>
      <c r="M295" s="1261"/>
      <c r="N295" s="1150"/>
      <c r="O295" s="1150"/>
      <c r="P295" s="1150"/>
      <c r="Q295" s="1150"/>
      <c r="R295" s="1150"/>
      <c r="S295" s="41"/>
      <c r="T295" s="41" t="s">
        <v>702</v>
      </c>
      <c r="V295" s="41"/>
      <c r="W295" s="41"/>
      <c r="X295" s="41"/>
      <c r="Y295" s="41"/>
      <c r="AA295" s="1261" t="s">
        <v>2363</v>
      </c>
      <c r="AB295" s="1261"/>
      <c r="AC295" s="1261"/>
      <c r="AD295" s="1261"/>
      <c r="AE295" s="1261"/>
      <c r="AF295" s="1261"/>
      <c r="AG295" s="1150"/>
      <c r="AH295" s="1150"/>
      <c r="AI295" s="1150"/>
      <c r="AJ295" s="1150"/>
      <c r="AK295" s="115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50" t="s">
        <v>2364</v>
      </c>
      <c r="I297" s="1150"/>
      <c r="J297" s="1150"/>
      <c r="K297" s="1150"/>
      <c r="L297" s="1150"/>
      <c r="M297" s="1150"/>
      <c r="N297" s="1150"/>
      <c r="O297" s="1150"/>
      <c r="P297" s="1150"/>
      <c r="Q297" s="1150"/>
      <c r="R297" s="1150"/>
      <c r="T297" s="41" t="s">
        <v>35</v>
      </c>
      <c r="V297" s="41"/>
      <c r="W297" s="41"/>
      <c r="X297" s="41"/>
      <c r="Y297" s="41"/>
      <c r="AA297" s="1150" t="s">
        <v>2370</v>
      </c>
      <c r="AB297" s="1150"/>
      <c r="AC297" s="1150"/>
      <c r="AD297" s="1150"/>
      <c r="AE297" s="1150"/>
      <c r="AF297" s="1150"/>
      <c r="AG297" s="1150"/>
      <c r="AH297" s="1150"/>
      <c r="AI297" s="1150"/>
      <c r="AJ297" s="1150"/>
      <c r="AK297" s="1150"/>
      <c r="BA297" s="43"/>
    </row>
    <row r="298" spans="2:53" ht="12.95" customHeight="1">
      <c r="B298" s="41" t="s">
        <v>699</v>
      </c>
      <c r="C298" s="41"/>
      <c r="D298" s="41"/>
      <c r="E298" s="41"/>
      <c r="F298" s="41"/>
      <c r="H298" s="1261" t="s">
        <v>2365</v>
      </c>
      <c r="I298" s="1261"/>
      <c r="J298" s="1261"/>
      <c r="K298" s="1261"/>
      <c r="L298" s="1261"/>
      <c r="M298" s="1261"/>
      <c r="N298" s="1261"/>
      <c r="O298" s="1261"/>
      <c r="P298" s="1261"/>
      <c r="Q298" s="1261"/>
      <c r="R298" s="1261"/>
      <c r="T298" s="41" t="s">
        <v>699</v>
      </c>
      <c r="V298" s="41"/>
      <c r="W298" s="41"/>
      <c r="X298" s="41"/>
      <c r="Y298" s="41"/>
      <c r="AA298" s="1261" t="s">
        <v>2371</v>
      </c>
      <c r="AB298" s="1261"/>
      <c r="AC298" s="1261"/>
      <c r="AD298" s="1261"/>
      <c r="AE298" s="1261"/>
      <c r="AF298" s="1261"/>
      <c r="AG298" s="1261"/>
      <c r="AH298" s="1261"/>
      <c r="AI298" s="1261"/>
      <c r="AJ298" s="1261"/>
      <c r="AK298" s="1261"/>
      <c r="BA298" s="43"/>
    </row>
    <row r="299" spans="2:53" ht="12.95" customHeight="1">
      <c r="B299" s="41" t="s">
        <v>701</v>
      </c>
      <c r="C299" s="41"/>
      <c r="D299" s="41"/>
      <c r="E299" s="41"/>
      <c r="F299" s="41"/>
      <c r="H299" s="1261" t="s">
        <v>2366</v>
      </c>
      <c r="I299" s="1261"/>
      <c r="J299" s="1261"/>
      <c r="K299" s="1261"/>
      <c r="L299" s="1261"/>
      <c r="M299" s="1261"/>
      <c r="N299" s="1261"/>
      <c r="O299" s="1261"/>
      <c r="P299" s="1261"/>
      <c r="Q299" s="1261"/>
      <c r="R299" s="1261"/>
      <c r="T299" s="41" t="s">
        <v>700</v>
      </c>
      <c r="V299" s="41"/>
      <c r="W299" s="41"/>
      <c r="X299" s="41"/>
      <c r="Y299" s="41"/>
      <c r="AA299" s="1261" t="s">
        <v>2372</v>
      </c>
      <c r="AB299" s="1261"/>
      <c r="AC299" s="1261"/>
      <c r="AD299" s="1261"/>
      <c r="AE299" s="1261"/>
      <c r="AF299" s="1261"/>
      <c r="AG299" s="1261"/>
      <c r="AH299" s="1261"/>
      <c r="AI299" s="1261"/>
      <c r="AJ299" s="1261"/>
      <c r="AK299" s="1261"/>
      <c r="BA299" s="43"/>
    </row>
    <row r="300" spans="2:53" ht="12.95" customHeight="1">
      <c r="B300" s="41" t="s">
        <v>374</v>
      </c>
      <c r="C300" s="41"/>
      <c r="D300" s="41"/>
      <c r="E300" s="41"/>
      <c r="F300" s="41"/>
      <c r="H300" s="1261" t="s">
        <v>2367</v>
      </c>
      <c r="I300" s="1261"/>
      <c r="J300" s="1261"/>
      <c r="K300" s="1261"/>
      <c r="L300" s="1261"/>
      <c r="M300" s="1261"/>
      <c r="N300" s="1261"/>
      <c r="O300" s="1261"/>
      <c r="P300" s="1261"/>
      <c r="Q300" s="1261"/>
      <c r="R300" s="1261"/>
      <c r="T300" s="41" t="s">
        <v>374</v>
      </c>
      <c r="V300" s="41"/>
      <c r="W300" s="41"/>
      <c r="X300" s="41"/>
      <c r="Y300" s="41"/>
      <c r="AA300" s="1261" t="s">
        <v>2373</v>
      </c>
      <c r="AB300" s="1261"/>
      <c r="AC300" s="1261"/>
      <c r="AD300" s="1261"/>
      <c r="AE300" s="1261"/>
      <c r="AF300" s="1261"/>
      <c r="AG300" s="1261"/>
      <c r="AH300" s="1261"/>
      <c r="AI300" s="1261"/>
      <c r="AJ300" s="1261"/>
      <c r="AK300" s="1261"/>
      <c r="BA300" s="43"/>
    </row>
    <row r="301" spans="2:53" ht="12.95" customHeight="1">
      <c r="B301" s="41" t="s">
        <v>375</v>
      </c>
      <c r="C301" s="41"/>
      <c r="D301" s="41"/>
      <c r="E301" s="41"/>
      <c r="F301" s="41"/>
      <c r="G301" s="41"/>
      <c r="H301" s="1404" t="s">
        <v>2368</v>
      </c>
      <c r="I301" s="1404"/>
      <c r="J301" s="1404"/>
      <c r="K301" s="1404"/>
      <c r="L301" s="1404"/>
      <c r="M301" s="1404"/>
      <c r="N301" s="5" t="s">
        <v>818</v>
      </c>
      <c r="O301" s="5"/>
      <c r="P301" s="1400"/>
      <c r="Q301" s="1400"/>
      <c r="R301" s="1400"/>
      <c r="S301" s="41"/>
      <c r="T301" s="41" t="s">
        <v>375</v>
      </c>
      <c r="V301" s="41"/>
      <c r="W301" s="41"/>
      <c r="X301" s="41"/>
      <c r="Y301" s="41"/>
      <c r="AA301" s="1404" t="s">
        <v>2374</v>
      </c>
      <c r="AB301" s="1404"/>
      <c r="AC301" s="1404"/>
      <c r="AD301" s="1404"/>
      <c r="AE301" s="1404"/>
      <c r="AF301" s="1404"/>
      <c r="AG301" s="5" t="s">
        <v>818</v>
      </c>
      <c r="AH301" s="5"/>
      <c r="AI301" s="1400"/>
      <c r="AJ301" s="1400"/>
      <c r="AK301" s="1400"/>
      <c r="BA301" s="43"/>
    </row>
    <row r="302" spans="2:53" ht="12.95"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c r="AB302" s="1264"/>
      <c r="AC302" s="1264"/>
      <c r="AD302" s="1264"/>
      <c r="AE302" s="1264"/>
      <c r="AF302" s="1264"/>
      <c r="AG302" s="5"/>
      <c r="AH302" s="5"/>
      <c r="AI302" s="44"/>
      <c r="AJ302" s="44"/>
      <c r="AK302" s="44"/>
      <c r="BA302" s="43"/>
    </row>
    <row r="303" spans="2:53" ht="12.95" customHeight="1">
      <c r="B303" s="41" t="s">
        <v>702</v>
      </c>
      <c r="C303" s="41"/>
      <c r="D303" s="41"/>
      <c r="E303" s="41"/>
      <c r="F303" s="41"/>
      <c r="G303" s="41"/>
      <c r="H303" s="1261" t="s">
        <v>2369</v>
      </c>
      <c r="I303" s="1261"/>
      <c r="J303" s="1261"/>
      <c r="K303" s="1261"/>
      <c r="L303" s="1261"/>
      <c r="M303" s="1261"/>
      <c r="N303" s="1150"/>
      <c r="O303" s="1150"/>
      <c r="P303" s="1150"/>
      <c r="Q303" s="1150"/>
      <c r="R303" s="1150"/>
      <c r="S303" s="41"/>
      <c r="T303" s="41" t="s">
        <v>702</v>
      </c>
      <c r="V303" s="41"/>
      <c r="W303" s="41"/>
      <c r="X303" s="41"/>
      <c r="Y303" s="41"/>
      <c r="AA303" s="1261" t="s">
        <v>2375</v>
      </c>
      <c r="AB303" s="1261"/>
      <c r="AC303" s="1261"/>
      <c r="AD303" s="1261"/>
      <c r="AE303" s="1261"/>
      <c r="AF303" s="1261"/>
      <c r="AG303" s="1150"/>
      <c r="AH303" s="1150"/>
      <c r="AI303" s="1150"/>
      <c r="AJ303" s="1150"/>
      <c r="AK303" s="1150"/>
      <c r="BA303" s="43"/>
    </row>
    <row r="304" spans="2:53" ht="12.95" customHeight="1">
      <c r="C304"/>
      <c r="BA304" s="43"/>
    </row>
    <row r="305" spans="2:53" ht="12.95" customHeight="1">
      <c r="B305" s="41" t="s">
        <v>703</v>
      </c>
      <c r="C305" s="41"/>
      <c r="D305" s="41"/>
      <c r="E305" s="41"/>
      <c r="F305" s="41"/>
      <c r="H305" s="1150" t="s">
        <v>2364</v>
      </c>
      <c r="I305" s="1150"/>
      <c r="J305" s="1150"/>
      <c r="K305" s="1150"/>
      <c r="L305" s="1150"/>
      <c r="M305" s="1150"/>
      <c r="N305" s="1150"/>
      <c r="O305" s="1150"/>
      <c r="P305" s="1150"/>
      <c r="Q305" s="1150"/>
      <c r="R305" s="1150"/>
      <c r="T305" s="5" t="s">
        <v>1105</v>
      </c>
      <c r="V305" s="41"/>
      <c r="W305" s="41"/>
      <c r="X305" s="41"/>
      <c r="Y305" s="41"/>
      <c r="AA305" s="1150" t="s">
        <v>2376</v>
      </c>
      <c r="AB305" s="1150"/>
      <c r="AC305" s="1150"/>
      <c r="AD305" s="1150"/>
      <c r="AE305" s="1150"/>
      <c r="AF305" s="1150"/>
      <c r="AG305" s="1150"/>
      <c r="AH305" s="1150"/>
      <c r="AI305" s="1150"/>
      <c r="AJ305" s="1150"/>
      <c r="AK305" s="1150"/>
      <c r="BA305" s="43"/>
    </row>
    <row r="306" spans="2:53" ht="12.95" customHeight="1">
      <c r="B306" s="41" t="s">
        <v>699</v>
      </c>
      <c r="C306" s="41"/>
      <c r="D306" s="41"/>
      <c r="E306" s="41"/>
      <c r="F306" s="41"/>
      <c r="H306" s="1261" t="s">
        <v>2365</v>
      </c>
      <c r="I306" s="1261"/>
      <c r="J306" s="1261"/>
      <c r="K306" s="1261"/>
      <c r="L306" s="1261"/>
      <c r="M306" s="1261"/>
      <c r="N306" s="1261"/>
      <c r="O306" s="1261"/>
      <c r="P306" s="1261"/>
      <c r="Q306" s="1261"/>
      <c r="R306" s="1261"/>
      <c r="T306" s="41" t="s">
        <v>699</v>
      </c>
      <c r="V306" s="41"/>
      <c r="W306" s="41"/>
      <c r="X306" s="41"/>
      <c r="Y306" s="41"/>
      <c r="AA306" s="1261" t="s">
        <v>2377</v>
      </c>
      <c r="AB306" s="1261"/>
      <c r="AC306" s="1261"/>
      <c r="AD306" s="1261"/>
      <c r="AE306" s="1261"/>
      <c r="AF306" s="1261"/>
      <c r="AG306" s="1261"/>
      <c r="AH306" s="1261"/>
      <c r="AI306" s="1261"/>
      <c r="AJ306" s="1261"/>
      <c r="AK306" s="1261"/>
      <c r="BA306" s="43"/>
    </row>
    <row r="307" spans="2:53" ht="12.95" customHeight="1">
      <c r="B307" s="41" t="s">
        <v>701</v>
      </c>
      <c r="C307" s="41"/>
      <c r="D307" s="41"/>
      <c r="E307" s="41"/>
      <c r="F307" s="41"/>
      <c r="H307" s="1261" t="s">
        <v>2366</v>
      </c>
      <c r="I307" s="1261"/>
      <c r="J307" s="1261"/>
      <c r="K307" s="1261"/>
      <c r="L307" s="1261"/>
      <c r="M307" s="1261"/>
      <c r="N307" s="1261"/>
      <c r="O307" s="1261"/>
      <c r="P307" s="1261"/>
      <c r="Q307" s="1261"/>
      <c r="R307" s="1261"/>
      <c r="T307" s="41" t="s">
        <v>700</v>
      </c>
      <c r="V307" s="41"/>
      <c r="W307" s="41"/>
      <c r="X307" s="41"/>
      <c r="Y307" s="41"/>
      <c r="AA307" s="1261" t="s">
        <v>2378</v>
      </c>
      <c r="AB307" s="1261"/>
      <c r="AC307" s="1261"/>
      <c r="AD307" s="1261"/>
      <c r="AE307" s="1261"/>
      <c r="AF307" s="1261"/>
      <c r="AG307" s="1261"/>
      <c r="AH307" s="1261"/>
      <c r="AI307" s="1261"/>
      <c r="AJ307" s="1261"/>
      <c r="AK307" s="1261"/>
      <c r="BA307" s="43"/>
    </row>
    <row r="308" spans="2:53" ht="12.95" customHeight="1">
      <c r="B308" s="41" t="s">
        <v>374</v>
      </c>
      <c r="C308" s="41"/>
      <c r="D308" s="41"/>
      <c r="E308" s="41"/>
      <c r="F308" s="41"/>
      <c r="H308" s="1261" t="s">
        <v>2367</v>
      </c>
      <c r="I308" s="1261"/>
      <c r="J308" s="1261"/>
      <c r="K308" s="1261"/>
      <c r="L308" s="1261"/>
      <c r="M308" s="1261"/>
      <c r="N308" s="1261"/>
      <c r="O308" s="1261"/>
      <c r="P308" s="1261"/>
      <c r="Q308" s="1261"/>
      <c r="R308" s="1261"/>
      <c r="T308" s="41" t="s">
        <v>374</v>
      </c>
      <c r="V308" s="41"/>
      <c r="W308" s="41"/>
      <c r="X308" s="41"/>
      <c r="Y308" s="41"/>
      <c r="AA308" s="1261" t="s">
        <v>2379</v>
      </c>
      <c r="AB308" s="1261"/>
      <c r="AC308" s="1261"/>
      <c r="AD308" s="1261"/>
      <c r="AE308" s="1261"/>
      <c r="AF308" s="1261"/>
      <c r="AG308" s="1261"/>
      <c r="AH308" s="1261"/>
      <c r="AI308" s="1261"/>
      <c r="AJ308" s="1261"/>
      <c r="AK308" s="1261"/>
      <c r="BA308" s="43"/>
    </row>
    <row r="309" spans="2:53" ht="12.95" customHeight="1">
      <c r="B309" s="41" t="s">
        <v>375</v>
      </c>
      <c r="C309" s="41"/>
      <c r="D309" s="41"/>
      <c r="E309" s="41"/>
      <c r="F309" s="41"/>
      <c r="G309" s="41"/>
      <c r="H309" s="1404" t="s">
        <v>2368</v>
      </c>
      <c r="I309" s="1404"/>
      <c r="J309" s="1404"/>
      <c r="K309" s="1404"/>
      <c r="L309" s="1404"/>
      <c r="M309" s="1404"/>
      <c r="N309" s="5" t="s">
        <v>818</v>
      </c>
      <c r="O309" s="5"/>
      <c r="P309" s="1400"/>
      <c r="Q309" s="1400"/>
      <c r="R309" s="1400"/>
      <c r="S309" s="41"/>
      <c r="T309" s="41" t="s">
        <v>375</v>
      </c>
      <c r="V309" s="41"/>
      <c r="W309" s="41"/>
      <c r="X309" s="41"/>
      <c r="Y309" s="41"/>
      <c r="AA309" s="1404" t="s">
        <v>2380</v>
      </c>
      <c r="AB309" s="1404"/>
      <c r="AC309" s="1404"/>
      <c r="AD309" s="1404"/>
      <c r="AE309" s="1404"/>
      <c r="AF309" s="1404"/>
      <c r="AG309" s="5" t="s">
        <v>818</v>
      </c>
      <c r="AH309" s="5"/>
      <c r="AI309" s="1400"/>
      <c r="AJ309" s="1400"/>
      <c r="AK309" s="1400"/>
      <c r="BA309" s="43"/>
    </row>
    <row r="310" spans="2:53" ht="12.95"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5" customHeight="1">
      <c r="B311" s="41" t="s">
        <v>702</v>
      </c>
      <c r="C311" s="41"/>
      <c r="D311" s="41"/>
      <c r="E311" s="41"/>
      <c r="F311" s="41"/>
      <c r="G311" s="41"/>
      <c r="H311" s="1261" t="s">
        <v>2369</v>
      </c>
      <c r="I311" s="1261"/>
      <c r="J311" s="1261"/>
      <c r="K311" s="1261"/>
      <c r="L311" s="1261"/>
      <c r="M311" s="1261"/>
      <c r="N311" s="1150"/>
      <c r="O311" s="1150"/>
      <c r="P311" s="1150"/>
      <c r="Q311" s="1150"/>
      <c r="R311" s="1150"/>
      <c r="S311" s="41"/>
      <c r="T311" s="41" t="s">
        <v>702</v>
      </c>
      <c r="V311" s="41"/>
      <c r="W311" s="41"/>
      <c r="X311" s="41"/>
      <c r="Y311" s="41"/>
      <c r="AA311" s="1261" t="s">
        <v>2381</v>
      </c>
      <c r="AB311" s="1261"/>
      <c r="AC311" s="1261"/>
      <c r="AD311" s="1261"/>
      <c r="AE311" s="1261"/>
      <c r="AF311" s="1261"/>
      <c r="AG311" s="1150"/>
      <c r="AH311" s="1150"/>
      <c r="AI311" s="1150"/>
      <c r="AJ311" s="1150"/>
      <c r="AK311" s="1150"/>
      <c r="BA311" s="43"/>
    </row>
    <row r="312" spans="2:53" ht="12.95" customHeight="1">
      <c r="C312"/>
      <c r="BA312" s="43"/>
    </row>
    <row r="313" spans="2:53" ht="12.95" customHeight="1">
      <c r="B313" s="5" t="s">
        <v>1146</v>
      </c>
      <c r="C313" s="41"/>
      <c r="D313" s="41"/>
      <c r="E313" s="41"/>
      <c r="F313" s="41"/>
      <c r="H313" s="1150" t="s">
        <v>2382</v>
      </c>
      <c r="I313" s="1150"/>
      <c r="J313" s="1150"/>
      <c r="K313" s="1150"/>
      <c r="L313" s="1150"/>
      <c r="M313" s="1150"/>
      <c r="N313" s="1150"/>
      <c r="O313" s="1150"/>
      <c r="P313" s="1150"/>
      <c r="Q313" s="1150"/>
      <c r="R313" s="1150"/>
      <c r="T313" s="41" t="s">
        <v>36</v>
      </c>
      <c r="V313" s="41"/>
      <c r="W313" s="41"/>
      <c r="X313" s="41"/>
      <c r="Y313" s="41"/>
      <c r="AA313" s="1150" t="s">
        <v>2388</v>
      </c>
      <c r="AB313" s="1150"/>
      <c r="AC313" s="1150"/>
      <c r="AD313" s="1150"/>
      <c r="AE313" s="1150"/>
      <c r="AF313" s="1150"/>
      <c r="AG313" s="1150"/>
      <c r="AH313" s="1150"/>
      <c r="AI313" s="1150"/>
      <c r="AJ313" s="1150"/>
      <c r="AK313" s="1150"/>
      <c r="BA313" s="43"/>
    </row>
    <row r="314" spans="2:53" ht="12.95" customHeight="1">
      <c r="B314" s="41" t="s">
        <v>699</v>
      </c>
      <c r="C314" s="41"/>
      <c r="D314" s="41"/>
      <c r="E314" s="41"/>
      <c r="F314" s="41"/>
      <c r="H314" s="1261" t="s">
        <v>2383</v>
      </c>
      <c r="I314" s="1261"/>
      <c r="J314" s="1261"/>
      <c r="K314" s="1261"/>
      <c r="L314" s="1261"/>
      <c r="M314" s="1261"/>
      <c r="N314" s="1261"/>
      <c r="O314" s="1261"/>
      <c r="P314" s="1261"/>
      <c r="Q314" s="1261"/>
      <c r="R314" s="1261"/>
      <c r="T314" s="41" t="s">
        <v>699</v>
      </c>
      <c r="V314" s="41"/>
      <c r="W314" s="41"/>
      <c r="X314" s="41"/>
      <c r="Y314" s="41"/>
      <c r="AA314" s="1261"/>
      <c r="AB314" s="1261"/>
      <c r="AC314" s="1261"/>
      <c r="AD314" s="1261"/>
      <c r="AE314" s="1261"/>
      <c r="AF314" s="1261"/>
      <c r="AG314" s="1261"/>
      <c r="AH314" s="1261"/>
      <c r="AI314" s="1261"/>
      <c r="AJ314" s="1261"/>
      <c r="AK314" s="1261"/>
      <c r="BA314" s="43"/>
    </row>
    <row r="315" spans="2:53" ht="12.95" customHeight="1">
      <c r="B315" s="41" t="s">
        <v>701</v>
      </c>
      <c r="C315" s="41"/>
      <c r="D315" s="41"/>
      <c r="E315" s="41"/>
      <c r="F315" s="41"/>
      <c r="H315" s="1261" t="s">
        <v>2384</v>
      </c>
      <c r="I315" s="1261"/>
      <c r="J315" s="1261"/>
      <c r="K315" s="1261"/>
      <c r="L315" s="1261"/>
      <c r="M315" s="1261"/>
      <c r="N315" s="1261"/>
      <c r="O315" s="1261"/>
      <c r="P315" s="1261"/>
      <c r="Q315" s="1261"/>
      <c r="R315" s="1261"/>
      <c r="T315" s="41" t="s">
        <v>700</v>
      </c>
      <c r="V315" s="41"/>
      <c r="W315" s="41"/>
      <c r="X315" s="41"/>
      <c r="Y315" s="41"/>
      <c r="AA315" s="1261"/>
      <c r="AB315" s="1261"/>
      <c r="AC315" s="1261"/>
      <c r="AD315" s="1261"/>
      <c r="AE315" s="1261"/>
      <c r="AF315" s="1261"/>
      <c r="AG315" s="1261"/>
      <c r="AH315" s="1261"/>
      <c r="AI315" s="1261"/>
      <c r="AJ315" s="1261"/>
      <c r="AK315" s="1261"/>
      <c r="BA315" s="43"/>
    </row>
    <row r="316" spans="2:53" ht="12.95" customHeight="1">
      <c r="B316" s="41" t="s">
        <v>374</v>
      </c>
      <c r="C316" s="41"/>
      <c r="D316" s="41"/>
      <c r="E316" s="41"/>
      <c r="F316" s="41"/>
      <c r="H316" s="1261" t="s">
        <v>2385</v>
      </c>
      <c r="I316" s="1261"/>
      <c r="J316" s="1261"/>
      <c r="K316" s="1261"/>
      <c r="L316" s="1261"/>
      <c r="M316" s="1261"/>
      <c r="N316" s="1261"/>
      <c r="O316" s="1261"/>
      <c r="P316" s="1261"/>
      <c r="Q316" s="1261"/>
      <c r="R316" s="1261"/>
      <c r="T316" s="41" t="s">
        <v>374</v>
      </c>
      <c r="V316" s="41"/>
      <c r="W316" s="41"/>
      <c r="X316" s="41"/>
      <c r="Y316" s="41"/>
      <c r="AA316" s="1261"/>
      <c r="AB316" s="1261"/>
      <c r="AC316" s="1261"/>
      <c r="AD316" s="1261"/>
      <c r="AE316" s="1261"/>
      <c r="AF316" s="1261"/>
      <c r="AG316" s="1261"/>
      <c r="AH316" s="1261"/>
      <c r="AI316" s="1261"/>
      <c r="AJ316" s="1261"/>
      <c r="AK316" s="1261"/>
      <c r="BA316" s="43"/>
    </row>
    <row r="317" spans="2:53" ht="12.95" customHeight="1">
      <c r="B317" s="41" t="s">
        <v>375</v>
      </c>
      <c r="C317" s="41"/>
      <c r="D317" s="41"/>
      <c r="E317" s="41"/>
      <c r="F317" s="41"/>
      <c r="G317" s="41"/>
      <c r="H317" s="1404" t="s">
        <v>2386</v>
      </c>
      <c r="I317" s="1404"/>
      <c r="J317" s="1404"/>
      <c r="K317" s="1404"/>
      <c r="L317" s="1404"/>
      <c r="M317" s="1404"/>
      <c r="N317" s="5" t="s">
        <v>818</v>
      </c>
      <c r="O317" s="5"/>
      <c r="P317" s="1400"/>
      <c r="Q317" s="1400"/>
      <c r="R317" s="1400"/>
      <c r="S317" s="41"/>
      <c r="T317" s="41" t="s">
        <v>375</v>
      </c>
      <c r="V317" s="41"/>
      <c r="W317" s="41"/>
      <c r="X317" s="41"/>
      <c r="Y317" s="41"/>
      <c r="AA317" s="1404"/>
      <c r="AB317" s="1404"/>
      <c r="AC317" s="1404"/>
      <c r="AD317" s="1404"/>
      <c r="AE317" s="1404"/>
      <c r="AF317" s="1404"/>
      <c r="AG317" s="5" t="s">
        <v>818</v>
      </c>
      <c r="AH317" s="5"/>
      <c r="AI317" s="1400"/>
      <c r="AJ317" s="1400"/>
      <c r="AK317" s="1400"/>
      <c r="BA317" s="43"/>
    </row>
    <row r="318" spans="2:53" ht="12.95"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5" customHeight="1">
      <c r="B319" s="41" t="s">
        <v>702</v>
      </c>
      <c r="C319" s="41"/>
      <c r="D319" s="41"/>
      <c r="E319" s="41"/>
      <c r="F319" s="41"/>
      <c r="G319" s="41"/>
      <c r="H319" s="1261" t="s">
        <v>2387</v>
      </c>
      <c r="I319" s="1261"/>
      <c r="J319" s="1261"/>
      <c r="K319" s="1261"/>
      <c r="L319" s="1261"/>
      <c r="M319" s="1261"/>
      <c r="N319" s="1150"/>
      <c r="O319" s="1150"/>
      <c r="P319" s="1150"/>
      <c r="Q319" s="1150"/>
      <c r="R319" s="1150"/>
      <c r="S319" s="41"/>
      <c r="T319" s="41" t="s">
        <v>702</v>
      </c>
      <c r="V319" s="41"/>
      <c r="W319" s="41"/>
      <c r="X319" s="41"/>
      <c r="Y319" s="41"/>
      <c r="AA319" s="1261"/>
      <c r="AB319" s="1261"/>
      <c r="AC319" s="1261"/>
      <c r="AD319" s="1261"/>
      <c r="AE319" s="1261"/>
      <c r="AF319" s="1261"/>
      <c r="AG319" s="1150"/>
      <c r="AH319" s="1150"/>
      <c r="AI319" s="1150"/>
      <c r="AJ319" s="1150"/>
      <c r="AK319" s="1150"/>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50" t="s">
        <v>2389</v>
      </c>
      <c r="I321" s="1150"/>
      <c r="J321" s="1150"/>
      <c r="K321" s="1150"/>
      <c r="L321" s="1150"/>
      <c r="M321" s="1150"/>
      <c r="N321" s="1150"/>
      <c r="O321" s="1150"/>
      <c r="P321" s="1150"/>
      <c r="Q321" s="1150"/>
      <c r="R321" s="1150"/>
      <c r="T321" s="41" t="s">
        <v>37</v>
      </c>
      <c r="V321" s="41"/>
      <c r="W321" s="41"/>
      <c r="X321" s="41"/>
      <c r="Y321" s="41"/>
      <c r="AA321" s="1150" t="s">
        <v>2395</v>
      </c>
      <c r="AB321" s="1150"/>
      <c r="AC321" s="1150"/>
      <c r="AD321" s="1150"/>
      <c r="AE321" s="1150"/>
      <c r="AF321" s="1150"/>
      <c r="AG321" s="1150"/>
      <c r="AH321" s="1150"/>
      <c r="AI321" s="1150"/>
      <c r="AJ321" s="1150"/>
      <c r="AK321" s="1150"/>
      <c r="BA321" s="43"/>
    </row>
    <row r="322" spans="2:53" ht="12.95" customHeight="1">
      <c r="B322" s="41" t="s">
        <v>699</v>
      </c>
      <c r="C322" s="41"/>
      <c r="D322" s="41"/>
      <c r="E322" s="41"/>
      <c r="F322" s="41"/>
      <c r="H322" s="1261" t="s">
        <v>2390</v>
      </c>
      <c r="I322" s="1261"/>
      <c r="J322" s="1261"/>
      <c r="K322" s="1261"/>
      <c r="L322" s="1261"/>
      <c r="M322" s="1261"/>
      <c r="N322" s="1261"/>
      <c r="O322" s="1261"/>
      <c r="P322" s="1261"/>
      <c r="Q322" s="1261"/>
      <c r="R322" s="1261"/>
      <c r="T322" s="41" t="s">
        <v>699</v>
      </c>
      <c r="V322" s="41"/>
      <c r="W322" s="41"/>
      <c r="X322" s="41"/>
      <c r="Y322" s="41"/>
      <c r="AA322" s="1261" t="s">
        <v>2396</v>
      </c>
      <c r="AB322" s="1261"/>
      <c r="AC322" s="1261"/>
      <c r="AD322" s="1261"/>
      <c r="AE322" s="1261"/>
      <c r="AF322" s="1261"/>
      <c r="AG322" s="1261"/>
      <c r="AH322" s="1261"/>
      <c r="AI322" s="1261"/>
      <c r="AJ322" s="1261"/>
      <c r="AK322" s="1261"/>
      <c r="BA322" s="43"/>
    </row>
    <row r="323" spans="2:53" ht="12.95" customHeight="1">
      <c r="B323" s="41" t="s">
        <v>701</v>
      </c>
      <c r="C323" s="41"/>
      <c r="D323" s="41"/>
      <c r="E323" s="41"/>
      <c r="F323" s="41"/>
      <c r="H323" s="1261" t="s">
        <v>2360</v>
      </c>
      <c r="I323" s="1261"/>
      <c r="J323" s="1261"/>
      <c r="K323" s="1261"/>
      <c r="L323" s="1261"/>
      <c r="M323" s="1261"/>
      <c r="N323" s="1261"/>
      <c r="O323" s="1261"/>
      <c r="P323" s="1261"/>
      <c r="Q323" s="1261"/>
      <c r="R323" s="1261"/>
      <c r="T323" s="41" t="s">
        <v>700</v>
      </c>
      <c r="V323" s="41"/>
      <c r="W323" s="41"/>
      <c r="X323" s="41"/>
      <c r="Y323" s="41"/>
      <c r="AA323" s="1261" t="s">
        <v>2397</v>
      </c>
      <c r="AB323" s="1261"/>
      <c r="AC323" s="1261"/>
      <c r="AD323" s="1261"/>
      <c r="AE323" s="1261"/>
      <c r="AF323" s="1261"/>
      <c r="AG323" s="1261"/>
      <c r="AH323" s="1261"/>
      <c r="AI323" s="1261"/>
      <c r="AJ323" s="1261"/>
      <c r="AK323" s="1261"/>
      <c r="BA323" s="43"/>
    </row>
    <row r="324" spans="2:53" ht="12.95" customHeight="1">
      <c r="B324" s="41" t="s">
        <v>374</v>
      </c>
      <c r="C324" s="41"/>
      <c r="D324" s="41"/>
      <c r="E324" s="41"/>
      <c r="F324" s="41"/>
      <c r="H324" s="1261" t="s">
        <v>2391</v>
      </c>
      <c r="I324" s="1261"/>
      <c r="J324" s="1261"/>
      <c r="K324" s="1261"/>
      <c r="L324" s="1261"/>
      <c r="M324" s="1261"/>
      <c r="N324" s="1261"/>
      <c r="O324" s="1261"/>
      <c r="P324" s="1261"/>
      <c r="Q324" s="1261"/>
      <c r="R324" s="1261"/>
      <c r="T324" s="41" t="s">
        <v>374</v>
      </c>
      <c r="V324" s="41"/>
      <c r="W324" s="41"/>
      <c r="X324" s="41"/>
      <c r="Y324" s="41"/>
      <c r="AA324" s="1261" t="s">
        <v>2398</v>
      </c>
      <c r="AB324" s="1261"/>
      <c r="AC324" s="1261"/>
      <c r="AD324" s="1261"/>
      <c r="AE324" s="1261"/>
      <c r="AF324" s="1261"/>
      <c r="AG324" s="1261"/>
      <c r="AH324" s="1261"/>
      <c r="AI324" s="1261"/>
      <c r="AJ324" s="1261"/>
      <c r="AK324" s="1261"/>
      <c r="BA324" s="43"/>
    </row>
    <row r="325" spans="2:53" ht="12.95" customHeight="1">
      <c r="B325" s="41" t="s">
        <v>375</v>
      </c>
      <c r="C325" s="41"/>
      <c r="D325" s="41"/>
      <c r="E325" s="41"/>
      <c r="F325" s="41"/>
      <c r="G325" s="41"/>
      <c r="H325" s="1404" t="s">
        <v>2392</v>
      </c>
      <c r="I325" s="1404"/>
      <c r="J325" s="1404"/>
      <c r="K325" s="1404"/>
      <c r="L325" s="1404"/>
      <c r="M325" s="1404"/>
      <c r="N325" s="5" t="s">
        <v>818</v>
      </c>
      <c r="O325" s="5"/>
      <c r="P325" s="1400">
        <v>2</v>
      </c>
      <c r="Q325" s="1400"/>
      <c r="R325" s="1400"/>
      <c r="S325" s="41"/>
      <c r="T325" s="41" t="s">
        <v>375</v>
      </c>
      <c r="V325" s="41"/>
      <c r="W325" s="41"/>
      <c r="X325" s="41"/>
      <c r="Y325" s="41"/>
      <c r="AA325" s="1404" t="s">
        <v>2399</v>
      </c>
      <c r="AB325" s="1404"/>
      <c r="AC325" s="1404"/>
      <c r="AD325" s="1404"/>
      <c r="AE325" s="1404"/>
      <c r="AF325" s="1404"/>
      <c r="AG325" s="5" t="s">
        <v>818</v>
      </c>
      <c r="AH325" s="5"/>
      <c r="AI325" s="1400"/>
      <c r="AJ325" s="1400"/>
      <c r="AK325" s="1400"/>
      <c r="BA325" s="43"/>
    </row>
    <row r="326" spans="2:53" ht="12.95" customHeight="1">
      <c r="B326" s="41" t="s">
        <v>376</v>
      </c>
      <c r="C326" s="41"/>
      <c r="D326" s="41"/>
      <c r="E326" s="41"/>
      <c r="F326" s="41"/>
      <c r="G326" s="41"/>
      <c r="H326" s="1264" t="s">
        <v>2393</v>
      </c>
      <c r="I326" s="1264"/>
      <c r="J326" s="1264"/>
      <c r="K326" s="1264"/>
      <c r="L326" s="1264"/>
      <c r="M326" s="1264"/>
      <c r="N326" s="5"/>
      <c r="O326" s="5"/>
      <c r="P326" s="44"/>
      <c r="Q326" s="44"/>
      <c r="R326" s="44"/>
      <c r="S326" s="41"/>
      <c r="T326" s="41" t="s">
        <v>376</v>
      </c>
      <c r="V326" s="41"/>
      <c r="W326" s="41"/>
      <c r="X326" s="41"/>
      <c r="Y326" s="41"/>
      <c r="AA326" s="1264"/>
      <c r="AB326" s="1264"/>
      <c r="AC326" s="1264"/>
      <c r="AD326" s="1264"/>
      <c r="AE326" s="1264"/>
      <c r="AF326" s="1264"/>
      <c r="AG326" s="5"/>
      <c r="AH326" s="5"/>
      <c r="AI326" s="44"/>
      <c r="AJ326" s="44"/>
      <c r="AK326" s="44"/>
      <c r="BA326" s="43"/>
    </row>
    <row r="327" spans="2:53" ht="12.95" customHeight="1">
      <c r="B327" s="41" t="s">
        <v>702</v>
      </c>
      <c r="C327" s="41"/>
      <c r="D327" s="41"/>
      <c r="E327" s="41"/>
      <c r="F327" s="41"/>
      <c r="G327" s="41"/>
      <c r="H327" s="1261" t="s">
        <v>2394</v>
      </c>
      <c r="I327" s="1261"/>
      <c r="J327" s="1261"/>
      <c r="K327" s="1261"/>
      <c r="L327" s="1261"/>
      <c r="M327" s="1261"/>
      <c r="N327" s="1150"/>
      <c r="O327" s="1150"/>
      <c r="P327" s="1150"/>
      <c r="Q327" s="1150"/>
      <c r="R327" s="1150"/>
      <c r="S327" s="41"/>
      <c r="T327" s="41" t="s">
        <v>702</v>
      </c>
      <c r="V327" s="41"/>
      <c r="W327" s="41"/>
      <c r="X327" s="41"/>
      <c r="Y327" s="41"/>
      <c r="AA327" s="1261" t="s">
        <v>2400</v>
      </c>
      <c r="AB327" s="1261"/>
      <c r="AC327" s="1261"/>
      <c r="AD327" s="1261"/>
      <c r="AE327" s="1261"/>
      <c r="AF327" s="1261"/>
      <c r="AG327" s="1150"/>
      <c r="AH327" s="1150"/>
      <c r="AI327" s="1150"/>
      <c r="AJ327" s="1150"/>
      <c r="AK327" s="1150"/>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50" t="s">
        <v>2395</v>
      </c>
      <c r="I329" s="1150"/>
      <c r="J329" s="1150"/>
      <c r="K329" s="1150"/>
      <c r="L329" s="1150"/>
      <c r="M329" s="1150"/>
      <c r="N329" s="1150"/>
      <c r="O329" s="1150"/>
      <c r="P329" s="1150"/>
      <c r="Q329" s="1150"/>
      <c r="R329" s="1150"/>
      <c r="T329" s="5" t="s">
        <v>1106</v>
      </c>
      <c r="V329" s="41"/>
      <c r="W329" s="41"/>
      <c r="X329" s="41"/>
      <c r="Y329" s="41"/>
      <c r="AA329" s="1150" t="s">
        <v>2401</v>
      </c>
      <c r="AB329" s="1150"/>
      <c r="AC329" s="1150"/>
      <c r="AD329" s="1150"/>
      <c r="AE329" s="1150"/>
      <c r="AF329" s="1150"/>
      <c r="AG329" s="1150"/>
      <c r="AH329" s="1150"/>
      <c r="AI329" s="1150"/>
      <c r="AJ329" s="1150"/>
      <c r="AK329" s="1150"/>
      <c r="BA329" s="43"/>
    </row>
    <row r="330" spans="2:53" ht="12.95" customHeight="1">
      <c r="B330" s="41" t="s">
        <v>699</v>
      </c>
      <c r="C330" s="41"/>
      <c r="D330" s="41"/>
      <c r="E330" s="41"/>
      <c r="F330" s="41"/>
      <c r="H330" s="1261" t="s">
        <v>2396</v>
      </c>
      <c r="I330" s="1261"/>
      <c r="J330" s="1261"/>
      <c r="K330" s="1261"/>
      <c r="L330" s="1261"/>
      <c r="M330" s="1261"/>
      <c r="N330" s="1261"/>
      <c r="O330" s="1261"/>
      <c r="P330" s="1261"/>
      <c r="Q330" s="1261"/>
      <c r="R330" s="1261"/>
      <c r="T330" s="41" t="s">
        <v>699</v>
      </c>
      <c r="V330" s="41"/>
      <c r="W330" s="41"/>
      <c r="X330" s="41"/>
      <c r="Y330" s="41"/>
      <c r="AA330" s="1261" t="s">
        <v>2402</v>
      </c>
      <c r="AB330" s="1261"/>
      <c r="AC330" s="1261"/>
      <c r="AD330" s="1261"/>
      <c r="AE330" s="1261"/>
      <c r="AF330" s="1261"/>
      <c r="AG330" s="1261"/>
      <c r="AH330" s="1261"/>
      <c r="AI330" s="1261"/>
      <c r="AJ330" s="1261"/>
      <c r="AK330" s="1261"/>
      <c r="BA330" s="43"/>
    </row>
    <row r="331" spans="2:53" ht="12.95" customHeight="1">
      <c r="B331" s="41" t="s">
        <v>701</v>
      </c>
      <c r="C331" s="41"/>
      <c r="D331" s="41"/>
      <c r="E331" s="41"/>
      <c r="F331" s="41"/>
      <c r="G331" s="41"/>
      <c r="H331" s="1261" t="s">
        <v>2397</v>
      </c>
      <c r="I331" s="1261"/>
      <c r="J331" s="1261"/>
      <c r="K331" s="1261"/>
      <c r="L331" s="1261"/>
      <c r="M331" s="1261"/>
      <c r="N331" s="1261"/>
      <c r="O331" s="1261"/>
      <c r="P331" s="1261"/>
      <c r="Q331" s="1261"/>
      <c r="R331" s="1261"/>
      <c r="T331" s="41" t="s">
        <v>700</v>
      </c>
      <c r="V331" s="41"/>
      <c r="W331" s="41"/>
      <c r="X331" s="41"/>
      <c r="Y331" s="41"/>
      <c r="AA331" s="1261" t="s">
        <v>2403</v>
      </c>
      <c r="AB331" s="1261"/>
      <c r="AC331" s="1261"/>
      <c r="AD331" s="1261"/>
      <c r="AE331" s="1261"/>
      <c r="AF331" s="1261"/>
      <c r="AG331" s="1261"/>
      <c r="AH331" s="1261"/>
      <c r="AI331" s="1261"/>
      <c r="AJ331" s="1261"/>
      <c r="AK331" s="1261"/>
      <c r="BA331" s="43"/>
    </row>
    <row r="332" spans="2:53" ht="12.95" customHeight="1">
      <c r="B332" s="41" t="s">
        <v>374</v>
      </c>
      <c r="C332" s="41"/>
      <c r="D332" s="41"/>
      <c r="E332" s="41"/>
      <c r="F332" s="41"/>
      <c r="H332" s="1261" t="s">
        <v>2398</v>
      </c>
      <c r="I332" s="1261"/>
      <c r="J332" s="1261"/>
      <c r="K332" s="1261"/>
      <c r="L332" s="1261"/>
      <c r="M332" s="1261"/>
      <c r="N332" s="1261"/>
      <c r="O332" s="1261"/>
      <c r="P332" s="1261"/>
      <c r="Q332" s="1261"/>
      <c r="R332" s="1261"/>
      <c r="T332" s="41" t="s">
        <v>374</v>
      </c>
      <c r="V332" s="41"/>
      <c r="W332" s="41"/>
      <c r="X332" s="41"/>
      <c r="Y332" s="41"/>
      <c r="AA332" s="1261" t="s">
        <v>2404</v>
      </c>
      <c r="AB332" s="1261"/>
      <c r="AC332" s="1261"/>
      <c r="AD332" s="1261"/>
      <c r="AE332" s="1261"/>
      <c r="AF332" s="1261"/>
      <c r="AG332" s="1261"/>
      <c r="AH332" s="1261"/>
      <c r="AI332" s="1261"/>
      <c r="AJ332" s="1261"/>
      <c r="AK332" s="1261"/>
      <c r="BA332" s="43"/>
    </row>
    <row r="333" spans="2:53" ht="12.95" customHeight="1">
      <c r="B333" s="41" t="s">
        <v>375</v>
      </c>
      <c r="C333" s="41"/>
      <c r="D333" s="41"/>
      <c r="E333" s="41"/>
      <c r="F333" s="41"/>
      <c r="G333" s="41"/>
      <c r="H333" s="1404" t="s">
        <v>2399</v>
      </c>
      <c r="I333" s="1404"/>
      <c r="J333" s="1404"/>
      <c r="K333" s="1404"/>
      <c r="L333" s="1404"/>
      <c r="M333" s="1404"/>
      <c r="N333" s="5" t="s">
        <v>818</v>
      </c>
      <c r="O333" s="5"/>
      <c r="P333" s="1400"/>
      <c r="Q333" s="1400"/>
      <c r="R333" s="1400"/>
      <c r="T333" s="41" t="s">
        <v>375</v>
      </c>
      <c r="V333" s="41"/>
      <c r="W333" s="41"/>
      <c r="X333" s="41"/>
      <c r="Y333" s="41"/>
      <c r="AA333" s="1404" t="s">
        <v>2405</v>
      </c>
      <c r="AB333" s="1404"/>
      <c r="AC333" s="1404"/>
      <c r="AD333" s="1404"/>
      <c r="AE333" s="1404"/>
      <c r="AF333" s="1404"/>
      <c r="AG333" s="5" t="s">
        <v>818</v>
      </c>
      <c r="AH333" s="5"/>
      <c r="AI333" s="1400"/>
      <c r="AJ333" s="1400"/>
      <c r="AK333" s="1400"/>
      <c r="BA333" s="43"/>
    </row>
    <row r="334" spans="2:53" ht="12.95"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c r="AB334" s="1264"/>
      <c r="AC334" s="1264"/>
      <c r="AD334" s="1264"/>
      <c r="AE334" s="1264"/>
      <c r="AF334" s="1264"/>
      <c r="AG334" s="5"/>
      <c r="AH334" s="5"/>
      <c r="AI334" s="44"/>
      <c r="AJ334" s="44"/>
      <c r="AK334" s="44"/>
      <c r="BA334" s="43"/>
    </row>
    <row r="335" spans="2:53" ht="12.95" customHeight="1">
      <c r="B335" s="41" t="s">
        <v>702</v>
      </c>
      <c r="C335" s="41"/>
      <c r="D335" s="41"/>
      <c r="E335" s="41"/>
      <c r="F335" s="41"/>
      <c r="G335" s="41"/>
      <c r="H335" s="1261" t="s">
        <v>2400</v>
      </c>
      <c r="I335" s="1261"/>
      <c r="J335" s="1261"/>
      <c r="K335" s="1261"/>
      <c r="L335" s="1261"/>
      <c r="M335" s="1261"/>
      <c r="N335" s="1150"/>
      <c r="O335" s="1150"/>
      <c r="P335" s="1150"/>
      <c r="Q335" s="1150"/>
      <c r="R335" s="1150"/>
      <c r="T335" s="41" t="s">
        <v>702</v>
      </c>
      <c r="V335" s="41"/>
      <c r="W335" s="41"/>
      <c r="X335" s="41"/>
      <c r="Y335" s="41"/>
      <c r="AA335" s="1261" t="s">
        <v>2406</v>
      </c>
      <c r="AB335" s="1261"/>
      <c r="AC335" s="1261"/>
      <c r="AD335" s="1261"/>
      <c r="AE335" s="1261"/>
      <c r="AF335" s="1261"/>
      <c r="AG335" s="1150"/>
      <c r="AH335" s="1150"/>
      <c r="AI335" s="1150"/>
      <c r="AJ335" s="1150"/>
      <c r="AK335" s="115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50" t="s">
        <v>124</v>
      </c>
      <c r="I337" s="1150"/>
      <c r="J337" s="1150"/>
      <c r="K337" s="1150"/>
      <c r="L337" s="1150"/>
      <c r="M337" s="1150"/>
      <c r="N337" s="1150"/>
      <c r="O337" s="1150"/>
      <c r="P337" s="1150"/>
      <c r="Q337" s="1150"/>
      <c r="R337" s="1150"/>
      <c r="T337" s="358" t="s">
        <v>1145</v>
      </c>
      <c r="AA337" s="1150" t="s">
        <v>124</v>
      </c>
      <c r="AB337" s="1150"/>
      <c r="AC337" s="1150"/>
      <c r="AD337" s="1150"/>
      <c r="AE337" s="1150"/>
      <c r="AF337" s="1150"/>
      <c r="AG337" s="1150"/>
      <c r="AH337" s="1150"/>
      <c r="AI337" s="1150"/>
      <c r="AJ337" s="1150"/>
      <c r="AK337" s="1150"/>
      <c r="BA337" s="43"/>
    </row>
    <row r="338" spans="2:53" ht="12.95" customHeight="1">
      <c r="B338" s="358" t="s">
        <v>699</v>
      </c>
      <c r="C338" s="358"/>
      <c r="D338" s="358"/>
      <c r="E338" s="358"/>
      <c r="F338" s="358"/>
      <c r="G338" s="358"/>
      <c r="H338" s="1261"/>
      <c r="I338" s="1261"/>
      <c r="J338" s="1261"/>
      <c r="K338" s="1261"/>
      <c r="L338" s="1261"/>
      <c r="M338" s="1261"/>
      <c r="N338" s="1261"/>
      <c r="O338" s="1261"/>
      <c r="P338" s="1261"/>
      <c r="Q338" s="1261"/>
      <c r="R338" s="1261"/>
      <c r="T338" s="41" t="s">
        <v>699</v>
      </c>
      <c r="AA338" s="1261"/>
      <c r="AB338" s="1261"/>
      <c r="AC338" s="1261"/>
      <c r="AD338" s="1261"/>
      <c r="AE338" s="1261"/>
      <c r="AF338" s="1261"/>
      <c r="AG338" s="1261"/>
      <c r="AH338" s="1261"/>
      <c r="AI338" s="1261"/>
      <c r="AJ338" s="1261"/>
      <c r="AK338" s="1261"/>
      <c r="BA338" s="43"/>
    </row>
    <row r="339" spans="2:53" ht="12.95" customHeight="1">
      <c r="B339" s="358" t="s">
        <v>701</v>
      </c>
      <c r="C339" s="358"/>
      <c r="D339" s="358"/>
      <c r="E339" s="358"/>
      <c r="F339" s="358"/>
      <c r="G339" s="358"/>
      <c r="H339" s="1261"/>
      <c r="I339" s="1261"/>
      <c r="J339" s="1261"/>
      <c r="K339" s="1261"/>
      <c r="L339" s="1261"/>
      <c r="M339" s="1261"/>
      <c r="N339" s="1261"/>
      <c r="O339" s="1261"/>
      <c r="P339" s="1261"/>
      <c r="Q339" s="1261"/>
      <c r="R339" s="1261"/>
      <c r="T339" s="41" t="s">
        <v>700</v>
      </c>
      <c r="AA339" s="1261"/>
      <c r="AB339" s="1261"/>
      <c r="AC339" s="1261"/>
      <c r="AD339" s="1261"/>
      <c r="AE339" s="1261"/>
      <c r="AF339" s="1261"/>
      <c r="AG339" s="1261"/>
      <c r="AH339" s="1261"/>
      <c r="AI339" s="1261"/>
      <c r="AJ339" s="1261"/>
      <c r="AK339" s="1261"/>
    </row>
    <row r="340" spans="2:53" ht="12.95" customHeight="1">
      <c r="B340" s="358" t="s">
        <v>374</v>
      </c>
      <c r="C340" s="358"/>
      <c r="D340" s="358"/>
      <c r="E340" s="358"/>
      <c r="F340" s="358"/>
      <c r="G340" s="358"/>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2:53" ht="12.95" customHeight="1">
      <c r="B341" s="358" t="s">
        <v>375</v>
      </c>
      <c r="C341" s="358"/>
      <c r="D341" s="358"/>
      <c r="E341" s="358"/>
      <c r="F341" s="358"/>
      <c r="G341" s="358"/>
      <c r="H341" s="1404"/>
      <c r="I341" s="1404"/>
      <c r="J341" s="1404"/>
      <c r="K341" s="1404"/>
      <c r="L341" s="1404"/>
      <c r="M341" s="1404"/>
      <c r="N341" s="5" t="s">
        <v>818</v>
      </c>
      <c r="O341" s="5"/>
      <c r="P341" s="1400"/>
      <c r="Q341" s="1400"/>
      <c r="R341" s="1400"/>
      <c r="T341" s="41" t="s">
        <v>375</v>
      </c>
      <c r="AA341" s="1404"/>
      <c r="AB341" s="1404"/>
      <c r="AC341" s="1404"/>
      <c r="AD341" s="1404"/>
      <c r="AE341" s="1404"/>
      <c r="AF341" s="1404"/>
      <c r="AG341" s="5" t="s">
        <v>818</v>
      </c>
      <c r="AH341" s="5"/>
      <c r="AI341" s="1400"/>
      <c r="AJ341" s="1400"/>
      <c r="AK341" s="1400"/>
    </row>
    <row r="342" spans="2:53" ht="12.95" customHeight="1">
      <c r="B342" s="358" t="s">
        <v>376</v>
      </c>
      <c r="C342" s="358"/>
      <c r="D342" s="358"/>
      <c r="E342" s="358"/>
      <c r="F342" s="358"/>
      <c r="G342" s="358"/>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2:53" ht="12.95" customHeight="1">
      <c r="B343" s="358" t="s">
        <v>702</v>
      </c>
      <c r="C343" s="358"/>
      <c r="D343" s="358"/>
      <c r="E343" s="358"/>
      <c r="F343" s="358"/>
      <c r="G343" s="358"/>
      <c r="H343" s="1261"/>
      <c r="I343" s="1261"/>
      <c r="J343" s="1261"/>
      <c r="K343" s="1261"/>
      <c r="L343" s="1261"/>
      <c r="M343" s="1261"/>
      <c r="N343" s="1150"/>
      <c r="O343" s="1150"/>
      <c r="P343" s="1150"/>
      <c r="Q343" s="1150"/>
      <c r="R343" s="1150"/>
      <c r="T343" s="41" t="s">
        <v>702</v>
      </c>
      <c r="AA343" s="1261"/>
      <c r="AB343" s="1261"/>
      <c r="AC343" s="1261"/>
      <c r="AD343" s="1261"/>
      <c r="AE343" s="1261"/>
      <c r="AF343" s="1261"/>
      <c r="AG343" s="1150"/>
      <c r="AH343" s="1150"/>
      <c r="AI343" s="1150"/>
      <c r="AJ343" s="1150"/>
      <c r="AK343" s="1150"/>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50" t="s">
        <v>124</v>
      </c>
      <c r="Q345" s="1150"/>
      <c r="R345" s="1150"/>
      <c r="S345" s="1150"/>
      <c r="T345" s="1150"/>
      <c r="U345" s="1150"/>
      <c r="V345" s="1150"/>
      <c r="W345" s="1150"/>
      <c r="X345" s="1150"/>
      <c r="Y345" s="1150"/>
      <c r="Z345" s="1150"/>
    </row>
    <row r="346" spans="2:53" ht="12.95" customHeight="1">
      <c r="C346" s="358"/>
      <c r="D346" s="358"/>
      <c r="E346" s="358"/>
      <c r="F346" s="358"/>
      <c r="G346" s="358"/>
      <c r="I346" s="358" t="s">
        <v>699</v>
      </c>
      <c r="P346" s="1261"/>
      <c r="Q346" s="1261"/>
      <c r="R346" s="1261"/>
      <c r="S346" s="1261"/>
      <c r="T346" s="1261"/>
      <c r="U346" s="1261"/>
      <c r="V346" s="1261"/>
      <c r="W346" s="1261"/>
      <c r="X346" s="1261"/>
      <c r="Y346" s="1261"/>
      <c r="Z346" s="1261"/>
    </row>
    <row r="347" spans="2:53" ht="12.95" customHeight="1">
      <c r="C347" s="358"/>
      <c r="D347" s="358"/>
      <c r="E347" s="358"/>
      <c r="F347" s="358"/>
      <c r="G347" s="358"/>
      <c r="I347" s="358" t="s">
        <v>701</v>
      </c>
      <c r="P347" s="1261"/>
      <c r="Q347" s="1261"/>
      <c r="R347" s="1261"/>
      <c r="S347" s="1261"/>
      <c r="T347" s="1261"/>
      <c r="U347" s="1261"/>
      <c r="V347" s="1261"/>
      <c r="W347" s="1261"/>
      <c r="X347" s="1261"/>
      <c r="Y347" s="1261"/>
      <c r="Z347" s="1261"/>
    </row>
    <row r="348" spans="2:53" ht="12.95" customHeight="1">
      <c r="C348" s="358"/>
      <c r="D348" s="358"/>
      <c r="E348" s="358"/>
      <c r="F348" s="358"/>
      <c r="G348" s="358"/>
      <c r="I348" s="358" t="s">
        <v>374</v>
      </c>
      <c r="P348" s="1261"/>
      <c r="Q348" s="1261"/>
      <c r="R348" s="1261"/>
      <c r="S348" s="1261"/>
      <c r="T348" s="1261"/>
      <c r="U348" s="1261"/>
      <c r="V348" s="1261"/>
      <c r="W348" s="1261"/>
      <c r="X348" s="1261"/>
      <c r="Y348" s="1261"/>
      <c r="Z348" s="1261"/>
    </row>
    <row r="349" spans="2:53" ht="12.95" customHeight="1">
      <c r="C349" s="358"/>
      <c r="D349" s="358"/>
      <c r="E349" s="358"/>
      <c r="F349" s="358"/>
      <c r="G349" s="358"/>
      <c r="I349" s="358" t="s">
        <v>375</v>
      </c>
      <c r="P349" s="1404"/>
      <c r="Q349" s="1404"/>
      <c r="R349" s="1404"/>
      <c r="S349" s="1404"/>
      <c r="T349" s="1404"/>
      <c r="U349" s="1404"/>
      <c r="V349" s="5" t="s">
        <v>818</v>
      </c>
      <c r="W349" s="5"/>
      <c r="X349" s="1400"/>
      <c r="Y349" s="1400"/>
      <c r="Z349" s="1400"/>
    </row>
    <row r="350" spans="2:53" ht="12.95" customHeight="1">
      <c r="C350" s="358"/>
      <c r="D350" s="358"/>
      <c r="E350" s="358"/>
      <c r="F350" s="358"/>
      <c r="G350" s="358"/>
      <c r="I350" s="358" t="s">
        <v>376</v>
      </c>
      <c r="P350" s="1264"/>
      <c r="Q350" s="1264"/>
      <c r="R350" s="1264"/>
      <c r="S350" s="1264"/>
      <c r="T350" s="1264"/>
      <c r="U350" s="1264"/>
      <c r="V350" s="5"/>
      <c r="W350" s="5"/>
      <c r="X350" s="44"/>
      <c r="Y350" s="44"/>
      <c r="Z350" s="44"/>
    </row>
    <row r="351" spans="2:53" ht="12.95" customHeight="1">
      <c r="C351" s="358"/>
      <c r="D351" s="358"/>
      <c r="E351" s="358"/>
      <c r="F351" s="358"/>
      <c r="G351" s="358"/>
      <c r="I351" s="358" t="s">
        <v>702</v>
      </c>
      <c r="P351" s="1261"/>
      <c r="Q351" s="1261"/>
      <c r="R351" s="1261"/>
      <c r="S351" s="1261"/>
      <c r="T351" s="1261"/>
      <c r="U351" s="1261"/>
      <c r="V351" s="1150"/>
      <c r="W351" s="1150"/>
      <c r="X351" s="1150"/>
      <c r="Y351" s="1150"/>
      <c r="Z351" s="1150"/>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26" t="s">
        <v>497</v>
      </c>
      <c r="B353" s="1126"/>
      <c r="C353" s="1126"/>
      <c r="D353" s="1126"/>
      <c r="E353" s="1126"/>
      <c r="F353" s="1126"/>
      <c r="G353" s="1126"/>
      <c r="H353" s="1126"/>
      <c r="I353" s="1126"/>
      <c r="J353" s="1126"/>
      <c r="K353" s="1126"/>
      <c r="L353" s="1126"/>
      <c r="M353" s="1126"/>
      <c r="N353" s="1126"/>
      <c r="O353" s="1126"/>
      <c r="P353" s="1126"/>
      <c r="Q353" s="1126"/>
      <c r="R353" s="1126"/>
      <c r="S353" s="1126"/>
      <c r="T353" s="1126"/>
      <c r="U353" s="1126"/>
      <c r="V353" s="1126"/>
      <c r="W353" s="1126"/>
      <c r="X353" s="1126"/>
      <c r="Y353" s="1126"/>
      <c r="Z353" s="1126"/>
      <c r="AA353" s="1126"/>
      <c r="AB353" s="1126"/>
      <c r="AC353" s="1126"/>
      <c r="AD353" s="1126"/>
      <c r="AE353" s="1126"/>
      <c r="AF353" s="1126"/>
      <c r="AG353" s="1126"/>
      <c r="AH353" s="1126"/>
      <c r="AI353" s="1126"/>
      <c r="AJ353" s="1126"/>
      <c r="AK353" s="1126"/>
      <c r="AL353" s="1126"/>
      <c r="AM353" s="1126"/>
      <c r="AN353" s="1126"/>
      <c r="AO353" s="1126"/>
      <c r="AP353" s="1126"/>
      <c r="AQ353" s="1126"/>
      <c r="AR353" s="1126"/>
      <c r="AS353" s="1126"/>
      <c r="AT353" s="1126"/>
    </row>
    <row r="354" spans="1:46" ht="12.95" customHeight="1">
      <c r="A354" s="1126"/>
      <c r="B354" s="1126"/>
      <c r="C354" s="1126"/>
      <c r="D354" s="1126"/>
      <c r="E354" s="1126"/>
      <c r="F354" s="1126"/>
      <c r="G354" s="1126"/>
      <c r="H354" s="1126"/>
      <c r="I354" s="1126"/>
      <c r="J354" s="1126"/>
      <c r="K354" s="1126"/>
      <c r="L354" s="1126"/>
      <c r="M354" s="1126"/>
      <c r="N354" s="1126"/>
      <c r="O354" s="1126"/>
      <c r="P354" s="1126"/>
      <c r="Q354" s="1126"/>
      <c r="R354" s="1126"/>
      <c r="S354" s="1126"/>
      <c r="T354" s="1126"/>
      <c r="U354" s="1126"/>
      <c r="V354" s="1126"/>
      <c r="W354" s="1126"/>
      <c r="X354" s="1126"/>
      <c r="Y354" s="1126"/>
      <c r="Z354" s="1126"/>
      <c r="AA354" s="1126"/>
      <c r="AB354" s="1126"/>
      <c r="AC354" s="1126"/>
      <c r="AD354" s="1126"/>
      <c r="AE354" s="1126"/>
      <c r="AF354" s="1126"/>
      <c r="AG354" s="1126"/>
      <c r="AH354" s="1126"/>
      <c r="AI354" s="1126"/>
      <c r="AJ354" s="1126"/>
      <c r="AK354" s="1126"/>
      <c r="AL354" s="1126"/>
      <c r="AM354" s="1126"/>
      <c r="AN354" s="1126"/>
      <c r="AO354" s="1126"/>
      <c r="AP354" s="1126"/>
      <c r="AQ354" s="1126"/>
      <c r="AR354" s="1126"/>
      <c r="AS354" s="1126"/>
      <c r="AT354" s="1126"/>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41" t="s">
        <v>108</v>
      </c>
      <c r="N357" s="1141"/>
      <c r="P357" t="s">
        <v>1949</v>
      </c>
      <c r="AJ357" s="1141" t="s">
        <v>482</v>
      </c>
      <c r="AK357" s="1141"/>
    </row>
    <row r="358" spans="1:46" ht="12.95" customHeight="1">
      <c r="C358"/>
      <c r="D358" s="41" t="s">
        <v>1877</v>
      </c>
      <c r="M358" s="1141" t="s">
        <v>124</v>
      </c>
      <c r="N358" s="1141"/>
      <c r="P358" s="41" t="s">
        <v>1950</v>
      </c>
      <c r="AJ358" s="1346"/>
      <c r="AK358" s="1346"/>
    </row>
    <row r="359" spans="1:46" ht="12.95" customHeight="1">
      <c r="C359"/>
      <c r="D359" t="s">
        <v>313</v>
      </c>
      <c r="M359" s="1141" t="s">
        <v>124</v>
      </c>
      <c r="N359" s="1141"/>
      <c r="P359" t="s">
        <v>1951</v>
      </c>
      <c r="AJ359" s="1141" t="s">
        <v>124</v>
      </c>
      <c r="AK359" s="1141"/>
    </row>
    <row r="360" spans="1:46" ht="12.95" customHeight="1">
      <c r="C360"/>
      <c r="D360" t="s">
        <v>314</v>
      </c>
      <c r="M360" s="1141" t="s">
        <v>124</v>
      </c>
      <c r="N360" s="1141"/>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41" t="s">
        <v>124</v>
      </c>
      <c r="O365" s="1141"/>
      <c r="P365" s="49"/>
      <c r="Q365" s="49"/>
      <c r="R365" s="49"/>
      <c r="S365" s="49"/>
      <c r="T365" s="49"/>
      <c r="U365" s="49"/>
      <c r="V365" s="49"/>
      <c r="W365" s="49"/>
      <c r="X365" s="49"/>
      <c r="Y365" s="49"/>
      <c r="Z365" s="49"/>
      <c r="AC365" s="49"/>
      <c r="AD365" s="49"/>
      <c r="AE365" s="49"/>
    </row>
    <row r="366" spans="1:46" ht="12.95" customHeight="1">
      <c r="C366"/>
      <c r="E366" t="s">
        <v>733</v>
      </c>
      <c r="Y366" s="1141" t="s">
        <v>124</v>
      </c>
      <c r="Z366" s="1141"/>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41" t="s">
        <v>124</v>
      </c>
      <c r="K368" s="1141"/>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479" t="s">
        <v>124</v>
      </c>
      <c r="O371" s="1144"/>
      <c r="P371" s="1144"/>
      <c r="Q371" s="1144"/>
      <c r="R371" s="5"/>
      <c r="U371" s="5" t="s">
        <v>591</v>
      </c>
      <c r="V371" s="5"/>
      <c r="W371" s="5"/>
      <c r="X371" s="5"/>
      <c r="Y371" s="5"/>
      <c r="Z371" s="5"/>
      <c r="AA371" s="5"/>
      <c r="AB371" s="5"/>
      <c r="AC371" s="1144" t="s">
        <v>124</v>
      </c>
      <c r="AD371" s="1144"/>
      <c r="AE371" s="1144"/>
      <c r="AF371" s="1144"/>
      <c r="BE371" t="s">
        <v>108</v>
      </c>
    </row>
    <row r="372" spans="4:57" customFormat="1" ht="12.95" customHeight="1">
      <c r="E372" s="5" t="s">
        <v>592</v>
      </c>
      <c r="F372" s="5"/>
      <c r="G372" s="5"/>
      <c r="H372" s="5"/>
      <c r="I372" s="5"/>
      <c r="J372" s="5"/>
      <c r="K372" s="5"/>
      <c r="L372" s="5"/>
      <c r="N372" s="1144" t="s">
        <v>124</v>
      </c>
      <c r="O372" s="1144"/>
      <c r="P372" s="1144"/>
      <c r="Q372" s="1144"/>
      <c r="R372" s="5"/>
      <c r="U372" s="5" t="s">
        <v>593</v>
      </c>
      <c r="V372" s="5"/>
      <c r="W372" s="5"/>
      <c r="X372" s="5"/>
      <c r="Y372" s="5"/>
      <c r="Z372" s="5"/>
      <c r="AA372" s="5"/>
      <c r="AB372" s="5"/>
      <c r="AC372" s="1144" t="s">
        <v>124</v>
      </c>
      <c r="AD372" s="1144"/>
      <c r="AE372" s="1144"/>
      <c r="AF372" s="1144"/>
    </row>
    <row r="373" spans="4:57" customFormat="1" ht="12.95" customHeight="1">
      <c r="E373" s="5" t="s">
        <v>64</v>
      </c>
      <c r="F373" s="5"/>
      <c r="G373" s="5"/>
      <c r="H373" s="5"/>
      <c r="I373" s="5"/>
      <c r="J373" s="5"/>
      <c r="K373" s="5"/>
      <c r="L373" s="5"/>
      <c r="N373" s="1144" t="s">
        <v>124</v>
      </c>
      <c r="O373" s="1144"/>
      <c r="P373" s="1144"/>
      <c r="Q373" s="1144"/>
      <c r="R373" s="5"/>
      <c r="V373" s="5"/>
      <c r="W373" s="5"/>
      <c r="X373" s="5"/>
      <c r="Y373" s="5"/>
      <c r="Z373" s="5"/>
      <c r="AA373" s="5"/>
      <c r="AB373" s="5"/>
    </row>
    <row r="374" spans="4:57" customFormat="1" ht="12.95" customHeight="1">
      <c r="E374" s="5" t="s">
        <v>65</v>
      </c>
      <c r="F374" s="5"/>
      <c r="G374" s="5"/>
      <c r="H374" s="5"/>
      <c r="I374" s="5"/>
      <c r="J374" s="5"/>
      <c r="K374" s="5"/>
      <c r="L374" s="5"/>
      <c r="N374" s="1565" t="s">
        <v>2407</v>
      </c>
      <c r="O374" s="1566"/>
      <c r="P374" s="1566"/>
      <c r="Q374" s="1566"/>
      <c r="R374" s="1566"/>
      <c r="S374" s="1566"/>
      <c r="T374" s="1566"/>
      <c r="U374" s="1566"/>
      <c r="V374" s="1566"/>
      <c r="W374" s="1566"/>
      <c r="X374" s="1566"/>
      <c r="Y374" s="1566"/>
      <c r="Z374" s="1566"/>
      <c r="AA374" s="1566"/>
      <c r="AB374" s="1566"/>
      <c r="AC374" s="1566"/>
      <c r="AD374" s="1566"/>
      <c r="AE374" s="1566"/>
      <c r="AF374" s="1566"/>
    </row>
    <row r="375" spans="4:57" customFormat="1" ht="12.95" customHeight="1">
      <c r="E375" s="5"/>
      <c r="F375" s="5"/>
      <c r="G375" s="5"/>
      <c r="H375" s="5"/>
      <c r="I375" s="5"/>
      <c r="J375" s="5"/>
      <c r="K375" s="5"/>
      <c r="L375" s="5"/>
      <c r="N375" s="1567"/>
      <c r="O375" s="1567"/>
      <c r="P375" s="1567"/>
      <c r="Q375" s="1567"/>
      <c r="R375" s="1567"/>
      <c r="S375" s="1567"/>
      <c r="T375" s="1567"/>
      <c r="U375" s="1567"/>
      <c r="V375" s="1567"/>
      <c r="W375" s="1567"/>
      <c r="X375" s="1567"/>
      <c r="Y375" s="1567"/>
      <c r="Z375" s="1567"/>
      <c r="AA375" s="1567"/>
      <c r="AB375" s="1567"/>
      <c r="AC375" s="1567"/>
      <c r="AD375" s="1567"/>
      <c r="AE375" s="1567"/>
      <c r="AF375" s="1567"/>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352" t="s">
        <v>124</v>
      </c>
      <c r="T378" s="1151"/>
      <c r="U378" s="367" t="s">
        <v>232</v>
      </c>
      <c r="V378" s="1151"/>
      <c r="W378" s="1151"/>
      <c r="X378" s="358"/>
      <c r="Z378" s="358"/>
      <c r="AA378" s="936" t="s">
        <v>2091</v>
      </c>
      <c r="AB378" s="358" t="s">
        <v>231</v>
      </c>
      <c r="AC378" s="358"/>
      <c r="AD378" s="1151"/>
      <c r="AE378" s="1151"/>
      <c r="AF378" s="367" t="s">
        <v>232</v>
      </c>
      <c r="AG378" s="1151"/>
      <c r="AH378" s="1151"/>
    </row>
    <row r="379" spans="4:57" customFormat="1" ht="12.95" customHeight="1">
      <c r="D379" s="358"/>
      <c r="E379" s="358" t="s">
        <v>1235</v>
      </c>
      <c r="F379" s="358"/>
      <c r="G379" s="358"/>
      <c r="H379" s="358"/>
      <c r="I379" s="358"/>
      <c r="J379" s="358"/>
      <c r="K379" s="358"/>
      <c r="L379" s="358"/>
      <c r="M379" s="358"/>
      <c r="N379" s="1151" t="s">
        <v>124</v>
      </c>
      <c r="O379" s="1151"/>
      <c r="P379" s="115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52" t="s">
        <v>124</v>
      </c>
      <c r="AH380" s="1152"/>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52" t="s">
        <v>124</v>
      </c>
      <c r="AH381" s="1152"/>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52" t="s">
        <v>124</v>
      </c>
      <c r="W382" s="1152"/>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52" t="s">
        <v>124</v>
      </c>
      <c r="W383" s="1152"/>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50" t="s">
        <v>2408</v>
      </c>
      <c r="K386" s="1150"/>
      <c r="L386" s="1150"/>
      <c r="M386" s="1150"/>
      <c r="N386" s="1150"/>
      <c r="O386" s="1150"/>
      <c r="P386" s="1150"/>
      <c r="Q386" s="1150"/>
      <c r="R386" s="1150"/>
      <c r="S386" s="1150"/>
      <c r="T386" s="1150"/>
      <c r="U386" s="1150"/>
      <c r="V386" s="12" t="s">
        <v>710</v>
      </c>
      <c r="W386" s="12"/>
      <c r="X386" s="12"/>
      <c r="Y386" s="12"/>
      <c r="Z386" s="12"/>
      <c r="AA386" s="12"/>
      <c r="AB386" s="12"/>
      <c r="AC386" s="1150" t="s">
        <v>2334</v>
      </c>
      <c r="AD386" s="1150"/>
      <c r="AE386" s="1150"/>
      <c r="AF386" s="1150"/>
      <c r="AG386" s="1150"/>
      <c r="AH386" s="1150"/>
      <c r="AI386" s="1150"/>
      <c r="AJ386" s="1150"/>
    </row>
    <row r="387" spans="1:36" ht="12.95" customHeight="1">
      <c r="C387"/>
      <c r="D387" s="41" t="s">
        <v>1952</v>
      </c>
      <c r="J387" s="1261" t="s">
        <v>2334</v>
      </c>
      <c r="K387" s="1261"/>
      <c r="L387" s="1261"/>
      <c r="M387" s="1261"/>
      <c r="N387" s="1261"/>
      <c r="O387" s="1261"/>
      <c r="P387" s="1261"/>
      <c r="Q387" s="1261"/>
      <c r="R387" s="1261"/>
      <c r="S387" s="1261"/>
      <c r="T387" s="1261"/>
      <c r="U387" s="1261"/>
      <c r="V387" s="41" t="s">
        <v>1952</v>
      </c>
      <c r="W387" s="12"/>
      <c r="X387" s="12"/>
      <c r="Y387" s="12"/>
      <c r="Z387" s="12"/>
      <c r="AA387" s="12"/>
      <c r="AB387" s="12"/>
      <c r="AC387" s="1150"/>
      <c r="AD387" s="1150"/>
      <c r="AE387" s="1150"/>
      <c r="AF387" s="1150"/>
      <c r="AG387" s="1150"/>
      <c r="AH387" s="1150"/>
      <c r="AI387" s="1150"/>
      <c r="AJ387" s="1150"/>
    </row>
    <row r="388" spans="1:36" ht="12.95" customHeight="1">
      <c r="C388"/>
      <c r="D388" s="41" t="s">
        <v>544</v>
      </c>
      <c r="J388" s="1261" t="s">
        <v>2409</v>
      </c>
      <c r="K388" s="1261"/>
      <c r="L388" s="1261"/>
      <c r="M388" s="1261"/>
      <c r="N388" s="1261"/>
      <c r="O388" s="1261"/>
      <c r="P388" s="1261"/>
      <c r="Q388" s="1261"/>
      <c r="R388" s="1261"/>
      <c r="S388" s="1261"/>
      <c r="T388" s="1261"/>
      <c r="U388" s="1261"/>
      <c r="V388" s="41" t="s">
        <v>544</v>
      </c>
      <c r="W388" s="12"/>
      <c r="X388" s="12"/>
      <c r="Y388" s="12"/>
      <c r="Z388" s="12"/>
      <c r="AA388" s="12"/>
      <c r="AB388" s="12"/>
      <c r="AC388" s="1150"/>
      <c r="AD388" s="1150"/>
      <c r="AE388" s="1150"/>
      <c r="AF388" s="1150"/>
      <c r="AG388" s="1150"/>
      <c r="AH388" s="1150"/>
      <c r="AI388" s="1150"/>
      <c r="AJ388" s="1150"/>
    </row>
    <row r="389" spans="1:36" ht="12.95" customHeight="1">
      <c r="C389"/>
      <c r="D389" t="s">
        <v>1953</v>
      </c>
      <c r="J389" s="1115" t="s">
        <v>2410</v>
      </c>
      <c r="K389" s="1115"/>
      <c r="L389" s="1115"/>
      <c r="M389" s="1115"/>
      <c r="N389" s="1115"/>
      <c r="O389" s="1115"/>
      <c r="P389" s="1115"/>
      <c r="Q389" s="1115"/>
      <c r="R389" s="1115"/>
      <c r="S389" s="1115"/>
      <c r="T389" s="1115"/>
      <c r="U389" s="1115"/>
      <c r="V389" s="1150"/>
      <c r="W389" s="1150"/>
      <c r="X389" s="1150"/>
      <c r="Y389" s="1150"/>
      <c r="Z389" s="1150"/>
      <c r="AA389" s="1150"/>
      <c r="AB389" s="1150"/>
      <c r="AC389" s="1150"/>
      <c r="AD389" s="1150"/>
      <c r="AE389" s="1150"/>
      <c r="AF389" s="1150"/>
      <c r="AG389" s="1150"/>
      <c r="AH389" s="1150"/>
      <c r="AI389" s="1150"/>
      <c r="AJ389" s="1150"/>
    </row>
    <row r="390" spans="1:36" ht="12.95" customHeight="1">
      <c r="C390"/>
      <c r="D390" t="s">
        <v>554</v>
      </c>
      <c r="Q390" s="1580">
        <v>44517</v>
      </c>
      <c r="R390" s="1580"/>
      <c r="S390" s="1580"/>
      <c r="T390" s="1580"/>
      <c r="U390" s="1580"/>
      <c r="V390" t="s">
        <v>168</v>
      </c>
      <c r="AI390" s="1141" t="s">
        <v>482</v>
      </c>
      <c r="AJ390" s="1141"/>
    </row>
    <row r="391" spans="1:36" ht="12.95" customHeight="1">
      <c r="C391"/>
      <c r="D391" t="s">
        <v>555</v>
      </c>
      <c r="Q391" s="1442">
        <v>46752</v>
      </c>
      <c r="R391" s="1208"/>
      <c r="S391" s="1208"/>
      <c r="T391" s="1208"/>
      <c r="U391" s="1208"/>
      <c r="W391" s="29" t="s">
        <v>20</v>
      </c>
      <c r="AG391" s="1301"/>
      <c r="AH391" s="1301"/>
      <c r="AI391" s="1301"/>
      <c r="AJ391" s="1301"/>
    </row>
    <row r="392" spans="1:36" ht="12.95" customHeight="1">
      <c r="C392"/>
      <c r="D392" t="s">
        <v>274</v>
      </c>
      <c r="Q392" s="1242">
        <v>0</v>
      </c>
      <c r="R392" s="1242"/>
      <c r="S392" s="1242"/>
      <c r="T392" s="1242"/>
      <c r="U392" s="1242"/>
      <c r="V392" s="41" t="s">
        <v>1954</v>
      </c>
      <c r="AG392" s="1563">
        <v>46143</v>
      </c>
      <c r="AH392" s="1563"/>
      <c r="AI392" s="1563"/>
      <c r="AJ392" s="1563"/>
    </row>
    <row r="393" spans="1:36" ht="12.95" customHeight="1">
      <c r="C393"/>
      <c r="D393" t="s">
        <v>375</v>
      </c>
      <c r="I393" s="1467" t="s">
        <v>2411</v>
      </c>
      <c r="J393" s="1467"/>
      <c r="K393" s="1467"/>
      <c r="L393" s="1467"/>
      <c r="M393" s="1467"/>
      <c r="N393" s="1467"/>
      <c r="Q393" s="41" t="s">
        <v>818</v>
      </c>
      <c r="S393" s="1516"/>
      <c r="T393" s="1516"/>
      <c r="U393" s="1516"/>
      <c r="V393" t="s">
        <v>19</v>
      </c>
      <c r="AI393" s="1141" t="s">
        <v>482</v>
      </c>
      <c r="AJ393" s="1141"/>
    </row>
    <row r="394" spans="1:36" ht="12.95" customHeight="1">
      <c r="C394"/>
      <c r="D394" t="s">
        <v>169</v>
      </c>
      <c r="Q394" s="1118"/>
      <c r="R394" s="1118"/>
      <c r="S394" s="1118"/>
      <c r="T394" s="1118"/>
      <c r="U394" s="1118"/>
      <c r="V394" t="s">
        <v>170</v>
      </c>
      <c r="AG394" s="1301">
        <f>1</f>
        <v>1</v>
      </c>
      <c r="AH394" s="1301"/>
      <c r="AI394" s="1301"/>
      <c r="AJ394" s="1301"/>
    </row>
    <row r="395" spans="1:36" ht="12.95" customHeight="1">
      <c r="C395"/>
      <c r="D395" t="s">
        <v>25</v>
      </c>
      <c r="Q395" s="1369"/>
      <c r="R395" s="1369"/>
      <c r="S395" s="1369"/>
      <c r="T395" s="1369"/>
      <c r="U395" s="1369"/>
      <c r="V395" t="s">
        <v>1676</v>
      </c>
      <c r="AG395" s="1301">
        <v>0</v>
      </c>
      <c r="AH395" s="1301"/>
      <c r="AI395" s="1301"/>
      <c r="AJ395" s="1301"/>
    </row>
    <row r="396" spans="1:36" ht="12.95" customHeight="1">
      <c r="C396"/>
      <c r="D396" t="s">
        <v>1955</v>
      </c>
      <c r="AG396" s="1301">
        <v>0</v>
      </c>
      <c r="AH396" s="1301"/>
      <c r="AI396" s="1301"/>
      <c r="AJ396" s="1301"/>
    </row>
    <row r="397" spans="1:36" ht="12.95" customHeight="1">
      <c r="C397"/>
      <c r="AG397" s="829"/>
      <c r="AH397" s="829"/>
      <c r="AI397" s="829"/>
      <c r="AJ397" s="829"/>
    </row>
    <row r="398" spans="1:36" ht="12.95" customHeight="1">
      <c r="C398"/>
      <c r="D398" s="41" t="s">
        <v>2191</v>
      </c>
      <c r="AG398" s="829"/>
      <c r="AH398" s="829"/>
      <c r="AI398" s="1141" t="s">
        <v>482</v>
      </c>
      <c r="AJ398" s="1141"/>
    </row>
    <row r="399" spans="1:36" ht="12.95" customHeight="1">
      <c r="C399"/>
      <c r="D399" s="41" t="s">
        <v>1956</v>
      </c>
      <c r="T399" s="1299"/>
      <c r="U399" s="1299"/>
      <c r="V399" s="1299"/>
      <c r="W399" s="1299"/>
      <c r="X399" s="1299"/>
      <c r="Y399" s="1299"/>
      <c r="Z399" s="1299"/>
      <c r="AA399" s="1299"/>
      <c r="AB399" s="1299"/>
      <c r="AC399" s="1299"/>
      <c r="AD399" s="1299"/>
      <c r="AE399" s="1299"/>
      <c r="AF399" s="1299"/>
      <c r="AG399" s="1299"/>
      <c r="AH399" s="1299"/>
      <c r="AI399" s="1299"/>
      <c r="AJ399" s="1299"/>
    </row>
    <row r="400" spans="1:36" ht="12.95" customHeight="1">
      <c r="C400"/>
      <c r="D400" s="41" t="s">
        <v>1957</v>
      </c>
      <c r="T400" s="1299"/>
      <c r="U400" s="1299"/>
      <c r="V400" s="1299"/>
      <c r="W400" s="1299"/>
      <c r="X400" s="1299"/>
      <c r="Y400" s="1299"/>
      <c r="Z400" s="1299"/>
      <c r="AA400" s="1299"/>
      <c r="AB400" s="1299"/>
      <c r="AC400" s="1299"/>
      <c r="AD400" s="1299"/>
      <c r="AE400" s="1299"/>
      <c r="AF400" s="1299"/>
      <c r="AG400" s="1299"/>
      <c r="AH400" s="1299"/>
      <c r="AI400" s="1299"/>
      <c r="AJ400" s="1299"/>
    </row>
    <row r="401" spans="1:36" ht="12.95" customHeight="1">
      <c r="C401"/>
      <c r="AG401" s="829"/>
      <c r="AH401" s="829"/>
      <c r="AI401" s="829"/>
      <c r="AJ401" s="829"/>
    </row>
    <row r="402" spans="1:36" ht="12.95" customHeight="1">
      <c r="C402"/>
      <c r="D402" s="41" t="s">
        <v>1958</v>
      </c>
      <c r="S402" s="1299" t="s">
        <v>108</v>
      </c>
      <c r="T402" s="1299"/>
      <c r="U402" s="1299"/>
      <c r="V402" t="s">
        <v>1959</v>
      </c>
      <c r="AG402" s="1590">
        <v>99</v>
      </c>
      <c r="AH402" s="1590"/>
      <c r="AI402" s="1590"/>
      <c r="AJ402" s="1590"/>
    </row>
    <row r="403" spans="1:36" ht="12.95" customHeight="1">
      <c r="C403"/>
      <c r="D403" s="41" t="s">
        <v>1960</v>
      </c>
      <c r="S403" s="1299" t="s">
        <v>108</v>
      </c>
      <c r="T403" s="1299"/>
      <c r="U403" s="1299"/>
      <c r="V403" t="s">
        <v>1961</v>
      </c>
      <c r="AE403" s="1370">
        <v>1</v>
      </c>
      <c r="AF403" s="1370"/>
      <c r="AG403" s="1370"/>
      <c r="AH403" s="1370"/>
      <c r="AI403" s="1370"/>
      <c r="AJ403" s="1370"/>
    </row>
    <row r="404" spans="1:36" ht="12.95" customHeight="1">
      <c r="C404"/>
      <c r="D404" s="41" t="s">
        <v>1962</v>
      </c>
      <c r="K404" s="1371"/>
      <c r="L404" s="1371"/>
      <c r="M404" s="1371"/>
      <c r="N404" s="1371"/>
      <c r="O404" s="1371"/>
      <c r="P404" s="1371"/>
      <c r="Q404" s="1371"/>
      <c r="R404" s="1371"/>
      <c r="S404" s="1371"/>
      <c r="T404" s="1371"/>
      <c r="U404" s="1371"/>
      <c r="V404" s="1371"/>
      <c r="W404" s="1371"/>
      <c r="X404" s="1371"/>
      <c r="Y404" s="1371"/>
      <c r="Z404" s="1371"/>
      <c r="AA404" s="1371"/>
      <c r="AB404" s="1371"/>
      <c r="AC404" s="1371"/>
      <c r="AD404" s="1371"/>
      <c r="AE404" s="1371"/>
      <c r="AF404" s="1371"/>
      <c r="AG404" s="1371"/>
      <c r="AH404" s="1371"/>
      <c r="AI404" s="1371"/>
      <c r="AJ404" s="1371"/>
    </row>
    <row r="405" spans="1:36" ht="12.95" customHeight="1">
      <c r="C405"/>
      <c r="D405" s="41" t="s">
        <v>1963</v>
      </c>
      <c r="K405" s="1371" t="s">
        <v>2351</v>
      </c>
      <c r="L405" s="1371"/>
      <c r="M405" s="1371"/>
      <c r="N405" s="1371"/>
      <c r="O405" s="1371"/>
      <c r="P405" s="1371"/>
      <c r="Q405" s="1371"/>
      <c r="R405" s="1371"/>
      <c r="S405" s="1371"/>
      <c r="T405" s="1371"/>
      <c r="U405" s="1371"/>
      <c r="V405" s="1371"/>
      <c r="W405" s="1371"/>
      <c r="X405" s="1371"/>
      <c r="Y405" s="1371"/>
      <c r="Z405" s="1371"/>
      <c r="AA405" s="1371"/>
      <c r="AB405" s="1371"/>
      <c r="AC405" s="1371"/>
      <c r="AD405" s="1371"/>
      <c r="AE405" s="1371"/>
      <c r="AF405" s="1371"/>
      <c r="AG405" s="1371"/>
      <c r="AH405" s="1371"/>
      <c r="AI405" s="1371"/>
      <c r="AJ405" s="1371"/>
    </row>
    <row r="406" spans="1:36" ht="12.95" customHeight="1">
      <c r="C406"/>
      <c r="D406" s="41" t="s">
        <v>1964</v>
      </c>
      <c r="E406" s="810"/>
      <c r="F406" s="810"/>
      <c r="G406" s="810"/>
      <c r="H406" s="810"/>
      <c r="I406" s="810"/>
      <c r="J406" s="810"/>
      <c r="K406" s="810"/>
      <c r="L406" s="810"/>
      <c r="M406" s="810"/>
      <c r="N406" s="810"/>
      <c r="O406" s="810"/>
      <c r="P406" s="810"/>
      <c r="Q406" s="810"/>
      <c r="R406" s="810"/>
      <c r="S406" s="1363" t="s">
        <v>2412</v>
      </c>
      <c r="T406" s="1363"/>
      <c r="U406" s="1363"/>
      <c r="V406" s="1363"/>
      <c r="W406" s="1363"/>
      <c r="X406" s="1363"/>
      <c r="Y406" s="1363"/>
      <c r="Z406" s="1363"/>
      <c r="AA406" s="1363"/>
      <c r="AB406" s="1363"/>
      <c r="AC406" s="1363"/>
      <c r="AD406" s="1363"/>
      <c r="AE406" s="1363"/>
      <c r="AF406" s="1363"/>
      <c r="AG406" s="1363"/>
      <c r="AH406" s="1363"/>
      <c r="AI406" s="1363"/>
      <c r="AJ406" s="1363"/>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46" t="s">
        <v>2413</v>
      </c>
      <c r="J411" s="1146"/>
      <c r="K411" s="1146"/>
      <c r="L411" s="1146"/>
      <c r="M411" s="1146"/>
      <c r="N411" s="1146"/>
      <c r="O411" s="1146"/>
      <c r="P411" s="1146"/>
      <c r="Q411" s="1146"/>
      <c r="R411" s="1146"/>
      <c r="S411" s="1146"/>
      <c r="T411" s="1146"/>
      <c r="U411" s="1146"/>
      <c r="V411" s="1146"/>
      <c r="W411" s="1146"/>
      <c r="X411" s="1146"/>
      <c r="Y411" s="1146"/>
      <c r="Z411" s="1146"/>
      <c r="AA411" s="1146"/>
      <c r="AB411" s="1146"/>
      <c r="AC411" s="1146"/>
      <c r="AD411" s="1146"/>
    </row>
    <row r="412" spans="1:36" ht="12.95" customHeight="1">
      <c r="C412"/>
      <c r="E412" t="s">
        <v>855</v>
      </c>
      <c r="R412" s="1141" t="s">
        <v>108</v>
      </c>
      <c r="S412" s="1141"/>
      <c r="T412" t="s">
        <v>291</v>
      </c>
      <c r="AD412" s="1144">
        <v>4</v>
      </c>
      <c r="AE412" s="1144"/>
    </row>
    <row r="413" spans="1:36" ht="12.95" customHeight="1">
      <c r="C413"/>
      <c r="E413" t="s">
        <v>856</v>
      </c>
      <c r="R413" s="1141" t="s">
        <v>124</v>
      </c>
      <c r="S413" s="1141"/>
      <c r="T413" t="s">
        <v>291</v>
      </c>
      <c r="AD413" s="1144">
        <v>0</v>
      </c>
      <c r="AE413" s="1144"/>
    </row>
    <row r="414" spans="1:36" ht="12.95" customHeight="1">
      <c r="C414"/>
      <c r="E414" t="s">
        <v>857</v>
      </c>
      <c r="S414" s="1141" t="s">
        <v>124</v>
      </c>
      <c r="T414" s="1141"/>
    </row>
    <row r="415" spans="1:36" ht="12.95" customHeight="1">
      <c r="C415"/>
      <c r="E415" t="s">
        <v>283</v>
      </c>
      <c r="H415" s="1142" t="s">
        <v>2414</v>
      </c>
      <c r="I415" s="1142"/>
      <c r="J415" s="1142"/>
      <c r="K415" s="1142"/>
      <c r="L415" s="1142"/>
      <c r="M415" s="1142"/>
      <c r="N415" s="1142"/>
      <c r="O415" s="1142"/>
      <c r="P415" s="1142"/>
      <c r="Q415" s="1142"/>
      <c r="R415" s="1142"/>
      <c r="S415" s="1142"/>
      <c r="T415" s="1142"/>
      <c r="U415" s="1142"/>
      <c r="V415" s="1142"/>
      <c r="W415" s="1142"/>
      <c r="X415" s="1142"/>
      <c r="Y415" s="1142"/>
      <c r="Z415" s="1142"/>
      <c r="AA415" s="1142"/>
      <c r="AB415" s="1142"/>
      <c r="AC415" s="1142"/>
      <c r="AD415" s="1142"/>
      <c r="AE415" s="1142"/>
      <c r="AF415" s="1142"/>
      <c r="AG415" s="1142"/>
      <c r="AH415" s="1142"/>
      <c r="AI415" s="1142"/>
      <c r="AJ415" s="1142"/>
    </row>
    <row r="416" spans="1:36" ht="12.95" customHeight="1">
      <c r="C416"/>
      <c r="H416" s="1143"/>
      <c r="I416" s="1143"/>
      <c r="J416" s="1143"/>
      <c r="K416" s="1143"/>
      <c r="L416" s="1143"/>
      <c r="M416" s="1143"/>
      <c r="N416" s="1143"/>
      <c r="O416" s="1143"/>
      <c r="P416" s="1143"/>
      <c r="Q416" s="1143"/>
      <c r="R416" s="1143"/>
      <c r="S416" s="1143"/>
      <c r="T416" s="1143"/>
      <c r="U416" s="1143"/>
      <c r="V416" s="1143"/>
      <c r="W416" s="1143"/>
      <c r="X416" s="1143"/>
      <c r="Y416" s="1143"/>
      <c r="Z416" s="1143"/>
      <c r="AA416" s="1143"/>
      <c r="AB416" s="1143"/>
      <c r="AC416" s="1143"/>
      <c r="AD416" s="1143"/>
      <c r="AE416" s="1143"/>
      <c r="AF416" s="1143"/>
      <c r="AG416" s="1143"/>
      <c r="AH416" s="1143"/>
      <c r="AI416" s="1143"/>
      <c r="AJ416" s="1143"/>
    </row>
    <row r="417" spans="1:36" ht="12.95" customHeight="1">
      <c r="C417"/>
    </row>
    <row r="418" spans="1:36" ht="12.95" customHeight="1">
      <c r="A418" s="3" t="s">
        <v>123</v>
      </c>
      <c r="B418" s="3"/>
      <c r="C418" s="3"/>
      <c r="D418" s="3" t="s">
        <v>902</v>
      </c>
      <c r="AE418" s="5"/>
      <c r="AF418" s="3" t="s">
        <v>1214</v>
      </c>
    </row>
    <row r="419" spans="1:36" ht="12.95" customHeight="1">
      <c r="C419"/>
      <c r="E419" s="1329"/>
      <c r="F419" s="1329"/>
      <c r="G419" s="1329"/>
      <c r="H419" s="18" t="s">
        <v>903</v>
      </c>
      <c r="I419" s="1329"/>
      <c r="J419" s="1329"/>
      <c r="K419" s="1329"/>
      <c r="L419" t="s">
        <v>904</v>
      </c>
      <c r="N419" s="34" t="s">
        <v>851</v>
      </c>
      <c r="P419" s="1354">
        <v>0.33</v>
      </c>
      <c r="Q419" s="1354"/>
      <c r="R419" s="1354"/>
      <c r="S419" t="s">
        <v>905</v>
      </c>
      <c r="W419" s="1355">
        <f>IF(E419&gt;0,(E419*I419),(P419*43560))</f>
        <v>14374.800000000001</v>
      </c>
      <c r="X419" s="1355"/>
      <c r="Y419" s="1355"/>
      <c r="Z419" t="s">
        <v>906</v>
      </c>
      <c r="AF419" s="1368" cm="1">
        <f t="array" ref="AF419">_xlfn.IFS(P419&gt;0,(AG438/P419),W419&gt;0,(AG438/(W419/43560)),TRUE,0)</f>
        <v>139.39393939393938</v>
      </c>
      <c r="AG419" s="1368"/>
      <c r="AH419" s="1368"/>
    </row>
    <row r="420" spans="1:36" ht="12.95" customHeight="1">
      <c r="C420"/>
      <c r="E420" t="s">
        <v>203</v>
      </c>
    </row>
    <row r="421" spans="1:36" ht="12.95" customHeight="1">
      <c r="C421"/>
      <c r="E421" s="1310"/>
      <c r="F421" s="1310"/>
      <c r="G421" s="1310"/>
      <c r="H421" s="1310"/>
      <c r="I421" s="1310"/>
      <c r="J421" s="1310"/>
      <c r="K421" s="1310"/>
      <c r="L421" s="1310"/>
      <c r="M421" s="1310"/>
      <c r="N421" s="1310"/>
      <c r="O421" s="1310"/>
      <c r="P421" s="1310"/>
      <c r="Q421" s="1310"/>
      <c r="R421" s="1310"/>
      <c r="S421" s="1310"/>
      <c r="T421" s="1310"/>
      <c r="U421" s="1310"/>
      <c r="V421" s="1310"/>
      <c r="W421" s="1310"/>
      <c r="X421" s="1310"/>
      <c r="Y421" s="1310"/>
      <c r="Z421" s="1310"/>
      <c r="AA421" s="1310"/>
      <c r="AB421" s="1310"/>
      <c r="AC421" s="1310"/>
      <c r="AD421" s="1310"/>
      <c r="AE421" s="1310"/>
      <c r="AF421" s="1310"/>
      <c r="AG421" s="1310"/>
      <c r="AH421" s="1310"/>
      <c r="AI421" s="1310"/>
      <c r="AJ421" s="1310"/>
    </row>
    <row r="422" spans="1:36" ht="12.95" customHeight="1">
      <c r="C422"/>
      <c r="E422" s="268" t="s">
        <v>1967</v>
      </c>
      <c r="F422" s="29"/>
      <c r="G422" s="29"/>
      <c r="H422" s="29"/>
      <c r="I422" s="1304">
        <v>0.32800000000000001</v>
      </c>
      <c r="J422" s="1304"/>
      <c r="K422" s="1304"/>
      <c r="L422" s="29"/>
      <c r="M422" s="268"/>
      <c r="N422" s="29"/>
      <c r="O422" s="29"/>
      <c r="P422" s="1328">
        <f>(CQ636+CS641+CQ655)/I422</f>
        <v>140.2439024390244</v>
      </c>
      <c r="Q422" s="1328"/>
      <c r="R422" s="1328"/>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41">
        <v>1</v>
      </c>
      <c r="Q425" s="1141"/>
      <c r="S425" t="s">
        <v>134</v>
      </c>
      <c r="AE425" s="1141">
        <v>1</v>
      </c>
      <c r="AF425" s="1141"/>
    </row>
    <row r="426" spans="1:36" ht="12.95" customHeight="1">
      <c r="C426"/>
      <c r="E426" t="s">
        <v>135</v>
      </c>
      <c r="P426" s="1141">
        <v>0</v>
      </c>
      <c r="Q426" s="1141"/>
      <c r="S426" t="s">
        <v>726</v>
      </c>
      <c r="AE426" s="1141" t="s">
        <v>124</v>
      </c>
      <c r="AF426" s="1141"/>
    </row>
    <row r="427" spans="1:36" ht="12.95" customHeight="1">
      <c r="C427"/>
      <c r="F427" s="36" t="s">
        <v>221</v>
      </c>
    </row>
    <row r="428" spans="1:36" ht="12.95" customHeight="1">
      <c r="C428"/>
      <c r="F428" s="1302"/>
      <c r="G428" s="1302"/>
      <c r="H428" s="1302"/>
      <c r="I428" s="1302"/>
      <c r="J428" s="1302"/>
      <c r="K428" s="1302"/>
      <c r="L428" s="1302"/>
      <c r="M428" s="1302"/>
      <c r="N428" s="1302"/>
      <c r="O428" s="1302"/>
      <c r="P428" s="1302"/>
      <c r="Q428" s="1302"/>
      <c r="R428" s="1302"/>
      <c r="S428" s="1302"/>
      <c r="T428" s="1302"/>
      <c r="U428" s="1302"/>
      <c r="V428" s="1302"/>
      <c r="W428" s="1302"/>
      <c r="X428" s="1302"/>
      <c r="Y428" s="1302"/>
      <c r="Z428" s="1302"/>
      <c r="AA428" s="1302"/>
      <c r="AB428" s="1302"/>
      <c r="AC428" s="1302"/>
      <c r="AD428" s="1302"/>
      <c r="AE428" s="1302"/>
      <c r="AF428" s="1302"/>
      <c r="AG428" s="1302"/>
      <c r="AH428" s="1302"/>
    </row>
    <row r="429" spans="1:36" ht="12.95" customHeight="1">
      <c r="C429"/>
      <c r="F429" s="1303"/>
      <c r="G429" s="1303"/>
      <c r="H429" s="1303"/>
      <c r="I429" s="1303"/>
      <c r="J429" s="1303"/>
      <c r="K429" s="1303"/>
      <c r="L429" s="1303"/>
      <c r="M429" s="1303"/>
      <c r="N429" s="1303"/>
      <c r="O429" s="1303"/>
      <c r="P429" s="1303"/>
      <c r="Q429" s="1303"/>
      <c r="R429" s="1303"/>
      <c r="S429" s="1303"/>
      <c r="T429" s="1303"/>
      <c r="U429" s="1303"/>
      <c r="V429" s="1303"/>
      <c r="W429" s="1303"/>
      <c r="X429" s="1303"/>
      <c r="Y429" s="1303"/>
      <c r="Z429" s="1303"/>
      <c r="AA429" s="1303"/>
      <c r="AB429" s="1303"/>
      <c r="AC429" s="1303"/>
      <c r="AD429" s="1303"/>
      <c r="AE429" s="1303"/>
      <c r="AF429" s="1303"/>
      <c r="AG429" s="1303"/>
      <c r="AH429" s="1303"/>
    </row>
    <row r="430" spans="1:36" ht="12.95" customHeight="1">
      <c r="C430"/>
      <c r="E430" t="s">
        <v>858</v>
      </c>
      <c r="P430" s="1"/>
      <c r="Q430" s="1141" t="s">
        <v>108</v>
      </c>
      <c r="R430" s="1141"/>
      <c r="AE430" s="1"/>
      <c r="AF430" s="1"/>
    </row>
    <row r="431" spans="1:36" ht="12.95" customHeight="1">
      <c r="C431"/>
      <c r="F431" t="s">
        <v>859</v>
      </c>
      <c r="P431" s="1"/>
      <c r="Q431" s="1"/>
      <c r="AE431" s="1141" t="s">
        <v>124</v>
      </c>
      <c r="AF431" s="1401"/>
    </row>
    <row r="432" spans="1:36" ht="12.95" customHeight="1">
      <c r="C432"/>
    </row>
    <row r="433" spans="1:36" ht="12.95" customHeight="1">
      <c r="A433" s="3"/>
      <c r="B433" s="3"/>
      <c r="C433" s="3"/>
      <c r="E433" s="5" t="s">
        <v>80</v>
      </c>
      <c r="Z433" s="1141" t="s">
        <v>482</v>
      </c>
      <c r="AA433" s="1141"/>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41" t="s">
        <v>124</v>
      </c>
      <c r="AA435" s="1141"/>
    </row>
    <row r="436" spans="1:36" ht="12.95" customHeight="1">
      <c r="C436"/>
    </row>
    <row r="437" spans="1:36" ht="12.95" customHeight="1">
      <c r="A437" s="3" t="s">
        <v>367</v>
      </c>
      <c r="B437" s="3"/>
      <c r="C437" s="3"/>
      <c r="D437" s="3" t="s">
        <v>172</v>
      </c>
      <c r="AF437" s="54"/>
    </row>
    <row r="438" spans="1:36" ht="12.95" customHeight="1">
      <c r="C438"/>
      <c r="D438" s="1307" t="s">
        <v>356</v>
      </c>
      <c r="E438" s="1308"/>
      <c r="F438" s="1308"/>
      <c r="G438" s="1308"/>
      <c r="H438" s="1308"/>
      <c r="I438" s="1308"/>
      <c r="J438" s="1308"/>
      <c r="K438" s="1308"/>
      <c r="L438" s="1308"/>
      <c r="M438" s="1308"/>
      <c r="N438" s="1308"/>
      <c r="O438" s="1308"/>
      <c r="P438" s="1308"/>
      <c r="Q438" s="1308"/>
      <c r="R438" s="1308"/>
      <c r="S438" s="1308"/>
      <c r="T438" s="1308"/>
      <c r="U438" s="1308"/>
      <c r="V438" s="1308"/>
      <c r="W438" s="1308"/>
      <c r="X438" s="1308"/>
      <c r="Y438" s="1308"/>
      <c r="Z438" s="1308"/>
      <c r="AA438" s="1308"/>
      <c r="AB438" s="1308"/>
      <c r="AC438" s="1308"/>
      <c r="AD438" s="1308"/>
      <c r="AE438" s="1308"/>
      <c r="AF438" s="1309"/>
      <c r="AG438" s="1134">
        <v>46</v>
      </c>
      <c r="AH438" s="1134"/>
      <c r="AI438" s="1134"/>
      <c r="AJ438" s="1134"/>
    </row>
    <row r="439" spans="1:36" ht="12.95" customHeight="1">
      <c r="C439"/>
      <c r="D439" s="1325" t="s">
        <v>2255</v>
      </c>
      <c r="E439" s="1136"/>
      <c r="F439" s="1136"/>
      <c r="G439" s="1136"/>
      <c r="H439" s="1136"/>
      <c r="I439" s="1136"/>
      <c r="J439" s="1136"/>
      <c r="K439" s="1136"/>
      <c r="L439" s="1136"/>
      <c r="M439" s="1136"/>
      <c r="N439" s="1136"/>
      <c r="O439" s="1136"/>
      <c r="P439" s="1136"/>
      <c r="Q439" s="1136"/>
      <c r="R439" s="1136"/>
      <c r="S439" s="1136"/>
      <c r="T439" s="1136"/>
      <c r="U439" s="1136"/>
      <c r="V439" s="1136"/>
      <c r="W439" s="1136"/>
      <c r="X439" s="1136"/>
      <c r="Y439" s="1136"/>
      <c r="Z439" s="1136"/>
      <c r="AA439" s="1136"/>
      <c r="AB439" s="1136"/>
      <c r="AC439" s="1136"/>
      <c r="AD439" s="1136"/>
      <c r="AE439" s="1136"/>
      <c r="AF439" s="1137"/>
      <c r="AG439" s="1356">
        <v>0</v>
      </c>
      <c r="AH439" s="1357"/>
      <c r="AI439" s="1357"/>
      <c r="AJ439" s="1357"/>
    </row>
    <row r="440" spans="1:36" ht="12.95" customHeight="1">
      <c r="C440"/>
      <c r="D440" s="1135" t="s">
        <v>1368</v>
      </c>
      <c r="E440" s="1136"/>
      <c r="F440" s="1136"/>
      <c r="G440" s="1136"/>
      <c r="H440" s="1136"/>
      <c r="I440" s="1136"/>
      <c r="J440" s="1136"/>
      <c r="K440" s="1136"/>
      <c r="L440" s="1136"/>
      <c r="M440" s="1136"/>
      <c r="N440" s="1136"/>
      <c r="O440" s="1136"/>
      <c r="P440" s="1136"/>
      <c r="Q440" s="1136"/>
      <c r="R440" s="1136"/>
      <c r="S440" s="1136"/>
      <c r="T440" s="1136"/>
      <c r="U440" s="1136"/>
      <c r="V440" s="1136"/>
      <c r="W440" s="1136"/>
      <c r="X440" s="1136"/>
      <c r="Y440" s="1136"/>
      <c r="Z440" s="1136"/>
      <c r="AA440" s="1136"/>
      <c r="AB440" s="1136"/>
      <c r="AC440" s="1136"/>
      <c r="AD440" s="1136"/>
      <c r="AE440" s="1136"/>
      <c r="AF440" s="1137"/>
      <c r="AG440" s="1134">
        <v>46</v>
      </c>
      <c r="AH440" s="1134"/>
      <c r="AI440" s="1134"/>
      <c r="AJ440" s="1134"/>
    </row>
    <row r="441" spans="1:36" ht="12.95" customHeight="1">
      <c r="C441"/>
      <c r="D441" s="1135" t="s">
        <v>1365</v>
      </c>
      <c r="E441" s="1136"/>
      <c r="F441" s="1136"/>
      <c r="G441" s="1136"/>
      <c r="H441" s="1136"/>
      <c r="I441" s="1136"/>
      <c r="J441" s="1136"/>
      <c r="K441" s="1136"/>
      <c r="L441" s="1136"/>
      <c r="M441" s="1136"/>
      <c r="N441" s="1136"/>
      <c r="O441" s="1136"/>
      <c r="P441" s="1136"/>
      <c r="Q441" s="1136"/>
      <c r="R441" s="1136"/>
      <c r="S441" s="1136"/>
      <c r="T441" s="1136"/>
      <c r="U441" s="1136"/>
      <c r="V441" s="1136"/>
      <c r="W441" s="1136"/>
      <c r="X441" s="1136"/>
      <c r="Y441" s="1136"/>
      <c r="Z441" s="1136"/>
      <c r="AA441" s="1136"/>
      <c r="AB441" s="1136"/>
      <c r="AC441" s="1136"/>
      <c r="AD441" s="1136"/>
      <c r="AE441" s="1136"/>
      <c r="AF441" s="1137"/>
      <c r="AG441" s="1134">
        <v>46</v>
      </c>
      <c r="AH441" s="1134"/>
      <c r="AI441" s="1134"/>
      <c r="AJ441" s="1134"/>
    </row>
    <row r="442" spans="1:36" ht="12.95" customHeight="1">
      <c r="C442"/>
      <c r="D442" s="1135" t="s">
        <v>1369</v>
      </c>
      <c r="E442" s="1136"/>
      <c r="F442" s="1136"/>
      <c r="G442" s="1136"/>
      <c r="H442" s="1136"/>
      <c r="I442" s="1136"/>
      <c r="J442" s="1136"/>
      <c r="K442" s="1136"/>
      <c r="L442" s="1136"/>
      <c r="M442" s="1136"/>
      <c r="N442" s="1136"/>
      <c r="O442" s="1136"/>
      <c r="P442" s="1136"/>
      <c r="Q442" s="1136"/>
      <c r="R442" s="1136"/>
      <c r="S442" s="1136"/>
      <c r="T442" s="1136"/>
      <c r="U442" s="1136"/>
      <c r="V442" s="1136"/>
      <c r="W442" s="1136"/>
      <c r="X442" s="1136"/>
      <c r="Y442" s="1136"/>
      <c r="Z442" s="1136"/>
      <c r="AA442" s="1136"/>
      <c r="AB442" s="1136"/>
      <c r="AC442" s="1136"/>
      <c r="AD442" s="1136"/>
      <c r="AE442" s="1136"/>
      <c r="AF442" s="1137"/>
      <c r="AG442" s="1353">
        <f>IF(ISERROR(AG441/AG440),"",AG441/AG440)</f>
        <v>1</v>
      </c>
      <c r="AH442" s="1353"/>
      <c r="AI442" s="1353"/>
      <c r="AJ442" s="1353"/>
    </row>
    <row r="443" spans="1:36" ht="12.95" customHeight="1">
      <c r="C443"/>
      <c r="D443" s="1135" t="s">
        <v>1367</v>
      </c>
      <c r="E443" s="1136"/>
      <c r="F443" s="1136"/>
      <c r="G443" s="1136"/>
      <c r="H443" s="1136"/>
      <c r="I443" s="1136"/>
      <c r="J443" s="1136"/>
      <c r="K443" s="1136"/>
      <c r="L443" s="1136"/>
      <c r="M443" s="1136"/>
      <c r="N443" s="1136"/>
      <c r="O443" s="1136"/>
      <c r="P443" s="1136"/>
      <c r="Q443" s="1136"/>
      <c r="R443" s="1136"/>
      <c r="S443" s="1136"/>
      <c r="T443" s="1136"/>
      <c r="U443" s="1136"/>
      <c r="V443" s="1136"/>
      <c r="W443" s="1136"/>
      <c r="X443" s="1136"/>
      <c r="Y443" s="1136"/>
      <c r="Z443" s="1136"/>
      <c r="AA443" s="1136"/>
      <c r="AB443" s="1136"/>
      <c r="AC443" s="1136"/>
      <c r="AD443" s="1136"/>
      <c r="AE443" s="1136"/>
      <c r="AF443" s="1137"/>
      <c r="AG443" s="1145">
        <v>22738</v>
      </c>
      <c r="AH443" s="1145"/>
      <c r="AI443" s="1145"/>
      <c r="AJ443" s="1145"/>
    </row>
    <row r="444" spans="1:36" ht="12.95" customHeight="1">
      <c r="C444"/>
      <c r="D444" s="1135" t="s">
        <v>1366</v>
      </c>
      <c r="E444" s="1136"/>
      <c r="F444" s="1136"/>
      <c r="G444" s="1136"/>
      <c r="H444" s="1136"/>
      <c r="I444" s="1136"/>
      <c r="J444" s="1136"/>
      <c r="K444" s="1136"/>
      <c r="L444" s="1136"/>
      <c r="M444" s="1136"/>
      <c r="N444" s="1136"/>
      <c r="O444" s="1136"/>
      <c r="P444" s="1136"/>
      <c r="Q444" s="1136"/>
      <c r="R444" s="1136"/>
      <c r="S444" s="1136"/>
      <c r="T444" s="1136"/>
      <c r="U444" s="1136"/>
      <c r="V444" s="1136"/>
      <c r="W444" s="1136"/>
      <c r="X444" s="1136"/>
      <c r="Y444" s="1136"/>
      <c r="Z444" s="1136"/>
      <c r="AA444" s="1136"/>
      <c r="AB444" s="1136"/>
      <c r="AC444" s="1136"/>
      <c r="AD444" s="1136"/>
      <c r="AE444" s="1136"/>
      <c r="AF444" s="1137"/>
      <c r="AG444" s="1145">
        <v>22738</v>
      </c>
      <c r="AH444" s="1145"/>
      <c r="AI444" s="1145"/>
      <c r="AJ444" s="1145"/>
    </row>
    <row r="445" spans="1:36" ht="12.95" customHeight="1">
      <c r="C445"/>
      <c r="D445" s="1135" t="s">
        <v>1372</v>
      </c>
      <c r="E445" s="1136"/>
      <c r="F445" s="1136"/>
      <c r="G445" s="1136"/>
      <c r="H445" s="1136"/>
      <c r="I445" s="1136"/>
      <c r="J445" s="1136"/>
      <c r="K445" s="1136"/>
      <c r="L445" s="1136"/>
      <c r="M445" s="1136"/>
      <c r="N445" s="1136"/>
      <c r="O445" s="1136"/>
      <c r="P445" s="1136"/>
      <c r="Q445" s="1136"/>
      <c r="R445" s="1136"/>
      <c r="S445" s="1136"/>
      <c r="T445" s="1136"/>
      <c r="U445" s="1136"/>
      <c r="V445" s="1136"/>
      <c r="W445" s="1136"/>
      <c r="X445" s="1136"/>
      <c r="Y445" s="1136"/>
      <c r="Z445" s="1136"/>
      <c r="AA445" s="1136"/>
      <c r="AB445" s="1136"/>
      <c r="AC445" s="1136"/>
      <c r="AD445" s="1136"/>
      <c r="AE445" s="1136"/>
      <c r="AF445" s="1137"/>
      <c r="AG445" s="1353">
        <f>IF(ISERROR(AG444/AG443),"",AG444/AG443)</f>
        <v>1</v>
      </c>
      <c r="AH445" s="1353"/>
      <c r="AI445" s="1353"/>
      <c r="AJ445" s="1353"/>
    </row>
    <row r="446" spans="1:36" ht="12.95" customHeight="1">
      <c r="C446"/>
      <c r="D446" s="1135" t="s">
        <v>1370</v>
      </c>
      <c r="E446" s="1136"/>
      <c r="F446" s="1136"/>
      <c r="G446" s="1136"/>
      <c r="H446" s="1136"/>
      <c r="I446" s="1136"/>
      <c r="J446" s="1136"/>
      <c r="K446" s="1136"/>
      <c r="L446" s="1136"/>
      <c r="M446" s="1136"/>
      <c r="N446" s="1136"/>
      <c r="O446" s="1136"/>
      <c r="P446" s="1136"/>
      <c r="Q446" s="1136"/>
      <c r="R446" s="1136"/>
      <c r="S446" s="1136"/>
      <c r="T446" s="1136"/>
      <c r="U446" s="1136"/>
      <c r="V446" s="1136"/>
      <c r="W446" s="1136"/>
      <c r="X446" s="1136"/>
      <c r="Y446" s="1136"/>
      <c r="Z446" s="1136"/>
      <c r="AA446" s="1136"/>
      <c r="AB446" s="1136"/>
      <c r="AC446" s="1136"/>
      <c r="AD446" s="1136"/>
      <c r="AE446" s="1136"/>
      <c r="AF446" s="1137"/>
      <c r="AG446" s="1353">
        <f>MIN(IF(AG442&gt;AG445,AG445,AG442),1)</f>
        <v>1</v>
      </c>
      <c r="AH446" s="1353"/>
      <c r="AI446" s="1353"/>
      <c r="AJ446" s="1353"/>
    </row>
    <row r="447" spans="1:36" ht="12.95" customHeight="1">
      <c r="C447"/>
      <c r="D447" s="1325" t="s">
        <v>2097</v>
      </c>
      <c r="E447" s="1308"/>
      <c r="F447" s="1308"/>
      <c r="G447" s="1308"/>
      <c r="H447" s="1308"/>
      <c r="I447" s="1308"/>
      <c r="J447" s="1308"/>
      <c r="K447" s="1308"/>
      <c r="L447" s="1308"/>
      <c r="M447" s="1308"/>
      <c r="N447" s="1308"/>
      <c r="O447" s="1308"/>
      <c r="P447" s="1308"/>
      <c r="Q447" s="1308"/>
      <c r="R447" s="1308"/>
      <c r="S447" s="1308"/>
      <c r="T447" s="1308"/>
      <c r="U447" s="1308"/>
      <c r="V447" s="1308"/>
      <c r="W447" s="1308"/>
      <c r="X447" s="1308"/>
      <c r="Y447" s="1308"/>
      <c r="Z447" s="1308"/>
      <c r="AA447" s="1308"/>
      <c r="AB447" s="1308"/>
      <c r="AC447" s="1308"/>
      <c r="AD447" s="1308"/>
      <c r="AE447" s="1308"/>
      <c r="AF447" s="1309"/>
      <c r="AG447" s="1145">
        <v>1807</v>
      </c>
      <c r="AH447" s="1145"/>
      <c r="AI447" s="1145"/>
      <c r="AJ447" s="1145"/>
    </row>
    <row r="448" spans="1:36" ht="12.95" customHeight="1">
      <c r="C448"/>
      <c r="D448" s="1135" t="s">
        <v>208</v>
      </c>
      <c r="E448" s="1136"/>
      <c r="F448" s="1136"/>
      <c r="G448" s="1136"/>
      <c r="H448" s="1136"/>
      <c r="I448" s="1136"/>
      <c r="J448" s="1136"/>
      <c r="K448" s="1136"/>
      <c r="L448" s="1136"/>
      <c r="M448" s="1136"/>
      <c r="N448" s="1136"/>
      <c r="O448" s="1136"/>
      <c r="P448" s="1136"/>
      <c r="Q448" s="1136"/>
      <c r="R448" s="1136"/>
      <c r="S448" s="1136"/>
      <c r="T448" s="1136"/>
      <c r="U448" s="1136"/>
      <c r="V448" s="1136"/>
      <c r="W448" s="1136"/>
      <c r="X448" s="1136"/>
      <c r="Y448" s="1136"/>
      <c r="Z448" s="1136"/>
      <c r="AA448" s="1136"/>
      <c r="AB448" s="1136"/>
      <c r="AC448" s="1136"/>
      <c r="AD448" s="1136"/>
      <c r="AE448" s="1136"/>
      <c r="AF448" s="1137"/>
      <c r="AG448" s="1145">
        <v>0</v>
      </c>
      <c r="AH448" s="1145"/>
      <c r="AI448" s="1145"/>
      <c r="AJ448" s="1145"/>
    </row>
    <row r="449" spans="1:36" ht="12.95" customHeight="1">
      <c r="C449"/>
      <c r="D449" s="1325" t="s">
        <v>1728</v>
      </c>
      <c r="E449" s="1136"/>
      <c r="F449" s="1136"/>
      <c r="G449" s="1136"/>
      <c r="H449" s="1136"/>
      <c r="I449" s="1136"/>
      <c r="J449" s="1136"/>
      <c r="K449" s="1136"/>
      <c r="L449" s="1136"/>
      <c r="M449" s="1136"/>
      <c r="N449" s="1136"/>
      <c r="O449" s="1136"/>
      <c r="P449" s="1136"/>
      <c r="Q449" s="1136"/>
      <c r="R449" s="1136"/>
      <c r="S449" s="1136"/>
      <c r="T449" s="1136"/>
      <c r="U449" s="1136"/>
      <c r="V449" s="1136"/>
      <c r="W449" s="1136"/>
      <c r="X449" s="1136"/>
      <c r="Y449" s="1136"/>
      <c r="Z449" s="1136"/>
      <c r="AA449" s="1136"/>
      <c r="AB449" s="1136"/>
      <c r="AC449" s="1136"/>
      <c r="AD449" s="1136"/>
      <c r="AE449" s="1136"/>
      <c r="AF449" s="1137"/>
      <c r="AG449" s="1145">
        <v>8123</v>
      </c>
      <c r="AH449" s="1145"/>
      <c r="AI449" s="1145"/>
      <c r="AJ449" s="1145"/>
    </row>
    <row r="450" spans="1:36" ht="12.95" customHeight="1">
      <c r="C450"/>
      <c r="D450" s="1135" t="s">
        <v>1371</v>
      </c>
      <c r="E450" s="1136"/>
      <c r="F450" s="1136"/>
      <c r="G450" s="1136"/>
      <c r="H450" s="1136"/>
      <c r="I450" s="1136"/>
      <c r="J450" s="1136"/>
      <c r="K450" s="1136"/>
      <c r="L450" s="1136"/>
      <c r="M450" s="1136"/>
      <c r="N450" s="1136"/>
      <c r="O450" s="1136"/>
      <c r="P450" s="1136"/>
      <c r="Q450" s="1136"/>
      <c r="R450" s="1136"/>
      <c r="S450" s="1136"/>
      <c r="T450" s="1136"/>
      <c r="U450" s="1136"/>
      <c r="V450" s="1136"/>
      <c r="W450" s="1136"/>
      <c r="X450" s="1136"/>
      <c r="Y450" s="1136"/>
      <c r="Z450" s="1136"/>
      <c r="AA450" s="1136"/>
      <c r="AB450" s="1136"/>
      <c r="AC450" s="1136"/>
      <c r="AD450" s="1136"/>
      <c r="AE450" s="1136"/>
      <c r="AF450" s="1137"/>
      <c r="AG450" s="1145">
        <v>0</v>
      </c>
      <c r="AH450" s="1145"/>
      <c r="AI450" s="1145"/>
      <c r="AJ450" s="1145"/>
    </row>
    <row r="451" spans="1:36" ht="12.95" customHeight="1">
      <c r="C451"/>
      <c r="D451" s="1135" t="s">
        <v>1373</v>
      </c>
      <c r="E451" s="1136"/>
      <c r="F451" s="1136"/>
      <c r="G451" s="1136"/>
      <c r="H451" s="1136"/>
      <c r="I451" s="1136"/>
      <c r="J451" s="1136"/>
      <c r="K451" s="1136"/>
      <c r="L451" s="1136"/>
      <c r="M451" s="1136"/>
      <c r="N451" s="1136"/>
      <c r="O451" s="1136"/>
      <c r="P451" s="1136"/>
      <c r="Q451" s="1136"/>
      <c r="R451" s="1136"/>
      <c r="S451" s="1136"/>
      <c r="T451" s="1136"/>
      <c r="U451" s="1136"/>
      <c r="V451" s="1136"/>
      <c r="W451" s="1136"/>
      <c r="X451" s="1136"/>
      <c r="Y451" s="1136"/>
      <c r="Z451" s="1136"/>
      <c r="AA451" s="1136"/>
      <c r="AB451" s="1136"/>
      <c r="AC451" s="1136"/>
      <c r="AD451" s="1136"/>
      <c r="AE451" s="1136"/>
      <c r="AF451" s="1137"/>
      <c r="AG451" s="1579">
        <f>AG443+AG447+AG449+AG450</f>
        <v>32668</v>
      </c>
      <c r="AH451" s="1579"/>
      <c r="AI451" s="1579"/>
      <c r="AJ451" s="1579"/>
    </row>
    <row r="452" spans="1:36" ht="12.95" customHeight="1">
      <c r="C452"/>
      <c r="D452" s="1305" t="s">
        <v>1729</v>
      </c>
      <c r="E452" s="1305"/>
      <c r="F452" s="1305"/>
      <c r="G452" s="1305"/>
      <c r="H452" s="1305"/>
      <c r="I452" s="1305"/>
      <c r="J452" s="1305"/>
      <c r="K452" s="1305"/>
      <c r="L452" s="1305"/>
      <c r="M452" s="1305"/>
      <c r="N452" s="1305"/>
      <c r="O452" s="1305"/>
      <c r="P452" s="1305"/>
      <c r="Q452" s="1305"/>
      <c r="R452" s="1305"/>
      <c r="S452" s="1305"/>
      <c r="T452" s="1305"/>
      <c r="U452" s="1305"/>
      <c r="V452" s="1305"/>
      <c r="W452" s="1305"/>
      <c r="X452" s="1305"/>
      <c r="Y452" s="1305"/>
      <c r="Z452" s="1305"/>
      <c r="AA452" s="1305"/>
      <c r="AB452" s="1305"/>
      <c r="AC452" s="1305"/>
      <c r="AD452" s="1305"/>
      <c r="AE452" s="1305"/>
      <c r="AF452" s="1305"/>
      <c r="AG452" s="1305"/>
      <c r="AH452" s="1305"/>
      <c r="AI452" s="1305"/>
      <c r="AJ452" s="1305"/>
    </row>
    <row r="453" spans="1:36" ht="12.95" customHeight="1">
      <c r="C453"/>
      <c r="D453" s="1306"/>
      <c r="E453" s="1306"/>
      <c r="F453" s="1306"/>
      <c r="G453" s="1306"/>
      <c r="H453" s="1306"/>
      <c r="I453" s="1306"/>
      <c r="J453" s="1306"/>
      <c r="K453" s="1306"/>
      <c r="L453" s="1306"/>
      <c r="M453" s="1306"/>
      <c r="N453" s="1306"/>
      <c r="O453" s="1306"/>
      <c r="P453" s="1306"/>
      <c r="Q453" s="1306"/>
      <c r="R453" s="1306"/>
      <c r="S453" s="1306"/>
      <c r="T453" s="1306"/>
      <c r="U453" s="1306"/>
      <c r="V453" s="1306"/>
      <c r="W453" s="1306"/>
      <c r="X453" s="1306"/>
      <c r="Y453" s="1306"/>
      <c r="Z453" s="1306"/>
      <c r="AA453" s="1306"/>
      <c r="AB453" s="1306"/>
      <c r="AC453" s="1306"/>
      <c r="AD453" s="1306"/>
      <c r="AE453" s="1306"/>
      <c r="AF453" s="1306"/>
      <c r="AG453" s="1306"/>
      <c r="AH453" s="1306"/>
      <c r="AI453" s="1306"/>
      <c r="AJ453" s="1306"/>
    </row>
    <row r="454" spans="1:36" ht="12.95" customHeight="1">
      <c r="C454"/>
      <c r="D454" s="1568"/>
      <c r="E454" s="1568"/>
      <c r="F454" s="1568"/>
      <c r="G454" s="1568"/>
      <c r="H454" s="1568"/>
      <c r="I454" s="1568"/>
      <c r="J454" s="1568"/>
      <c r="K454" s="1568"/>
      <c r="L454" s="1568"/>
      <c r="M454" s="1568"/>
      <c r="N454" s="1568"/>
      <c r="O454" s="1568"/>
      <c r="P454" s="1568"/>
      <c r="Q454" s="1568"/>
      <c r="R454" s="1568"/>
      <c r="S454" s="1568"/>
      <c r="T454" s="1568"/>
      <c r="U454" s="1568"/>
      <c r="V454" s="1568"/>
      <c r="W454" s="1568"/>
      <c r="X454" s="1568"/>
      <c r="Y454" s="1568"/>
      <c r="Z454" s="1568"/>
      <c r="AA454" s="1568"/>
      <c r="AB454" s="1568"/>
      <c r="AC454" s="1568"/>
      <c r="AD454" s="1568"/>
      <c r="AE454" s="1568"/>
      <c r="AF454" s="1568"/>
      <c r="AG454" s="1568"/>
      <c r="AH454" s="1568"/>
      <c r="AI454" s="1568"/>
      <c r="AJ454" s="1568"/>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11">
        <f ca="1">IF(AG438=0,"",'Sources and Uses Budget'!B104/Application!AG438)</f>
        <v>906163.04347826086</v>
      </c>
      <c r="AD455" s="1311"/>
      <c r="AE455" s="1311"/>
      <c r="AF455" s="1311"/>
      <c r="AG455" s="1364"/>
      <c r="AH455" s="1364"/>
      <c r="AI455" s="1364"/>
      <c r="AJ455" s="136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11">
        <f ca="1">IF(AG438=0,"",'Sources and Uses Budget'!C104/Application!AG438)</f>
        <v>906163.04347826086</v>
      </c>
      <c r="AD456" s="1311"/>
      <c r="AE456" s="1311"/>
      <c r="AF456" s="1311"/>
      <c r="AG456" s="1364"/>
      <c r="AH456" s="1364"/>
      <c r="AI456" s="1364"/>
      <c r="AJ456" s="136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11">
        <f ca="1">IF(AG438=0,"",('Sources and Uses Budget'!S106+'Sources and Uses Budget'!T106)/Application!AG438)</f>
        <v>819957.95652173914</v>
      </c>
      <c r="AD457" s="1311"/>
      <c r="AE457" s="1311"/>
      <c r="AF457" s="1311"/>
      <c r="AG457" s="359"/>
      <c r="AH457" s="359"/>
      <c r="AI457" s="359"/>
      <c r="AJ457" s="359"/>
    </row>
    <row r="458" spans="1:36" ht="12.95" customHeight="1">
      <c r="C458"/>
      <c r="D458" s="370"/>
      <c r="E458" s="305"/>
      <c r="F458" s="1133" t="str">
        <f ca="1">IF(AG438=0,"",IF(AC455&gt;650000,"Please provide a justification of cost per unit in Tab 12 for all projects with per unit costs of greater than $650,000.",""))</f>
        <v>Please provide a justification of cost per unit in Tab 12 for all projects with per unit costs of greater than $650,000.</v>
      </c>
      <c r="G458" s="1133"/>
      <c r="H458" s="1133"/>
      <c r="I458" s="1133"/>
      <c r="J458" s="1133"/>
      <c r="K458" s="1133"/>
      <c r="L458" s="1133"/>
      <c r="M458" s="1133"/>
      <c r="N458" s="1133"/>
      <c r="O458" s="1133"/>
      <c r="P458" s="1133"/>
      <c r="Q458" s="1133"/>
      <c r="R458" s="1133"/>
      <c r="S458" s="1133"/>
      <c r="T458" s="1133"/>
      <c r="U458" s="1133"/>
      <c r="V458" s="1133"/>
      <c r="W458" s="1133"/>
      <c r="X458" s="1133"/>
      <c r="Y458" s="1133"/>
      <c r="Z458" s="1133"/>
      <c r="AA458" s="1133"/>
      <c r="AB458" s="1133"/>
      <c r="AC458" s="291"/>
      <c r="AD458" s="291"/>
      <c r="AE458" s="291"/>
      <c r="AF458" s="291"/>
      <c r="AG458" s="359"/>
      <c r="AH458" s="359"/>
      <c r="AI458" s="359"/>
      <c r="AJ458" s="359"/>
    </row>
    <row r="459" spans="1:36" ht="12.95" customHeight="1">
      <c r="C459"/>
      <c r="D459" s="370"/>
      <c r="E459" s="305"/>
      <c r="F459" s="1133"/>
      <c r="G459" s="1133"/>
      <c r="H459" s="1133"/>
      <c r="I459" s="1133"/>
      <c r="J459" s="1133"/>
      <c r="K459" s="1133"/>
      <c r="L459" s="1133"/>
      <c r="M459" s="1133"/>
      <c r="N459" s="1133"/>
      <c r="O459" s="1133"/>
      <c r="P459" s="1133"/>
      <c r="Q459" s="1133"/>
      <c r="R459" s="1133"/>
      <c r="S459" s="1133"/>
      <c r="T459" s="1133"/>
      <c r="U459" s="1133"/>
      <c r="V459" s="1133"/>
      <c r="W459" s="1133"/>
      <c r="X459" s="1133"/>
      <c r="Y459" s="1133"/>
      <c r="Z459" s="1133"/>
      <c r="AA459" s="1133"/>
      <c r="AB459" s="113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38" t="s">
        <v>2090</v>
      </c>
      <c r="E468" s="1139"/>
      <c r="F468" s="1139"/>
      <c r="G468" s="1139"/>
      <c r="H468" s="1139"/>
      <c r="I468" s="1139"/>
      <c r="J468" s="1139"/>
      <c r="K468" s="1139"/>
      <c r="L468" s="1139"/>
      <c r="M468" s="1139"/>
      <c r="N468" s="1139"/>
      <c r="O468" s="1139"/>
      <c r="P468" s="1139"/>
      <c r="Q468" s="1139"/>
      <c r="R468" s="1139"/>
      <c r="S468" s="1139"/>
      <c r="T468" s="1139"/>
      <c r="U468" s="1139"/>
      <c r="V468" s="1140"/>
      <c r="W468" s="1147">
        <v>46</v>
      </c>
      <c r="X468" s="1148"/>
      <c r="Y468" s="1149"/>
      <c r="Z468" s="308"/>
      <c r="AA468" s="308"/>
      <c r="AB468" s="308"/>
      <c r="AC468" s="308"/>
      <c r="AD468" s="308"/>
      <c r="AE468" s="308"/>
      <c r="AF468" s="308"/>
      <c r="AG468" s="308"/>
      <c r="AH468" s="308"/>
      <c r="AI468" s="308"/>
      <c r="AJ468" s="41"/>
      <c r="AK468" s="41"/>
      <c r="AL468" s="41"/>
    </row>
    <row r="469" spans="1:97" ht="12.95" customHeight="1">
      <c r="A469" s="41"/>
      <c r="B469" s="41"/>
      <c r="C469" s="41"/>
      <c r="D469" s="1138" t="s">
        <v>213</v>
      </c>
      <c r="E469" s="1139"/>
      <c r="F469" s="1139"/>
      <c r="G469" s="1139"/>
      <c r="H469" s="1139"/>
      <c r="I469" s="1139"/>
      <c r="J469" s="1139"/>
      <c r="K469" s="1139"/>
      <c r="L469" s="1139"/>
      <c r="M469" s="1139"/>
      <c r="N469" s="1139"/>
      <c r="O469" s="1139"/>
      <c r="P469" s="1139"/>
      <c r="Q469" s="1139"/>
      <c r="R469" s="1139"/>
      <c r="S469" s="1139"/>
      <c r="T469" s="1139"/>
      <c r="U469" s="1139"/>
      <c r="V469" s="1140"/>
      <c r="W469" s="1147">
        <v>0</v>
      </c>
      <c r="X469" s="1148"/>
      <c r="Y469" s="1149"/>
      <c r="Z469" s="308"/>
      <c r="AA469" s="308"/>
      <c r="AB469" s="308"/>
      <c r="AC469" s="308"/>
      <c r="AD469" s="308"/>
      <c r="AE469" s="308"/>
      <c r="AF469" s="308"/>
      <c r="AG469" s="308"/>
      <c r="AH469" s="308"/>
      <c r="AI469" s="308"/>
      <c r="AJ469" s="41"/>
      <c r="AK469" s="41"/>
      <c r="AL469" s="41"/>
    </row>
    <row r="470" spans="1:97" ht="12.95" customHeight="1">
      <c r="A470" s="41"/>
      <c r="B470" s="41"/>
      <c r="C470" s="41"/>
      <c r="D470" s="1138" t="s">
        <v>214</v>
      </c>
      <c r="E470" s="1139"/>
      <c r="F470" s="1139"/>
      <c r="G470" s="1139"/>
      <c r="H470" s="1139"/>
      <c r="I470" s="1139"/>
      <c r="J470" s="1139"/>
      <c r="K470" s="1139"/>
      <c r="L470" s="1139"/>
      <c r="M470" s="1139"/>
      <c r="N470" s="1139"/>
      <c r="O470" s="1139"/>
      <c r="P470" s="1139"/>
      <c r="Q470" s="1139"/>
      <c r="R470" s="1139"/>
      <c r="S470" s="1139"/>
      <c r="T470" s="1139"/>
      <c r="U470" s="1139"/>
      <c r="V470" s="1140"/>
      <c r="W470" s="1147">
        <v>0</v>
      </c>
      <c r="X470" s="1148"/>
      <c r="Y470" s="1149"/>
      <c r="Z470" s="308"/>
      <c r="AA470" s="308"/>
      <c r="AB470" s="308"/>
      <c r="AC470" s="308"/>
      <c r="AD470" s="308"/>
      <c r="AE470" s="308"/>
      <c r="AF470" s="308"/>
      <c r="AG470" s="308"/>
      <c r="AH470" s="308"/>
      <c r="AI470" s="308"/>
      <c r="AJ470" s="41"/>
      <c r="AK470" s="41"/>
      <c r="AL470" s="41"/>
    </row>
    <row r="471" spans="1:97" ht="12.95" customHeight="1">
      <c r="A471" s="41"/>
      <c r="B471" s="41"/>
      <c r="C471" s="41"/>
      <c r="D471" s="1138" t="s">
        <v>216</v>
      </c>
      <c r="E471" s="1139"/>
      <c r="F471" s="1139"/>
      <c r="G471" s="1139"/>
      <c r="H471" s="1139"/>
      <c r="I471" s="1139"/>
      <c r="J471" s="1139"/>
      <c r="K471" s="1139"/>
      <c r="L471" s="1139"/>
      <c r="M471" s="1139"/>
      <c r="N471" s="1139"/>
      <c r="O471" s="1139"/>
      <c r="P471" s="1139"/>
      <c r="Q471" s="1139"/>
      <c r="R471" s="1139"/>
      <c r="S471" s="1139"/>
      <c r="T471" s="1139"/>
      <c r="U471" s="1139"/>
      <c r="V471" s="1140"/>
      <c r="W471" s="1147">
        <v>0</v>
      </c>
      <c r="X471" s="1148"/>
      <c r="Y471" s="1149"/>
      <c r="Z471" s="308"/>
      <c r="AA471" s="308"/>
      <c r="AB471" s="308"/>
      <c r="AC471" s="308"/>
      <c r="AD471" s="308"/>
      <c r="AE471" s="308"/>
      <c r="AF471" s="308"/>
      <c r="AG471" s="308"/>
      <c r="AH471" s="308"/>
      <c r="AI471" s="308"/>
      <c r="AJ471" s="41"/>
      <c r="AK471" s="41"/>
      <c r="AL471" s="41"/>
    </row>
    <row r="472" spans="1:97" ht="12.95" customHeight="1">
      <c r="A472" s="41"/>
      <c r="B472" s="41"/>
      <c r="C472" s="41"/>
      <c r="D472" s="1330" t="s">
        <v>1109</v>
      </c>
      <c r="E472" s="1139"/>
      <c r="F472" s="1139"/>
      <c r="G472" s="1139"/>
      <c r="H472" s="1139"/>
      <c r="I472" s="1139"/>
      <c r="J472" s="1139"/>
      <c r="K472" s="1139"/>
      <c r="L472" s="1139"/>
      <c r="M472" s="1139"/>
      <c r="N472" s="1139"/>
      <c r="O472" s="1139"/>
      <c r="P472" s="1139"/>
      <c r="Q472" s="1139"/>
      <c r="R472" s="1139"/>
      <c r="S472" s="1139"/>
      <c r="T472" s="1139"/>
      <c r="U472" s="1139"/>
      <c r="V472" s="1140"/>
      <c r="W472" s="1147">
        <v>0</v>
      </c>
      <c r="X472" s="1148"/>
      <c r="Y472" s="1149"/>
      <c r="Z472" s="308"/>
      <c r="AA472" s="308"/>
      <c r="AB472" s="308"/>
      <c r="AC472" s="308"/>
      <c r="AD472" s="308"/>
      <c r="AE472" s="308"/>
      <c r="AF472" s="308"/>
      <c r="AG472" s="308"/>
      <c r="AH472" s="308"/>
      <c r="AI472" s="308"/>
      <c r="AJ472" s="41"/>
      <c r="AK472" s="41"/>
      <c r="AL472" s="41"/>
    </row>
    <row r="473" spans="1:97" ht="12.95" customHeight="1">
      <c r="A473" s="41"/>
      <c r="B473" s="41"/>
      <c r="C473" s="41"/>
      <c r="D473" s="1138" t="s">
        <v>220</v>
      </c>
      <c r="E473" s="1139"/>
      <c r="F473" s="1139"/>
      <c r="G473" s="1139"/>
      <c r="H473" s="1139"/>
      <c r="I473" s="1139"/>
      <c r="J473" s="1139"/>
      <c r="K473" s="1139"/>
      <c r="L473" s="1139"/>
      <c r="M473" s="1139"/>
      <c r="N473" s="1139"/>
      <c r="O473" s="1139"/>
      <c r="P473" s="1139"/>
      <c r="Q473" s="1139"/>
      <c r="R473" s="1139"/>
      <c r="S473" s="1139"/>
      <c r="T473" s="1139"/>
      <c r="U473" s="1139"/>
      <c r="V473" s="1140"/>
      <c r="W473" s="1147">
        <v>0</v>
      </c>
      <c r="X473" s="1148"/>
      <c r="Y473" s="1149"/>
      <c r="Z473" s="308"/>
      <c r="AA473" s="308"/>
      <c r="AB473" s="308"/>
      <c r="AC473" s="308"/>
      <c r="AD473" s="308"/>
      <c r="AE473" s="308"/>
      <c r="AF473" s="308"/>
      <c r="AG473" s="308"/>
      <c r="AH473" s="308"/>
      <c r="AI473" s="308"/>
      <c r="AJ473" s="41"/>
      <c r="AK473" s="41"/>
      <c r="AL473" s="41"/>
    </row>
    <row r="474" spans="1:97" ht="12.95" customHeight="1">
      <c r="A474" s="554"/>
      <c r="B474" s="554"/>
      <c r="C474" s="554"/>
      <c r="D474" s="1330" t="s">
        <v>1308</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5"/>
      <c r="AA474" s="555"/>
      <c r="AB474" s="555"/>
      <c r="AC474" s="555"/>
      <c r="AD474" s="556"/>
      <c r="AE474" s="556"/>
      <c r="AF474" s="556"/>
      <c r="AG474" s="556"/>
      <c r="AH474" s="556"/>
      <c r="AI474" s="556"/>
      <c r="AJ474" s="359"/>
    </row>
    <row r="475" spans="1:97" ht="12.95" customHeight="1">
      <c r="A475" s="554"/>
      <c r="B475" s="554"/>
      <c r="C475" s="554"/>
      <c r="D475" s="1138" t="s">
        <v>2263</v>
      </c>
      <c r="E475" s="1139"/>
      <c r="F475" s="1139"/>
      <c r="G475" s="1139"/>
      <c r="H475" s="1139"/>
      <c r="I475" s="1139"/>
      <c r="J475" s="1139"/>
      <c r="K475" s="1139"/>
      <c r="L475" s="1139"/>
      <c r="M475" s="1139"/>
      <c r="N475" s="1139"/>
      <c r="O475" s="1139"/>
      <c r="P475" s="1139"/>
      <c r="Q475" s="1139"/>
      <c r="R475" s="1139"/>
      <c r="S475" s="1139"/>
      <c r="T475" s="1139"/>
      <c r="U475" s="1139"/>
      <c r="V475" s="1140"/>
      <c r="W475" s="1320">
        <v>0</v>
      </c>
      <c r="X475" s="1321"/>
      <c r="Y475" s="1322"/>
      <c r="Z475" s="555"/>
      <c r="AA475" s="555"/>
      <c r="AB475" s="555"/>
      <c r="AC475" s="555"/>
      <c r="AD475" s="556"/>
      <c r="AE475" s="556"/>
      <c r="AF475" s="556"/>
      <c r="AG475" s="556"/>
      <c r="AH475" s="556"/>
      <c r="AI475" s="556"/>
      <c r="AJ475" s="359"/>
    </row>
    <row r="476" spans="1:97" ht="12.95" customHeight="1">
      <c r="A476" s="41"/>
      <c r="B476" s="41"/>
      <c r="C476" s="41"/>
      <c r="D476" s="1138" t="s">
        <v>2200</v>
      </c>
      <c r="E476" s="1318"/>
      <c r="F476" s="1318"/>
      <c r="G476" s="1318"/>
      <c r="H476" s="1318"/>
      <c r="I476" s="1318"/>
      <c r="J476" s="1318"/>
      <c r="K476" s="1318"/>
      <c r="L476" s="1318"/>
      <c r="M476" s="1318"/>
      <c r="N476" s="1318"/>
      <c r="O476" s="1318"/>
      <c r="P476" s="1318"/>
      <c r="Q476" s="1318"/>
      <c r="R476" s="1318"/>
      <c r="S476" s="1318"/>
      <c r="T476" s="1318"/>
      <c r="U476" s="1318"/>
      <c r="V476" s="1319"/>
      <c r="W476" s="1320">
        <v>10</v>
      </c>
      <c r="X476" s="1321"/>
      <c r="Y476" s="132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358"/>
      <c r="H477" s="1359"/>
      <c r="I477" s="1359"/>
      <c r="J477" s="1359"/>
      <c r="K477" s="1359"/>
      <c r="L477" s="1359"/>
      <c r="M477" s="1359"/>
      <c r="N477" s="1359"/>
      <c r="O477" s="1359"/>
      <c r="P477" s="1359"/>
      <c r="Q477" s="1359"/>
      <c r="R477" s="1359"/>
      <c r="S477" s="1359"/>
      <c r="T477" s="1359"/>
      <c r="U477" s="1359"/>
      <c r="V477" s="1360"/>
      <c r="W477" s="1147">
        <v>0</v>
      </c>
      <c r="X477" s="1148"/>
      <c r="Y477" s="1149"/>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3" t="s">
        <v>2415</v>
      </c>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26" t="s">
        <v>1028</v>
      </c>
      <c r="B484" s="1126"/>
      <c r="C484" s="1126"/>
      <c r="D484" s="1126"/>
      <c r="E484" s="1126"/>
      <c r="F484" s="1126"/>
      <c r="G484" s="1126"/>
      <c r="H484" s="1126"/>
      <c r="I484" s="1126"/>
      <c r="J484" s="1126"/>
      <c r="K484" s="1126"/>
      <c r="L484" s="1126"/>
      <c r="M484" s="1126"/>
      <c r="N484" s="1126"/>
      <c r="O484" s="1126"/>
      <c r="P484" s="1126"/>
      <c r="Q484" s="1126"/>
      <c r="R484" s="1126"/>
      <c r="S484" s="1126"/>
      <c r="T484" s="1126"/>
      <c r="U484" s="1126"/>
      <c r="V484" s="1126"/>
      <c r="W484" s="1126"/>
      <c r="X484" s="1126"/>
      <c r="Y484" s="1126"/>
      <c r="Z484" s="1126"/>
      <c r="AA484" s="1126"/>
      <c r="AB484" s="1126"/>
      <c r="AC484" s="1126"/>
      <c r="AD484" s="1126"/>
      <c r="AE484" s="1126"/>
      <c r="AF484" s="1126"/>
      <c r="AG484" s="1126"/>
      <c r="AH484" s="1126"/>
      <c r="AI484" s="1126"/>
      <c r="AJ484" s="1126"/>
      <c r="AK484" s="1126"/>
      <c r="AL484" s="1126"/>
      <c r="AM484" s="1126"/>
      <c r="AN484" s="1126"/>
      <c r="AO484" s="1126"/>
      <c r="AP484" s="1126"/>
      <c r="AQ484" s="1126"/>
      <c r="AR484" s="1126"/>
      <c r="AS484" s="1126"/>
      <c r="AT484" s="112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26"/>
      <c r="B485" s="1126"/>
      <c r="C485" s="1126"/>
      <c r="D485" s="1126"/>
      <c r="E485" s="1126"/>
      <c r="F485" s="1126"/>
      <c r="G485" s="1126"/>
      <c r="H485" s="1126"/>
      <c r="I485" s="1126"/>
      <c r="J485" s="1126"/>
      <c r="K485" s="1126"/>
      <c r="L485" s="1126"/>
      <c r="M485" s="1126"/>
      <c r="N485" s="1126"/>
      <c r="O485" s="1126"/>
      <c r="P485" s="1126"/>
      <c r="Q485" s="1126"/>
      <c r="R485" s="1126"/>
      <c r="S485" s="1126"/>
      <c r="T485" s="1126"/>
      <c r="U485" s="1126"/>
      <c r="V485" s="1126"/>
      <c r="W485" s="1126"/>
      <c r="X485" s="1126"/>
      <c r="Y485" s="1126"/>
      <c r="Z485" s="1126"/>
      <c r="AA485" s="1126"/>
      <c r="AB485" s="1126"/>
      <c r="AC485" s="1126"/>
      <c r="AD485" s="1126"/>
      <c r="AE485" s="1126"/>
      <c r="AF485" s="1126"/>
      <c r="AG485" s="1126"/>
      <c r="AH485" s="1126"/>
      <c r="AI485" s="1126"/>
      <c r="AJ485" s="1126"/>
      <c r="AK485" s="1126"/>
      <c r="AL485" s="1126"/>
      <c r="AM485" s="1126"/>
      <c r="AN485" s="1126"/>
      <c r="AO485" s="1126"/>
      <c r="AP485" s="1126"/>
      <c r="AQ485" s="1126"/>
      <c r="AR485" s="1126"/>
      <c r="AS485" s="1126"/>
      <c r="AT485" s="112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72" t="s">
        <v>238</v>
      </c>
      <c r="R489" s="1373"/>
      <c r="S489" s="1373"/>
      <c r="T489" s="1373"/>
      <c r="U489" s="1373"/>
      <c r="V489" s="1373"/>
      <c r="W489" s="1373"/>
      <c r="X489" s="1373"/>
      <c r="Y489" s="1373"/>
      <c r="Z489" s="1373"/>
      <c r="AA489" s="1373"/>
      <c r="AB489" s="1373"/>
      <c r="AC489" s="1373"/>
      <c r="AD489" s="1373"/>
      <c r="AE489" s="1373"/>
      <c r="AF489" s="1373"/>
      <c r="AG489" s="1373"/>
      <c r="AH489" s="1373"/>
      <c r="AI489" s="1373"/>
      <c r="AJ489" s="1373"/>
      <c r="AK489" s="137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26" t="s">
        <v>2416</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26" t="s">
        <v>2416</v>
      </c>
      <c r="R491" s="1261"/>
      <c r="S491" s="1261"/>
      <c r="T491" s="1261"/>
      <c r="U491" s="1261"/>
      <c r="V491" s="1261"/>
      <c r="W491" s="1261"/>
      <c r="X491" s="1261"/>
      <c r="Y491" s="1261"/>
      <c r="Z491" s="1261"/>
      <c r="AA491" s="1261"/>
      <c r="AB491" s="1261"/>
      <c r="AC491" s="1261"/>
      <c r="AD491" s="1261"/>
      <c r="AE491" s="1261"/>
      <c r="AF491" s="1261"/>
      <c r="AG491" s="1261"/>
      <c r="AH491" s="1261"/>
      <c r="AI491" s="1261"/>
      <c r="AJ491" s="1261"/>
      <c r="AK491" s="132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26" t="s">
        <v>2416</v>
      </c>
      <c r="R492" s="1261"/>
      <c r="S492" s="1261"/>
      <c r="T492" s="1261"/>
      <c r="U492" s="1261"/>
      <c r="V492" s="1261"/>
      <c r="W492" s="1261"/>
      <c r="X492" s="1261"/>
      <c r="Y492" s="1261"/>
      <c r="Z492" s="1261"/>
      <c r="AA492" s="1261"/>
      <c r="AB492" s="1261"/>
      <c r="AC492" s="1261"/>
      <c r="AD492" s="1261"/>
      <c r="AE492" s="1261"/>
      <c r="AF492" s="1261"/>
      <c r="AG492" s="1261"/>
      <c r="AH492" s="1261"/>
      <c r="AI492" s="1261"/>
      <c r="AJ492" s="1261"/>
      <c r="AK492" s="132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2" t="s">
        <v>242</v>
      </c>
      <c r="C493" s="1313"/>
      <c r="D493" s="1313"/>
      <c r="E493" s="1313"/>
      <c r="F493" s="1313"/>
      <c r="G493" s="1313"/>
      <c r="H493" s="1313"/>
      <c r="I493" s="1313"/>
      <c r="J493" s="1313"/>
      <c r="K493" s="1313"/>
      <c r="L493" s="1313"/>
      <c r="M493" s="1313"/>
      <c r="N493" s="1313"/>
      <c r="O493" s="1313"/>
      <c r="P493" s="1314"/>
      <c r="Q493" s="1348" t="s">
        <v>482</v>
      </c>
      <c r="R493" s="1349"/>
      <c r="S493" s="1570" t="s">
        <v>53</v>
      </c>
      <c r="T493" s="1571"/>
      <c r="U493" s="1571"/>
      <c r="V493" s="1571"/>
      <c r="W493" s="1571"/>
      <c r="X493" s="1571"/>
      <c r="Y493" s="1571"/>
      <c r="Z493" s="1571"/>
      <c r="AA493" s="1571"/>
      <c r="AB493" s="1571"/>
      <c r="AC493" s="1571"/>
      <c r="AD493" s="1571"/>
      <c r="AE493" s="1571"/>
      <c r="AF493" s="1571"/>
      <c r="AG493" s="1571"/>
      <c r="AH493" s="1571"/>
      <c r="AI493" s="1571"/>
      <c r="AJ493" s="1571"/>
      <c r="AK493" s="157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5"/>
      <c r="C494" s="1316"/>
      <c r="D494" s="1316"/>
      <c r="E494" s="1316"/>
      <c r="F494" s="1316"/>
      <c r="G494" s="1316"/>
      <c r="H494" s="1316"/>
      <c r="I494" s="1316"/>
      <c r="J494" s="1316"/>
      <c r="K494" s="1316"/>
      <c r="L494" s="1316"/>
      <c r="M494" s="1316"/>
      <c r="N494" s="1316"/>
      <c r="O494" s="1316"/>
      <c r="P494" s="1317"/>
      <c r="Q494" s="1350"/>
      <c r="R494" s="1351"/>
      <c r="S494" s="1573"/>
      <c r="T494" s="1574"/>
      <c r="U494" s="1574"/>
      <c r="V494" s="1574"/>
      <c r="W494" s="1574"/>
      <c r="X494" s="1574"/>
      <c r="Y494" s="1574"/>
      <c r="Z494" s="1574"/>
      <c r="AA494" s="1574"/>
      <c r="AB494" s="1574"/>
      <c r="AC494" s="1574"/>
      <c r="AD494" s="1574"/>
      <c r="AE494" s="1574"/>
      <c r="AF494" s="1574"/>
      <c r="AG494" s="1574"/>
      <c r="AH494" s="1574"/>
      <c r="AI494" s="1574"/>
      <c r="AJ494" s="1574"/>
      <c r="AK494" s="157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576" t="s">
        <v>482</v>
      </c>
      <c r="R495" s="1577"/>
      <c r="S495" s="1577"/>
      <c r="T495" s="1577"/>
      <c r="U495" s="1577"/>
      <c r="V495" s="1577"/>
      <c r="W495" s="1577"/>
      <c r="X495" s="1577"/>
      <c r="Y495" s="1577"/>
      <c r="Z495" s="1577"/>
      <c r="AA495" s="1577"/>
      <c r="AB495" s="1577"/>
      <c r="AC495" s="1577"/>
      <c r="AD495" s="1577"/>
      <c r="AE495" s="1577"/>
      <c r="AF495" s="1577"/>
      <c r="AG495" s="1577"/>
      <c r="AH495" s="1577"/>
      <c r="AI495" s="1577"/>
      <c r="AJ495" s="1577"/>
      <c r="AK495" s="157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26" t="s">
        <v>2417</v>
      </c>
      <c r="R496" s="1261"/>
      <c r="S496" s="1261"/>
      <c r="T496" s="1261"/>
      <c r="U496" s="1261"/>
      <c r="V496" s="1261"/>
      <c r="W496" s="1261"/>
      <c r="X496" s="1261"/>
      <c r="Y496" s="1261"/>
      <c r="Z496" s="1261"/>
      <c r="AA496" s="1261"/>
      <c r="AB496" s="1261"/>
      <c r="AC496" s="1261"/>
      <c r="AD496" s="1261"/>
      <c r="AE496" s="1261"/>
      <c r="AF496" s="1261"/>
      <c r="AG496" s="1261"/>
      <c r="AH496" s="1261"/>
      <c r="AI496" s="1261"/>
      <c r="AJ496" s="1261"/>
      <c r="AK496" s="13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26" t="s">
        <v>2418</v>
      </c>
      <c r="R497" s="1261"/>
      <c r="S497" s="1261"/>
      <c r="T497" s="1261"/>
      <c r="U497" s="1261"/>
      <c r="V497" s="1261"/>
      <c r="W497" s="1261"/>
      <c r="X497" s="1261"/>
      <c r="Y497" s="1261"/>
      <c r="Z497" s="1261"/>
      <c r="AA497" s="1261"/>
      <c r="AB497" s="1261"/>
      <c r="AC497" s="1261"/>
      <c r="AD497" s="1261"/>
      <c r="AE497" s="1261"/>
      <c r="AF497" s="1261"/>
      <c r="AG497" s="1261"/>
      <c r="AH497" s="1261"/>
      <c r="AI497" s="1261"/>
      <c r="AJ497" s="1261"/>
      <c r="AK497" s="132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26" t="s">
        <v>2419</v>
      </c>
      <c r="R498" s="1261"/>
      <c r="S498" s="1261"/>
      <c r="T498" s="1261"/>
      <c r="U498" s="1261"/>
      <c r="V498" s="1261"/>
      <c r="W498" s="1261"/>
      <c r="X498" s="1261"/>
      <c r="Y498" s="1261"/>
      <c r="Z498" s="1261"/>
      <c r="AA498" s="1261"/>
      <c r="AB498" s="1261"/>
      <c r="AC498" s="1261"/>
      <c r="AD498" s="1261"/>
      <c r="AE498" s="1261"/>
      <c r="AF498" s="1261"/>
      <c r="AG498" s="1261"/>
      <c r="AH498" s="1261"/>
      <c r="AI498" s="1261"/>
      <c r="AJ498" s="1261"/>
      <c r="AK498" s="132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45">
        <v>0</v>
      </c>
      <c r="N499" s="1346"/>
      <c r="O499" s="1346"/>
      <c r="P499" s="1347"/>
      <c r="Q499" s="212" t="s">
        <v>1972</v>
      </c>
      <c r="R499" s="9"/>
      <c r="S499" s="9"/>
      <c r="T499" s="9"/>
      <c r="U499" s="9"/>
      <c r="V499" s="9"/>
      <c r="W499" s="9"/>
      <c r="X499" s="9"/>
      <c r="Y499" s="9"/>
      <c r="Z499" s="9"/>
      <c r="AA499" s="9"/>
      <c r="AB499" s="9"/>
      <c r="AC499" s="9"/>
      <c r="AD499" s="9"/>
      <c r="AE499" s="9"/>
      <c r="AF499" s="9"/>
      <c r="AG499" s="9"/>
      <c r="AH499" s="1345">
        <v>0</v>
      </c>
      <c r="AI499" s="1346"/>
      <c r="AJ499" s="1346"/>
      <c r="AK499" s="13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72" t="s">
        <v>246</v>
      </c>
      <c r="AD503" s="1373"/>
      <c r="AE503" s="1373"/>
      <c r="AF503" s="1373"/>
      <c r="AG503" s="1373"/>
      <c r="AH503" s="1373"/>
      <c r="AI503" s="1373"/>
      <c r="AJ503" s="1373"/>
      <c r="AK503" s="137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72" t="s">
        <v>247</v>
      </c>
      <c r="AD504" s="1373"/>
      <c r="AE504" s="1373"/>
      <c r="AF504" s="1373"/>
      <c r="AG504" s="56" t="s">
        <v>248</v>
      </c>
      <c r="AH504" s="1373" t="s">
        <v>249</v>
      </c>
      <c r="AI504" s="1373"/>
      <c r="AJ504" s="1373"/>
      <c r="AK504" s="137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6" t="s">
        <v>250</v>
      </c>
      <c r="C505" s="1337"/>
      <c r="D505" s="1337"/>
      <c r="E505" s="1337"/>
      <c r="F505" s="1337"/>
      <c r="G505" s="1337"/>
      <c r="H505" s="1338"/>
      <c r="I505" s="7" t="s">
        <v>671</v>
      </c>
      <c r="J505" s="7"/>
      <c r="K505" s="7"/>
      <c r="L505" s="7"/>
      <c r="M505" s="7"/>
      <c r="N505" s="7"/>
      <c r="O505" s="7"/>
      <c r="P505" s="7"/>
      <c r="Q505" s="7"/>
      <c r="R505" s="7"/>
      <c r="S505" s="7"/>
      <c r="T505" s="7"/>
      <c r="U505" s="7"/>
      <c r="V505" s="7"/>
      <c r="W505" s="7"/>
      <c r="AC505" s="1297">
        <v>8</v>
      </c>
      <c r="AD505" s="1144"/>
      <c r="AE505" s="1144"/>
      <c r="AF505" s="1144"/>
      <c r="AG505" s="18" t="s">
        <v>248</v>
      </c>
      <c r="AH505" s="1115">
        <v>2020</v>
      </c>
      <c r="AI505" s="1115"/>
      <c r="AJ505" s="1115"/>
      <c r="AK505" s="111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9"/>
      <c r="C506" s="1340"/>
      <c r="D506" s="1340"/>
      <c r="E506" s="1340"/>
      <c r="F506" s="1340"/>
      <c r="G506" s="1340"/>
      <c r="H506" s="1341"/>
      <c r="I506" s="54" t="s">
        <v>672</v>
      </c>
      <c r="J506" s="54"/>
      <c r="K506" s="54"/>
      <c r="L506" s="54"/>
      <c r="M506" s="54"/>
      <c r="N506" s="54"/>
      <c r="O506" s="54"/>
      <c r="P506" s="54"/>
      <c r="Q506" s="54"/>
      <c r="R506" s="54"/>
      <c r="S506" s="54"/>
      <c r="T506" s="54"/>
      <c r="U506" s="54"/>
      <c r="V506" s="54"/>
      <c r="W506" s="54"/>
      <c r="X506" s="54"/>
      <c r="Y506" s="54"/>
      <c r="Z506" s="54"/>
      <c r="AA506" s="54"/>
      <c r="AB506" s="54"/>
      <c r="AC506" s="1297">
        <v>5</v>
      </c>
      <c r="AD506" s="1144"/>
      <c r="AE506" s="1144"/>
      <c r="AF506" s="1144"/>
      <c r="AG506" s="47" t="s">
        <v>248</v>
      </c>
      <c r="AH506" s="1115">
        <v>2019</v>
      </c>
      <c r="AI506" s="1115"/>
      <c r="AJ506" s="1115"/>
      <c r="AK506" s="111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6" t="s">
        <v>673</v>
      </c>
      <c r="C507" s="1337"/>
      <c r="D507" s="1337"/>
      <c r="E507" s="1337"/>
      <c r="F507" s="1337"/>
      <c r="G507" s="1337"/>
      <c r="H507" s="1338"/>
      <c r="I507" s="7" t="s">
        <v>674</v>
      </c>
      <c r="J507" s="7"/>
      <c r="K507" s="7"/>
      <c r="L507" s="7"/>
      <c r="M507" s="7"/>
      <c r="N507" s="7"/>
      <c r="O507" s="7"/>
      <c r="P507" s="7"/>
      <c r="Q507" s="7"/>
      <c r="R507" s="7"/>
      <c r="S507" s="7"/>
      <c r="T507" s="7"/>
      <c r="U507" s="7"/>
      <c r="V507" s="7"/>
      <c r="W507" s="7"/>
      <c r="AC507" s="1297" t="s">
        <v>124</v>
      </c>
      <c r="AD507" s="1144"/>
      <c r="AE507" s="1144"/>
      <c r="AF507" s="1144"/>
      <c r="AG507" s="18" t="s">
        <v>248</v>
      </c>
      <c r="AH507" s="1115"/>
      <c r="AI507" s="1115"/>
      <c r="AJ507" s="1115"/>
      <c r="AK507" s="111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9"/>
      <c r="C508" s="1340"/>
      <c r="D508" s="1340"/>
      <c r="E508" s="1340"/>
      <c r="F508" s="1340"/>
      <c r="G508" s="1340"/>
      <c r="H508" s="1341"/>
      <c r="I508" t="s">
        <v>675</v>
      </c>
      <c r="AC508" s="1297" t="s">
        <v>124</v>
      </c>
      <c r="AD508" s="1144"/>
      <c r="AE508" s="1144"/>
      <c r="AF508" s="1144"/>
      <c r="AG508" s="18" t="s">
        <v>248</v>
      </c>
      <c r="AH508" s="1115"/>
      <c r="AI508" s="1115"/>
      <c r="AJ508" s="1115"/>
      <c r="AK508" s="111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9"/>
      <c r="C509" s="1340"/>
      <c r="D509" s="1340"/>
      <c r="E509" s="1340"/>
      <c r="F509" s="1340"/>
      <c r="G509" s="1340"/>
      <c r="H509" s="1341"/>
      <c r="I509" t="s">
        <v>676</v>
      </c>
      <c r="AC509" s="1297">
        <v>2</v>
      </c>
      <c r="AD509" s="1144"/>
      <c r="AE509" s="1144"/>
      <c r="AF509" s="1144"/>
      <c r="AG509" s="18" t="s">
        <v>248</v>
      </c>
      <c r="AH509" s="1115">
        <v>2022</v>
      </c>
      <c r="AI509" s="1115"/>
      <c r="AJ509" s="1115"/>
      <c r="AK509" s="111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9"/>
      <c r="C510" s="1340"/>
      <c r="D510" s="1340"/>
      <c r="E510" s="1340"/>
      <c r="F510" s="1340"/>
      <c r="G510" s="1340"/>
      <c r="H510" s="1341"/>
      <c r="I510" t="s">
        <v>677</v>
      </c>
      <c r="AC510" s="1297" t="s">
        <v>124</v>
      </c>
      <c r="AD510" s="1144"/>
      <c r="AE510" s="1144"/>
      <c r="AF510" s="1144"/>
      <c r="AG510" s="18" t="s">
        <v>248</v>
      </c>
      <c r="AH510" s="1115"/>
      <c r="AI510" s="1115"/>
      <c r="AJ510" s="1115"/>
      <c r="AK510" s="111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9"/>
      <c r="C511" s="1340"/>
      <c r="D511" s="1340"/>
      <c r="E511" s="1340"/>
      <c r="F511" s="1340"/>
      <c r="G511" s="1340"/>
      <c r="H511" s="1341"/>
      <c r="I511" s="41" t="s">
        <v>678</v>
      </c>
      <c r="AC511" s="1331">
        <v>10</v>
      </c>
      <c r="AD511" s="1332"/>
      <c r="AE511" s="1332"/>
      <c r="AF511" s="1332"/>
      <c r="AG511" s="18" t="s">
        <v>248</v>
      </c>
      <c r="AH511" s="1115">
        <v>2023</v>
      </c>
      <c r="AI511" s="1115"/>
      <c r="AJ511" s="1115"/>
      <c r="AK511" s="111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9"/>
      <c r="C512" s="1340"/>
      <c r="D512" s="1340"/>
      <c r="E512" s="1340"/>
      <c r="F512" s="1340"/>
      <c r="G512" s="1340"/>
      <c r="H512" s="1341"/>
      <c r="I512" s="407" t="s">
        <v>283</v>
      </c>
      <c r="J512" s="54"/>
      <c r="K512" s="54"/>
      <c r="L512" s="1298" t="s">
        <v>562</v>
      </c>
      <c r="M512" s="1299"/>
      <c r="N512" s="1299"/>
      <c r="O512" s="1299"/>
      <c r="P512" s="1299"/>
      <c r="Q512" s="1299"/>
      <c r="R512" s="1299"/>
      <c r="S512" s="1299"/>
      <c r="T512" s="1299"/>
      <c r="U512" s="1299"/>
      <c r="V512" s="1299"/>
      <c r="W512" s="1299"/>
      <c r="X512" s="1299"/>
      <c r="Y512" s="1299"/>
      <c r="Z512" s="1299"/>
      <c r="AA512" s="1299"/>
      <c r="AB512" s="1564"/>
      <c r="AC512" s="1569" t="s">
        <v>124</v>
      </c>
      <c r="AD512" s="1479"/>
      <c r="AE512" s="1479"/>
      <c r="AF512" s="1479"/>
      <c r="AG512" s="47" t="s">
        <v>248</v>
      </c>
      <c r="AH512" s="1115"/>
      <c r="AI512" s="1115"/>
      <c r="AJ512" s="1115"/>
      <c r="AK512" s="111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9"/>
      <c r="C513" s="1340"/>
      <c r="D513" s="1340"/>
      <c r="E513" s="1340"/>
      <c r="F513" s="1340"/>
      <c r="G513" s="1340"/>
      <c r="H513" s="1341"/>
      <c r="I513" s="41" t="s">
        <v>1973</v>
      </c>
      <c r="AC513" s="1402" t="s">
        <v>108</v>
      </c>
      <c r="AD513" s="1402"/>
      <c r="AE513" s="1402"/>
      <c r="AF513" s="1402"/>
      <c r="AG513" s="18"/>
      <c r="AH513" s="1334"/>
      <c r="AI513" s="1334"/>
      <c r="AJ513" s="1334"/>
      <c r="AK513" s="133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9"/>
      <c r="C514" s="1340"/>
      <c r="D514" s="1340"/>
      <c r="E514" s="1340"/>
      <c r="F514" s="1340"/>
      <c r="G514" s="1340"/>
      <c r="H514" s="1341"/>
      <c r="I514" t="s">
        <v>1974</v>
      </c>
      <c r="AC514" s="1331">
        <v>3</v>
      </c>
      <c r="AD514" s="1332"/>
      <c r="AE514" s="1332"/>
      <c r="AF514" s="1333"/>
      <c r="AG514" s="18"/>
      <c r="AH514" s="1334"/>
      <c r="AI514" s="1334"/>
      <c r="AJ514" s="1334"/>
      <c r="AK514" s="133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9"/>
      <c r="C515" s="1340"/>
      <c r="D515" s="1340"/>
      <c r="E515" s="1340"/>
      <c r="F515" s="1340"/>
      <c r="G515" s="1340"/>
      <c r="H515" s="1341"/>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9"/>
      <c r="C516" s="1340"/>
      <c r="D516" s="1340"/>
      <c r="E516" s="1340"/>
      <c r="F516" s="1340"/>
      <c r="G516" s="1340"/>
      <c r="H516" s="1341"/>
      <c r="I516" s="835" t="s">
        <v>1976</v>
      </c>
      <c r="J516" s="54"/>
      <c r="K516" s="54"/>
      <c r="L516" s="54"/>
      <c r="M516" s="54"/>
      <c r="N516" s="54"/>
      <c r="O516" s="54"/>
      <c r="P516" s="54"/>
      <c r="Q516" s="54"/>
      <c r="R516" s="54"/>
      <c r="S516" s="54"/>
      <c r="T516" s="54"/>
      <c r="U516" s="54"/>
      <c r="V516" s="54"/>
      <c r="W516" s="54"/>
      <c r="X516" s="54"/>
      <c r="Y516" s="54"/>
      <c r="Z516" s="54"/>
      <c r="AA516" s="54"/>
      <c r="AB516" s="54"/>
      <c r="AC516" s="1365">
        <v>1</v>
      </c>
      <c r="AD516" s="1366"/>
      <c r="AE516" s="1366"/>
      <c r="AF516" s="1367"/>
      <c r="AG516" s="47"/>
      <c r="AH516" s="1485"/>
      <c r="AI516" s="1485"/>
      <c r="AJ516" s="1485"/>
      <c r="AK516" s="148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6" t="s">
        <v>679</v>
      </c>
      <c r="C517" s="1337"/>
      <c r="D517" s="1337"/>
      <c r="E517" s="1337"/>
      <c r="F517" s="1337"/>
      <c r="G517" s="1337"/>
      <c r="H517" s="1338"/>
      <c r="I517" s="7" t="s">
        <v>680</v>
      </c>
      <c r="J517" s="7"/>
      <c r="K517" s="7"/>
      <c r="L517" s="7"/>
      <c r="M517" s="7"/>
      <c r="N517" s="7"/>
      <c r="O517" s="7"/>
      <c r="P517" s="7"/>
      <c r="Q517" s="7"/>
      <c r="R517" s="7"/>
      <c r="S517" s="7"/>
      <c r="T517" s="7"/>
      <c r="U517" s="7"/>
      <c r="V517" s="7"/>
      <c r="W517" s="7"/>
      <c r="AC517" s="1297">
        <v>7</v>
      </c>
      <c r="AD517" s="1144"/>
      <c r="AE517" s="1144"/>
      <c r="AF517" s="1144"/>
      <c r="AG517" s="18" t="s">
        <v>248</v>
      </c>
      <c r="AH517" s="1115">
        <v>2025</v>
      </c>
      <c r="AI517" s="1115"/>
      <c r="AJ517" s="1115"/>
      <c r="AK517" s="111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9"/>
      <c r="C518" s="1340"/>
      <c r="D518" s="1340"/>
      <c r="E518" s="1340"/>
      <c r="F518" s="1340"/>
      <c r="G518" s="1340"/>
      <c r="H518" s="1341"/>
      <c r="I518" t="s">
        <v>681</v>
      </c>
      <c r="AC518" s="1297">
        <v>6</v>
      </c>
      <c r="AD518" s="1144"/>
      <c r="AE518" s="1144"/>
      <c r="AF518" s="1144"/>
      <c r="AG518" s="18" t="s">
        <v>248</v>
      </c>
      <c r="AH518" s="1115">
        <v>2025</v>
      </c>
      <c r="AI518" s="1115"/>
      <c r="AJ518" s="1115"/>
      <c r="AK518" s="111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9"/>
      <c r="C519" s="1340"/>
      <c r="D519" s="1340"/>
      <c r="E519" s="1340"/>
      <c r="F519" s="1340"/>
      <c r="G519" s="1340"/>
      <c r="H519" s="1341"/>
      <c r="I519" s="54" t="s">
        <v>682</v>
      </c>
      <c r="J519" s="54"/>
      <c r="K519" s="54"/>
      <c r="L519" s="54"/>
      <c r="M519" s="54"/>
      <c r="N519" s="54"/>
      <c r="O519" s="54"/>
      <c r="P519" s="54"/>
      <c r="Q519" s="54"/>
      <c r="R519" s="54"/>
      <c r="S519" s="54"/>
      <c r="T519" s="54"/>
      <c r="U519" s="54"/>
      <c r="V519" s="54"/>
      <c r="W519" s="54"/>
      <c r="X519" s="54"/>
      <c r="Y519" s="54"/>
      <c r="Z519" s="54"/>
      <c r="AA519" s="54"/>
      <c r="AB519" s="54"/>
      <c r="AC519" s="1297">
        <v>3</v>
      </c>
      <c r="AD519" s="1144"/>
      <c r="AE519" s="1144"/>
      <c r="AF519" s="1144"/>
      <c r="AG519" s="47" t="s">
        <v>248</v>
      </c>
      <c r="AH519" s="1115">
        <v>2026</v>
      </c>
      <c r="AI519" s="1115"/>
      <c r="AJ519" s="1115"/>
      <c r="AK519" s="111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6" t="s">
        <v>683</v>
      </c>
      <c r="C520" s="1337"/>
      <c r="D520" s="1337"/>
      <c r="E520" s="1337"/>
      <c r="F520" s="1337"/>
      <c r="G520" s="1337"/>
      <c r="H520" s="1338"/>
      <c r="I520" s="7" t="s">
        <v>680</v>
      </c>
      <c r="J520" s="7"/>
      <c r="K520" s="7"/>
      <c r="L520" s="7"/>
      <c r="M520" s="7"/>
      <c r="N520" s="7"/>
      <c r="O520" s="7"/>
      <c r="P520" s="7"/>
      <c r="Q520" s="7"/>
      <c r="R520" s="7"/>
      <c r="S520" s="7"/>
      <c r="T520" s="7"/>
      <c r="U520" s="7"/>
      <c r="V520" s="7"/>
      <c r="W520" s="7"/>
      <c r="X520" s="7"/>
      <c r="Y520" s="7"/>
      <c r="Z520" s="7"/>
      <c r="AA520" s="7"/>
      <c r="AB520" s="7"/>
      <c r="AC520" s="1163">
        <v>7</v>
      </c>
      <c r="AD520" s="1164"/>
      <c r="AE520" s="1164"/>
      <c r="AF520" s="1164"/>
      <c r="AG520" s="228" t="s">
        <v>248</v>
      </c>
      <c r="AH520" s="1115">
        <v>2025</v>
      </c>
      <c r="AI520" s="1115"/>
      <c r="AJ520" s="1115"/>
      <c r="AK520" s="111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9"/>
      <c r="C521" s="1340"/>
      <c r="D521" s="1340"/>
      <c r="E521" s="1340"/>
      <c r="F521" s="1340"/>
      <c r="G521" s="1340"/>
      <c r="H521" s="1341"/>
      <c r="I521" t="s">
        <v>681</v>
      </c>
      <c r="AC521" s="1297">
        <v>6</v>
      </c>
      <c r="AD521" s="1144"/>
      <c r="AE521" s="1144"/>
      <c r="AF521" s="1144"/>
      <c r="AG521" s="18" t="s">
        <v>248</v>
      </c>
      <c r="AH521" s="1115">
        <v>2025</v>
      </c>
      <c r="AI521" s="1115"/>
      <c r="AJ521" s="1115"/>
      <c r="AK521" s="111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2"/>
      <c r="C522" s="1343"/>
      <c r="D522" s="1343"/>
      <c r="E522" s="1343"/>
      <c r="F522" s="1343"/>
      <c r="G522" s="1343"/>
      <c r="H522" s="1344"/>
      <c r="I522" s="54" t="s">
        <v>682</v>
      </c>
      <c r="J522" s="54"/>
      <c r="K522" s="54"/>
      <c r="L522" s="54"/>
      <c r="M522" s="54"/>
      <c r="N522" s="54"/>
      <c r="O522" s="54"/>
      <c r="P522" s="54"/>
      <c r="Q522" s="54"/>
      <c r="R522" s="54"/>
      <c r="S522" s="54"/>
      <c r="T522" s="54"/>
      <c r="U522" s="54"/>
      <c r="V522" s="54"/>
      <c r="W522" s="54"/>
      <c r="X522" s="54"/>
      <c r="Y522" s="54"/>
      <c r="Z522" s="54"/>
      <c r="AA522" s="54"/>
      <c r="AB522" s="54"/>
      <c r="AC522" s="1297">
        <v>4</v>
      </c>
      <c r="AD522" s="1144"/>
      <c r="AE522" s="1144"/>
      <c r="AF522" s="1144"/>
      <c r="AG522" s="47" t="s">
        <v>248</v>
      </c>
      <c r="AH522" s="1115">
        <v>2028</v>
      </c>
      <c r="AI522" s="1115"/>
      <c r="AJ522" s="1115"/>
      <c r="AK522" s="111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6" t="s">
        <v>684</v>
      </c>
      <c r="C523" s="1337"/>
      <c r="D523" s="1337"/>
      <c r="E523" s="1337"/>
      <c r="F523" s="1337"/>
      <c r="G523" s="1337"/>
      <c r="H523" s="1338"/>
      <c r="I523" s="6" t="s">
        <v>685</v>
      </c>
      <c r="J523" s="7"/>
      <c r="K523" s="7"/>
      <c r="L523" s="7"/>
      <c r="M523" s="7"/>
      <c r="N523" s="7"/>
      <c r="O523" s="1298" t="s">
        <v>2420</v>
      </c>
      <c r="P523" s="1299"/>
      <c r="Q523" s="1299"/>
      <c r="R523" s="1299"/>
      <c r="S523" s="1299"/>
      <c r="T523" s="1299"/>
      <c r="U523" s="1299"/>
      <c r="V523" s="1299"/>
      <c r="W523" s="1299"/>
      <c r="X523" s="1299"/>
      <c r="Y523" s="1299"/>
      <c r="Z523" s="1299"/>
      <c r="AA523" s="1299"/>
      <c r="AB523" s="64"/>
      <c r="AC523" s="1163" t="s">
        <v>124</v>
      </c>
      <c r="AD523" s="1164"/>
      <c r="AE523" s="1164"/>
      <c r="AF523" s="1164"/>
      <c r="AG523" s="228" t="s">
        <v>248</v>
      </c>
      <c r="AH523" s="1115"/>
      <c r="AI523" s="1115"/>
      <c r="AJ523" s="1115"/>
      <c r="AK523" s="111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9"/>
      <c r="C524" s="1340"/>
      <c r="D524" s="1340"/>
      <c r="E524" s="1340"/>
      <c r="F524" s="1340"/>
      <c r="G524" s="1340"/>
      <c r="H524" s="1341"/>
      <c r="I524" s="202" t="s">
        <v>686</v>
      </c>
      <c r="AB524" s="71"/>
      <c r="AC524" s="1297">
        <v>7</v>
      </c>
      <c r="AD524" s="1144"/>
      <c r="AE524" s="1144"/>
      <c r="AF524" s="1144"/>
      <c r="AG524" s="18" t="s">
        <v>248</v>
      </c>
      <c r="AH524" s="1115">
        <v>2021</v>
      </c>
      <c r="AI524" s="1115"/>
      <c r="AJ524" s="1115"/>
      <c r="AK524" s="111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9"/>
      <c r="C525" s="1340"/>
      <c r="D525" s="1340"/>
      <c r="E525" s="1340"/>
      <c r="F525" s="1340"/>
      <c r="G525" s="1340"/>
      <c r="H525" s="1341"/>
      <c r="I525" s="53" t="s">
        <v>687</v>
      </c>
      <c r="J525" s="54"/>
      <c r="K525" s="54"/>
      <c r="L525" s="54"/>
      <c r="M525" s="54"/>
      <c r="N525" s="54"/>
      <c r="O525" s="54"/>
      <c r="P525" s="54"/>
      <c r="Q525" s="54"/>
      <c r="R525" s="54"/>
      <c r="S525" s="54"/>
      <c r="T525" s="54"/>
      <c r="U525" s="54"/>
      <c r="V525" s="54"/>
      <c r="W525" s="54"/>
      <c r="X525" s="54"/>
      <c r="Y525" s="54"/>
      <c r="Z525" s="54"/>
      <c r="AA525" s="54"/>
      <c r="AB525" s="55"/>
      <c r="AC525" s="1297">
        <v>7</v>
      </c>
      <c r="AD525" s="1144"/>
      <c r="AE525" s="1144"/>
      <c r="AF525" s="1144"/>
      <c r="AG525" s="47" t="s">
        <v>248</v>
      </c>
      <c r="AH525" s="1115">
        <v>2021</v>
      </c>
      <c r="AI525" s="1115"/>
      <c r="AJ525" s="1115"/>
      <c r="AK525" s="111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9"/>
      <c r="C526" s="1340"/>
      <c r="D526" s="1340"/>
      <c r="E526" s="1340"/>
      <c r="F526" s="1340"/>
      <c r="G526" s="1340"/>
      <c r="H526" s="1341"/>
      <c r="I526" s="7" t="s">
        <v>688</v>
      </c>
      <c r="J526" s="7"/>
      <c r="K526" s="7"/>
      <c r="L526" s="7"/>
      <c r="M526" s="7"/>
      <c r="N526" s="7"/>
      <c r="O526" s="1298" t="s">
        <v>2421</v>
      </c>
      <c r="P526" s="1299"/>
      <c r="Q526" s="1299"/>
      <c r="R526" s="1299"/>
      <c r="S526" s="1299"/>
      <c r="T526" s="1299"/>
      <c r="U526" s="1299"/>
      <c r="V526" s="1299"/>
      <c r="W526" s="1299"/>
      <c r="X526" s="1299"/>
      <c r="Y526" s="1299"/>
      <c r="Z526" s="1299"/>
      <c r="AA526" s="1299"/>
      <c r="AC526" s="1297" t="s">
        <v>124</v>
      </c>
      <c r="AD526" s="1144"/>
      <c r="AE526" s="1144"/>
      <c r="AF526" s="1144"/>
      <c r="AG526" s="18" t="s">
        <v>248</v>
      </c>
      <c r="AH526" s="1115"/>
      <c r="AI526" s="1115"/>
      <c r="AJ526" s="1115"/>
      <c r="AK526" s="111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9"/>
      <c r="C527" s="1340"/>
      <c r="D527" s="1340"/>
      <c r="E527" s="1340"/>
      <c r="F527" s="1340"/>
      <c r="G527" s="1340"/>
      <c r="H527" s="1341"/>
      <c r="I527" t="s">
        <v>686</v>
      </c>
      <c r="AC527" s="1297">
        <v>3</v>
      </c>
      <c r="AD527" s="1144"/>
      <c r="AE527" s="1144"/>
      <c r="AF527" s="1144"/>
      <c r="AG527" s="18" t="s">
        <v>248</v>
      </c>
      <c r="AH527" s="1115">
        <v>2023</v>
      </c>
      <c r="AI527" s="1115"/>
      <c r="AJ527" s="1115"/>
      <c r="AK527" s="111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9"/>
      <c r="C528" s="1340"/>
      <c r="D528" s="1340"/>
      <c r="E528" s="1340"/>
      <c r="F528" s="1340"/>
      <c r="G528" s="1340"/>
      <c r="H528" s="1341"/>
      <c r="I528" s="54" t="s">
        <v>687</v>
      </c>
      <c r="J528" s="54"/>
      <c r="K528" s="54"/>
      <c r="L528" s="54"/>
      <c r="M528" s="54"/>
      <c r="N528" s="54"/>
      <c r="O528" s="54"/>
      <c r="P528" s="54"/>
      <c r="Q528" s="54"/>
      <c r="R528" s="54"/>
      <c r="S528" s="54"/>
      <c r="T528" s="54"/>
      <c r="U528" s="54"/>
      <c r="V528" s="54"/>
      <c r="W528" s="54"/>
      <c r="X528" s="54"/>
      <c r="Y528" s="54"/>
      <c r="Z528" s="54"/>
      <c r="AA528" s="54"/>
      <c r="AB528" s="54"/>
      <c r="AC528" s="1297">
        <v>6</v>
      </c>
      <c r="AD528" s="1144"/>
      <c r="AE528" s="1144"/>
      <c r="AF528" s="1144"/>
      <c r="AG528" s="47" t="s">
        <v>248</v>
      </c>
      <c r="AH528" s="1115">
        <v>2023</v>
      </c>
      <c r="AI528" s="1115"/>
      <c r="AJ528" s="1115"/>
      <c r="AK528" s="111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9"/>
      <c r="C529" s="1340"/>
      <c r="D529" s="1340"/>
      <c r="E529" s="1340"/>
      <c r="F529" s="1340"/>
      <c r="G529" s="1340"/>
      <c r="H529" s="1341"/>
      <c r="I529" s="7" t="s">
        <v>688</v>
      </c>
      <c r="J529" s="7"/>
      <c r="K529" s="7"/>
      <c r="L529" s="7"/>
      <c r="M529" s="7"/>
      <c r="N529" s="7"/>
      <c r="O529" s="1298" t="s">
        <v>2422</v>
      </c>
      <c r="P529" s="1299"/>
      <c r="Q529" s="1299"/>
      <c r="R529" s="1299"/>
      <c r="S529" s="1299"/>
      <c r="T529" s="1299"/>
      <c r="U529" s="1299"/>
      <c r="V529" s="1299"/>
      <c r="W529" s="1299"/>
      <c r="X529" s="1299"/>
      <c r="Y529" s="1299"/>
      <c r="Z529" s="1299"/>
      <c r="AA529" s="1299"/>
      <c r="AC529" s="1297" t="s">
        <v>124</v>
      </c>
      <c r="AD529" s="1144"/>
      <c r="AE529" s="1144"/>
      <c r="AF529" s="1144"/>
      <c r="AG529" s="18" t="s">
        <v>248</v>
      </c>
      <c r="AH529" s="1115"/>
      <c r="AI529" s="1115"/>
      <c r="AJ529" s="1115"/>
      <c r="AK529" s="111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9"/>
      <c r="C530" s="1340"/>
      <c r="D530" s="1340"/>
      <c r="E530" s="1340"/>
      <c r="F530" s="1340"/>
      <c r="G530" s="1340"/>
      <c r="H530" s="1341"/>
      <c r="I530" t="s">
        <v>686</v>
      </c>
      <c r="AC530" s="1297">
        <v>1</v>
      </c>
      <c r="AD530" s="1144"/>
      <c r="AE530" s="1144"/>
      <c r="AF530" s="1144"/>
      <c r="AG530" s="18" t="s">
        <v>248</v>
      </c>
      <c r="AH530" s="1115">
        <v>2024</v>
      </c>
      <c r="AI530" s="1115"/>
      <c r="AJ530" s="1115"/>
      <c r="AK530" s="111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9"/>
      <c r="C531" s="1340"/>
      <c r="D531" s="1340"/>
      <c r="E531" s="1340"/>
      <c r="F531" s="1340"/>
      <c r="G531" s="1340"/>
      <c r="H531" s="1341"/>
      <c r="I531" s="54" t="s">
        <v>687</v>
      </c>
      <c r="J531" s="54"/>
      <c r="K531" s="54"/>
      <c r="L531" s="54"/>
      <c r="M531" s="54"/>
      <c r="N531" s="54"/>
      <c r="O531" s="54"/>
      <c r="P531" s="54"/>
      <c r="Q531" s="54"/>
      <c r="R531" s="54"/>
      <c r="S531" s="54"/>
      <c r="T531" s="54"/>
      <c r="U531" s="54"/>
      <c r="V531" s="54"/>
      <c r="W531" s="54"/>
      <c r="X531" s="54"/>
      <c r="Y531" s="54"/>
      <c r="Z531" s="54"/>
      <c r="AA531" s="54"/>
      <c r="AB531" s="54"/>
      <c r="AC531" s="1297">
        <v>4</v>
      </c>
      <c r="AD531" s="1144"/>
      <c r="AE531" s="1144"/>
      <c r="AF531" s="1144"/>
      <c r="AG531" s="47" t="s">
        <v>248</v>
      </c>
      <c r="AH531" s="1115">
        <v>2024</v>
      </c>
      <c r="AI531" s="1115"/>
      <c r="AJ531" s="1115"/>
      <c r="AK531" s="111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9"/>
      <c r="C532" s="1340"/>
      <c r="D532" s="1340"/>
      <c r="E532" s="1340"/>
      <c r="F532" s="1340"/>
      <c r="G532" s="1340"/>
      <c r="H532" s="1341"/>
      <c r="I532" s="7" t="s">
        <v>688</v>
      </c>
      <c r="J532" s="7"/>
      <c r="K532" s="7"/>
      <c r="L532" s="7"/>
      <c r="M532" s="7"/>
      <c r="N532" s="7"/>
      <c r="O532" s="1298" t="s">
        <v>2423</v>
      </c>
      <c r="P532" s="1299"/>
      <c r="Q532" s="1299"/>
      <c r="R532" s="1299"/>
      <c r="S532" s="1299"/>
      <c r="T532" s="1299"/>
      <c r="U532" s="1299"/>
      <c r="V532" s="1299"/>
      <c r="W532" s="1299"/>
      <c r="X532" s="1299"/>
      <c r="Y532" s="1299"/>
      <c r="Z532" s="1299"/>
      <c r="AA532" s="1299"/>
      <c r="AC532" s="1297" t="s">
        <v>124</v>
      </c>
      <c r="AD532" s="1144"/>
      <c r="AE532" s="1144"/>
      <c r="AF532" s="1144"/>
      <c r="AG532" s="18" t="s">
        <v>248</v>
      </c>
      <c r="AH532" s="1115"/>
      <c r="AI532" s="1115"/>
      <c r="AJ532" s="1115"/>
      <c r="AK532" s="111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9"/>
      <c r="C533" s="1340"/>
      <c r="D533" s="1340"/>
      <c r="E533" s="1340"/>
      <c r="F533" s="1340"/>
      <c r="G533" s="1340"/>
      <c r="H533" s="1341"/>
      <c r="I533" t="s">
        <v>686</v>
      </c>
      <c r="AC533" s="1297">
        <v>2</v>
      </c>
      <c r="AD533" s="1144"/>
      <c r="AE533" s="1144"/>
      <c r="AF533" s="1144"/>
      <c r="AG533" s="18" t="s">
        <v>248</v>
      </c>
      <c r="AH533" s="1115">
        <v>2024</v>
      </c>
      <c r="AI533" s="1115"/>
      <c r="AJ533" s="1115"/>
      <c r="AK533" s="111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9"/>
      <c r="C534" s="1340"/>
      <c r="D534" s="1340"/>
      <c r="E534" s="1340"/>
      <c r="F534" s="1340"/>
      <c r="G534" s="1340"/>
      <c r="H534" s="1341"/>
      <c r="I534" s="54" t="s">
        <v>687</v>
      </c>
      <c r="J534" s="54"/>
      <c r="K534" s="54"/>
      <c r="L534" s="54"/>
      <c r="M534" s="54"/>
      <c r="N534" s="54"/>
      <c r="O534" s="54"/>
      <c r="P534" s="54"/>
      <c r="Q534" s="54"/>
      <c r="R534" s="54"/>
      <c r="S534" s="54"/>
      <c r="T534" s="54"/>
      <c r="U534" s="54"/>
      <c r="V534" s="54"/>
      <c r="W534" s="54"/>
      <c r="X534" s="54"/>
      <c r="Y534" s="54"/>
      <c r="Z534" s="54"/>
      <c r="AA534" s="54"/>
      <c r="AB534" s="54"/>
      <c r="AC534" s="1297">
        <v>6</v>
      </c>
      <c r="AD534" s="1144"/>
      <c r="AE534" s="1144"/>
      <c r="AF534" s="1144"/>
      <c r="AG534" s="47" t="s">
        <v>248</v>
      </c>
      <c r="AH534" s="1115">
        <v>2024</v>
      </c>
      <c r="AI534" s="1115"/>
      <c r="AJ534" s="1115"/>
      <c r="AK534" s="111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9"/>
      <c r="C535" s="1340"/>
      <c r="D535" s="1340"/>
      <c r="E535" s="1340"/>
      <c r="F535" s="1340"/>
      <c r="G535" s="1340"/>
      <c r="H535" s="1341"/>
      <c r="I535" s="7" t="s">
        <v>688</v>
      </c>
      <c r="J535" s="7"/>
      <c r="K535" s="7"/>
      <c r="L535" s="7"/>
      <c r="M535" s="7"/>
      <c r="N535" s="7"/>
      <c r="O535" s="1298" t="s">
        <v>2424</v>
      </c>
      <c r="P535" s="1299"/>
      <c r="Q535" s="1299"/>
      <c r="R535" s="1299"/>
      <c r="S535" s="1299"/>
      <c r="T535" s="1299"/>
      <c r="U535" s="1299"/>
      <c r="V535" s="1299"/>
      <c r="W535" s="1299"/>
      <c r="X535" s="1299"/>
      <c r="Y535" s="1299"/>
      <c r="Z535" s="1299"/>
      <c r="AA535" s="1299"/>
      <c r="AC535" s="1297" t="s">
        <v>124</v>
      </c>
      <c r="AD535" s="1144"/>
      <c r="AE535" s="1144"/>
      <c r="AF535" s="1144"/>
      <c r="AG535" s="18" t="s">
        <v>248</v>
      </c>
      <c r="AH535" s="1115"/>
      <c r="AI535" s="1115"/>
      <c r="AJ535" s="1115"/>
      <c r="AK535" s="111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9"/>
      <c r="C536" s="1340"/>
      <c r="D536" s="1340"/>
      <c r="E536" s="1340"/>
      <c r="F536" s="1340"/>
      <c r="G536" s="1340"/>
      <c r="H536" s="1341"/>
      <c r="I536" t="s">
        <v>686</v>
      </c>
      <c r="AC536" s="1297">
        <v>2</v>
      </c>
      <c r="AD536" s="1144"/>
      <c r="AE536" s="1144"/>
      <c r="AF536" s="1144"/>
      <c r="AG536" s="47" t="s">
        <v>248</v>
      </c>
      <c r="AH536" s="1115">
        <v>2024</v>
      </c>
      <c r="AI536" s="1115"/>
      <c r="AJ536" s="1115"/>
      <c r="AK536" s="111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9"/>
      <c r="C537" s="1340"/>
      <c r="D537" s="1340"/>
      <c r="E537" s="1340"/>
      <c r="F537" s="1340"/>
      <c r="G537" s="1340"/>
      <c r="H537" s="1341"/>
      <c r="I537" s="54" t="s">
        <v>687</v>
      </c>
      <c r="J537" s="54"/>
      <c r="K537" s="54"/>
      <c r="L537" s="54"/>
      <c r="M537" s="54"/>
      <c r="N537" s="54"/>
      <c r="O537" s="54"/>
      <c r="P537" s="54"/>
      <c r="Q537" s="54"/>
      <c r="R537" s="54"/>
      <c r="S537" s="54"/>
      <c r="T537" s="54"/>
      <c r="U537" s="54"/>
      <c r="V537" s="54"/>
      <c r="W537" s="54"/>
      <c r="X537" s="54"/>
      <c r="Y537" s="54"/>
      <c r="Z537" s="54"/>
      <c r="AA537" s="54"/>
      <c r="AB537" s="54"/>
      <c r="AC537" s="1297">
        <v>10</v>
      </c>
      <c r="AD537" s="1144"/>
      <c r="AE537" s="1144"/>
      <c r="AF537" s="1144"/>
      <c r="AG537" s="18" t="s">
        <v>248</v>
      </c>
      <c r="AH537" s="1115">
        <v>2024</v>
      </c>
      <c r="AI537" s="1115"/>
      <c r="AJ537" s="1115"/>
      <c r="AK537" s="111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9"/>
      <c r="C538" s="1340"/>
      <c r="D538" s="1340"/>
      <c r="E538" s="1340"/>
      <c r="F538" s="1340"/>
      <c r="G538" s="1340"/>
      <c r="H538" s="1341"/>
      <c r="I538" s="7" t="s">
        <v>688</v>
      </c>
      <c r="J538" s="7"/>
      <c r="K538" s="7"/>
      <c r="L538" s="7"/>
      <c r="M538" s="7"/>
      <c r="N538" s="7"/>
      <c r="O538" s="1298" t="s">
        <v>2513</v>
      </c>
      <c r="P538" s="1299"/>
      <c r="Q538" s="1299"/>
      <c r="R538" s="1299"/>
      <c r="S538" s="1299"/>
      <c r="T538" s="1299"/>
      <c r="U538" s="1299"/>
      <c r="V538" s="1299"/>
      <c r="W538" s="1299"/>
      <c r="X538" s="1299"/>
      <c r="Y538" s="1299"/>
      <c r="Z538" s="1299"/>
      <c r="AA538" s="1299"/>
      <c r="AC538" s="1297">
        <v>5</v>
      </c>
      <c r="AD538" s="1144"/>
      <c r="AE538" s="1144"/>
      <c r="AF538" s="1144"/>
      <c r="AG538" s="47" t="s">
        <v>248</v>
      </c>
      <c r="AH538" s="1115">
        <v>2025</v>
      </c>
      <c r="AI538" s="1115"/>
      <c r="AJ538" s="1115"/>
      <c r="AK538" s="111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9"/>
      <c r="C539" s="1340"/>
      <c r="D539" s="1340"/>
      <c r="E539" s="1340"/>
      <c r="F539" s="1340"/>
      <c r="G539" s="1340"/>
      <c r="H539" s="1341"/>
      <c r="I539" t="s">
        <v>686</v>
      </c>
      <c r="AC539" s="1297">
        <v>5</v>
      </c>
      <c r="AD539" s="1144"/>
      <c r="AE539" s="1144"/>
      <c r="AF539" s="1144"/>
      <c r="AG539" s="18" t="s">
        <v>248</v>
      </c>
      <c r="AH539" s="1115">
        <v>2025</v>
      </c>
      <c r="AI539" s="1115"/>
      <c r="AJ539" s="1115"/>
      <c r="AK539" s="111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9"/>
      <c r="C540" s="1340"/>
      <c r="D540" s="1340"/>
      <c r="E540" s="1340"/>
      <c r="F540" s="1340"/>
      <c r="G540" s="1340"/>
      <c r="H540" s="1341"/>
      <c r="I540" s="54" t="s">
        <v>687</v>
      </c>
      <c r="J540" s="54"/>
      <c r="K540" s="54"/>
      <c r="L540" s="54"/>
      <c r="M540" s="54"/>
      <c r="N540" s="54"/>
      <c r="O540" s="54"/>
      <c r="P540" s="54"/>
      <c r="Q540" s="54"/>
      <c r="R540" s="54"/>
      <c r="S540" s="54"/>
      <c r="T540" s="54"/>
      <c r="U540" s="54"/>
      <c r="V540" s="54"/>
      <c r="W540" s="54"/>
      <c r="X540" s="54"/>
      <c r="Y540" s="54"/>
      <c r="Z540" s="54"/>
      <c r="AA540" s="54"/>
      <c r="AB540" s="54"/>
      <c r="AC540" s="1297">
        <v>6</v>
      </c>
      <c r="AD540" s="1144"/>
      <c r="AE540" s="1144"/>
      <c r="AF540" s="1144"/>
      <c r="AG540" s="47" t="s">
        <v>248</v>
      </c>
      <c r="AH540" s="1115">
        <v>2025</v>
      </c>
      <c r="AI540" s="1115"/>
      <c r="AJ540" s="1115"/>
      <c r="AK540" s="111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9"/>
      <c r="C541" s="1340"/>
      <c r="D541" s="1340"/>
      <c r="E541" s="1340"/>
      <c r="F541" s="1340"/>
      <c r="G541" s="1340"/>
      <c r="H541" s="1341"/>
      <c r="I541" s="7" t="s">
        <v>735</v>
      </c>
      <c r="J541" s="7"/>
      <c r="K541" s="7"/>
      <c r="L541" s="7"/>
      <c r="M541" s="7"/>
      <c r="N541" s="7"/>
      <c r="O541" s="7"/>
      <c r="P541" s="7"/>
      <c r="Q541" s="7"/>
      <c r="R541" s="7"/>
      <c r="S541" s="7"/>
      <c r="T541" s="7"/>
      <c r="U541" s="7"/>
      <c r="V541" s="7"/>
      <c r="W541" s="7"/>
      <c r="AC541" s="1297">
        <v>4</v>
      </c>
      <c r="AD541" s="1144"/>
      <c r="AE541" s="1144"/>
      <c r="AF541" s="1144"/>
      <c r="AG541" s="47" t="s">
        <v>248</v>
      </c>
      <c r="AH541" s="1115">
        <v>2026</v>
      </c>
      <c r="AI541" s="1115"/>
      <c r="AJ541" s="1115"/>
      <c r="AK541" s="1116"/>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9"/>
      <c r="C542" s="1340"/>
      <c r="D542" s="1340"/>
      <c r="E542" s="1340"/>
      <c r="F542" s="1340"/>
      <c r="G542" s="1340"/>
      <c r="H542" s="1341"/>
      <c r="I542" t="s">
        <v>736</v>
      </c>
      <c r="AC542" s="1297">
        <v>3</v>
      </c>
      <c r="AD542" s="1144"/>
      <c r="AE542" s="1144"/>
      <c r="AF542" s="1144"/>
      <c r="AG542" s="18" t="s">
        <v>248</v>
      </c>
      <c r="AH542" s="1115">
        <v>2026</v>
      </c>
      <c r="AI542" s="1115"/>
      <c r="AJ542" s="1115"/>
      <c r="AK542" s="1116"/>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9"/>
      <c r="C543" s="1340"/>
      <c r="D543" s="1340"/>
      <c r="E543" s="1340"/>
      <c r="F543" s="1340"/>
      <c r="G543" s="1340"/>
      <c r="H543" s="1341"/>
      <c r="I543" t="s">
        <v>737</v>
      </c>
      <c r="AC543" s="1297">
        <v>8</v>
      </c>
      <c r="AD543" s="1144"/>
      <c r="AE543" s="1144"/>
      <c r="AF543" s="1144"/>
      <c r="AG543" s="47" t="s">
        <v>248</v>
      </c>
      <c r="AH543" s="1115">
        <v>2027</v>
      </c>
      <c r="AI543" s="1115"/>
      <c r="AJ543" s="1115"/>
      <c r="AK543" s="1116"/>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9"/>
      <c r="C544" s="1340"/>
      <c r="D544" s="1340"/>
      <c r="E544" s="1340"/>
      <c r="F544" s="1340"/>
      <c r="G544" s="1340"/>
      <c r="H544" s="1341"/>
      <c r="I544" t="s">
        <v>738</v>
      </c>
      <c r="AC544" s="1297">
        <v>8</v>
      </c>
      <c r="AD544" s="1144"/>
      <c r="AE544" s="1144"/>
      <c r="AF544" s="1144"/>
      <c r="AG544" s="47" t="s">
        <v>248</v>
      </c>
      <c r="AH544" s="1115">
        <v>2027</v>
      </c>
      <c r="AI544" s="1115"/>
      <c r="AJ544" s="1115"/>
      <c r="AK544" s="1116"/>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2"/>
      <c r="C545" s="1343"/>
      <c r="D545" s="1343"/>
      <c r="E545" s="1343"/>
      <c r="F545" s="1343"/>
      <c r="G545" s="1343"/>
      <c r="H545" s="1344"/>
      <c r="I545" s="54" t="s">
        <v>1364</v>
      </c>
      <c r="J545" s="54"/>
      <c r="K545" s="54"/>
      <c r="L545" s="54"/>
      <c r="M545" s="54"/>
      <c r="N545" s="54"/>
      <c r="O545" s="54"/>
      <c r="P545" s="54"/>
      <c r="Q545" s="54"/>
      <c r="R545" s="54"/>
      <c r="S545" s="54"/>
      <c r="T545" s="54"/>
      <c r="U545" s="54"/>
      <c r="V545" s="54"/>
      <c r="W545" s="54"/>
      <c r="X545" s="54"/>
      <c r="Y545" s="54"/>
      <c r="Z545" s="54"/>
      <c r="AA545" s="54"/>
      <c r="AB545" s="54"/>
      <c r="AC545" s="1297">
        <v>11</v>
      </c>
      <c r="AD545" s="1144"/>
      <c r="AE545" s="1144"/>
      <c r="AF545" s="1144"/>
      <c r="AG545" s="47" t="s">
        <v>248</v>
      </c>
      <c r="AH545" s="1115">
        <v>2027</v>
      </c>
      <c r="AI545" s="1115"/>
      <c r="AJ545" s="1115"/>
      <c r="AK545" s="1116"/>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6" t="s">
        <v>2179</v>
      </c>
      <c r="C554" s="1337"/>
      <c r="D554" s="1337"/>
      <c r="E554" s="1337"/>
      <c r="F554" s="1337"/>
      <c r="G554" s="1337"/>
      <c r="H554" s="1337"/>
      <c r="I554" s="1337"/>
      <c r="J554" s="1337"/>
      <c r="K554" s="1337"/>
      <c r="L554" s="1337"/>
      <c r="M554" s="1362" t="s">
        <v>2153</v>
      </c>
      <c r="N554" s="1362"/>
      <c r="O554" s="1362"/>
      <c r="P554" s="1362"/>
      <c r="Q554" s="1336" t="s">
        <v>440</v>
      </c>
      <c r="R554" s="1337"/>
      <c r="S554" s="1338"/>
      <c r="T554" s="1336" t="s">
        <v>1977</v>
      </c>
      <c r="U554" s="1337"/>
      <c r="V554" s="1338"/>
      <c r="W554" s="1336" t="s">
        <v>740</v>
      </c>
      <c r="X554" s="1337"/>
      <c r="Y554" s="1338"/>
      <c r="Z554" s="1336" t="s">
        <v>1979</v>
      </c>
      <c r="AA554" s="1337"/>
      <c r="AB554" s="1337"/>
      <c r="AC554" s="1337"/>
      <c r="AD554" s="1338"/>
      <c r="AE554" s="1336" t="s">
        <v>1978</v>
      </c>
      <c r="AF554" s="1337"/>
      <c r="AG554" s="1337"/>
      <c r="AH554" s="1338"/>
      <c r="AI554" s="1336" t="s">
        <v>1980</v>
      </c>
      <c r="AJ554" s="1337"/>
      <c r="AK554" s="1337"/>
      <c r="AL554" s="1338"/>
      <c r="AM554" s="1336" t="s">
        <v>741</v>
      </c>
      <c r="AN554" s="1337"/>
      <c r="AO554" s="1337"/>
      <c r="AP554" s="1337"/>
      <c r="AQ554" s="1337"/>
      <c r="AR554" s="1337"/>
      <c r="AS554" s="133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9"/>
      <c r="C555" s="1340"/>
      <c r="D555" s="1340"/>
      <c r="E555" s="1340"/>
      <c r="F555" s="1340"/>
      <c r="G555" s="1340"/>
      <c r="H555" s="1340"/>
      <c r="I555" s="1340"/>
      <c r="J555" s="1340"/>
      <c r="K555" s="1340"/>
      <c r="L555" s="1340"/>
      <c r="M555" s="1362"/>
      <c r="N555" s="1362"/>
      <c r="O555" s="1362"/>
      <c r="P555" s="1362"/>
      <c r="Q555" s="1339"/>
      <c r="R555" s="1340"/>
      <c r="S555" s="1341"/>
      <c r="T555" s="1339"/>
      <c r="U555" s="1340"/>
      <c r="V555" s="1341"/>
      <c r="W555" s="1339"/>
      <c r="X555" s="1340"/>
      <c r="Y555" s="1341"/>
      <c r="Z555" s="1339"/>
      <c r="AA555" s="1340"/>
      <c r="AB555" s="1340"/>
      <c r="AC555" s="1340"/>
      <c r="AD555" s="1341"/>
      <c r="AE555" s="1339"/>
      <c r="AF555" s="1340"/>
      <c r="AG555" s="1340"/>
      <c r="AH555" s="1341"/>
      <c r="AI555" s="1339"/>
      <c r="AJ555" s="1340"/>
      <c r="AK555" s="1340"/>
      <c r="AL555" s="1341"/>
      <c r="AM555" s="1339"/>
      <c r="AN555" s="1340"/>
      <c r="AO555" s="1340"/>
      <c r="AP555" s="1340"/>
      <c r="AQ555" s="1340"/>
      <c r="AR555" s="1340"/>
      <c r="AS555" s="134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2"/>
      <c r="C556" s="1343"/>
      <c r="D556" s="1343"/>
      <c r="E556" s="1343"/>
      <c r="F556" s="1343"/>
      <c r="G556" s="1343"/>
      <c r="H556" s="1343"/>
      <c r="I556" s="1343"/>
      <c r="J556" s="1343"/>
      <c r="K556" s="1343"/>
      <c r="L556" s="1343"/>
      <c r="M556" s="1362"/>
      <c r="N556" s="1362"/>
      <c r="O556" s="1362"/>
      <c r="P556" s="1362"/>
      <c r="Q556" s="1342"/>
      <c r="R556" s="1343"/>
      <c r="S556" s="1344"/>
      <c r="T556" s="1342"/>
      <c r="U556" s="1343"/>
      <c r="V556" s="1344"/>
      <c r="W556" s="1342"/>
      <c r="X556" s="1343"/>
      <c r="Y556" s="1344"/>
      <c r="Z556" s="1342"/>
      <c r="AA556" s="1343"/>
      <c r="AB556" s="1343"/>
      <c r="AC556" s="1343"/>
      <c r="AD556" s="1344"/>
      <c r="AE556" s="1342"/>
      <c r="AF556" s="1343"/>
      <c r="AG556" s="1343"/>
      <c r="AH556" s="1344"/>
      <c r="AI556" s="1342"/>
      <c r="AJ556" s="1343"/>
      <c r="AK556" s="1343"/>
      <c r="AL556" s="1344"/>
      <c r="AM556" s="1342"/>
      <c r="AN556" s="1343"/>
      <c r="AO556" s="1343"/>
      <c r="AP556" s="1343"/>
      <c r="AQ556" s="1343"/>
      <c r="AR556" s="1343"/>
      <c r="AS556" s="134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61" t="s">
        <v>2425</v>
      </c>
      <c r="D557" s="1361"/>
      <c r="E557" s="1361"/>
      <c r="F557" s="1361"/>
      <c r="G557" s="1361"/>
      <c r="H557" s="1361"/>
      <c r="I557" s="1361"/>
      <c r="J557" s="1361"/>
      <c r="K557" s="1361"/>
      <c r="L557" s="1361"/>
      <c r="M557" s="1300" t="s">
        <v>2163</v>
      </c>
      <c r="N557" s="1300"/>
      <c r="O557" s="1300"/>
      <c r="P557" s="1300"/>
      <c r="Q557" s="1285">
        <f>[1]budgets!$C$24+[1]budgets!$G$24</f>
        <v>25</v>
      </c>
      <c r="R557" s="1285"/>
      <c r="S557" s="1286"/>
      <c r="T557" s="1284">
        <v>0</v>
      </c>
      <c r="U557" s="1285"/>
      <c r="V557" s="1286"/>
      <c r="W557" s="1287">
        <f>[2]budgets!$F$23</f>
        <v>7.2499999999999995E-2</v>
      </c>
      <c r="X557" s="1288"/>
      <c r="Y557" s="1289"/>
      <c r="Z557" s="1290" t="s">
        <v>2426</v>
      </c>
      <c r="AA557" s="1290"/>
      <c r="AB557" s="1290"/>
      <c r="AC557" s="1290"/>
      <c r="AD557" s="1290"/>
      <c r="AE557" s="1291">
        <v>1</v>
      </c>
      <c r="AF557" s="1292"/>
      <c r="AG557" s="1292"/>
      <c r="AH557" s="1293"/>
      <c r="AI557" s="1294"/>
      <c r="AJ557" s="1295"/>
      <c r="AK557" s="1295"/>
      <c r="AL557" s="1296"/>
      <c r="AM557" s="1065">
        <f>[2]budgets!$C$23</f>
        <v>19033845.196342312</v>
      </c>
      <c r="AN557" s="1061"/>
      <c r="AO557" s="1061"/>
      <c r="AP557" s="1061"/>
      <c r="AQ557" s="1061"/>
      <c r="AR557" s="1061"/>
      <c r="AS557" s="1062"/>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61" t="s">
        <v>2427</v>
      </c>
      <c r="D558" s="1361"/>
      <c r="E558" s="1361"/>
      <c r="F558" s="1361"/>
      <c r="G558" s="1361"/>
      <c r="H558" s="1361"/>
      <c r="I558" s="1361"/>
      <c r="J558" s="1361"/>
      <c r="K558" s="1361"/>
      <c r="L558" s="1361"/>
      <c r="M558" s="1300" t="s">
        <v>2177</v>
      </c>
      <c r="N558" s="1300"/>
      <c r="O558" s="1300"/>
      <c r="P558" s="1300"/>
      <c r="Q558" s="1284">
        <f>99*12</f>
        <v>1188</v>
      </c>
      <c r="R558" s="1285"/>
      <c r="S558" s="1286"/>
      <c r="T558" s="1284">
        <v>0</v>
      </c>
      <c r="U558" s="1285"/>
      <c r="V558" s="1286"/>
      <c r="W558" s="1287"/>
      <c r="X558" s="1288"/>
      <c r="Y558" s="1289"/>
      <c r="Z558" s="1290" t="s">
        <v>124</v>
      </c>
      <c r="AA558" s="1290"/>
      <c r="AB558" s="1290"/>
      <c r="AC558" s="1290"/>
      <c r="AD558" s="1290"/>
      <c r="AE558" s="1291"/>
      <c r="AF558" s="1292"/>
      <c r="AG558" s="1292"/>
      <c r="AH558" s="1293"/>
      <c r="AI558" s="1294"/>
      <c r="AJ558" s="1295"/>
      <c r="AK558" s="1295"/>
      <c r="AL558" s="1296"/>
      <c r="AM558" s="1065">
        <f>[2]budgets!$C$9</f>
        <v>1253674</v>
      </c>
      <c r="AN558" s="1061"/>
      <c r="AO558" s="1061"/>
      <c r="AP558" s="1061"/>
      <c r="AQ558" s="1061"/>
      <c r="AR558" s="1061"/>
      <c r="AS558" s="1062"/>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61" t="s">
        <v>2428</v>
      </c>
      <c r="D559" s="1361"/>
      <c r="E559" s="1361"/>
      <c r="F559" s="1361"/>
      <c r="G559" s="1361"/>
      <c r="H559" s="1361"/>
      <c r="I559" s="1361"/>
      <c r="J559" s="1361"/>
      <c r="K559" s="1361"/>
      <c r="L559" s="1361"/>
      <c r="M559" s="1300" t="s">
        <v>2165</v>
      </c>
      <c r="N559" s="1300"/>
      <c r="O559" s="1300"/>
      <c r="P559" s="1300"/>
      <c r="Q559" s="1284">
        <v>660</v>
      </c>
      <c r="R559" s="1285"/>
      <c r="S559" s="1286"/>
      <c r="T559" s="1284">
        <v>0</v>
      </c>
      <c r="U559" s="1285"/>
      <c r="V559" s="1286"/>
      <c r="W559" s="1287">
        <v>0</v>
      </c>
      <c r="X559" s="1288"/>
      <c r="Y559" s="1289"/>
      <c r="Z559" s="1290" t="s">
        <v>2429</v>
      </c>
      <c r="AA559" s="1290"/>
      <c r="AB559" s="1290"/>
      <c r="AC559" s="1290"/>
      <c r="AD559" s="1290"/>
      <c r="AE559" s="1291">
        <v>2</v>
      </c>
      <c r="AF559" s="1292"/>
      <c r="AG559" s="1292"/>
      <c r="AH559" s="1293"/>
      <c r="AI559" s="1294"/>
      <c r="AJ559" s="1295"/>
      <c r="AK559" s="1295"/>
      <c r="AL559" s="1296"/>
      <c r="AM559" s="1065">
        <f>[2]budgets!$C$14</f>
        <v>9761541</v>
      </c>
      <c r="AN559" s="1061"/>
      <c r="AO559" s="1061"/>
      <c r="AP559" s="1061"/>
      <c r="AQ559" s="1061"/>
      <c r="AR559" s="1061"/>
      <c r="AS559" s="1062"/>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1" t="s">
        <v>2430</v>
      </c>
      <c r="D560" s="1361"/>
      <c r="E560" s="1361"/>
      <c r="F560" s="1361"/>
      <c r="G560" s="1361"/>
      <c r="H560" s="1361"/>
      <c r="I560" s="1361"/>
      <c r="J560" s="1361"/>
      <c r="K560" s="1361"/>
      <c r="L560" s="1361"/>
      <c r="M560" s="1300" t="s">
        <v>2165</v>
      </c>
      <c r="N560" s="1300"/>
      <c r="O560" s="1300"/>
      <c r="P560" s="1300"/>
      <c r="Q560" s="1284">
        <v>660</v>
      </c>
      <c r="R560" s="1285"/>
      <c r="S560" s="1286"/>
      <c r="T560" s="1284">
        <v>0</v>
      </c>
      <c r="U560" s="1285"/>
      <c r="V560" s="1286"/>
      <c r="W560" s="1287">
        <v>0.03</v>
      </c>
      <c r="X560" s="1288"/>
      <c r="Y560" s="1289"/>
      <c r="Z560" s="1290" t="s">
        <v>2429</v>
      </c>
      <c r="AA560" s="1290"/>
      <c r="AB560" s="1290"/>
      <c r="AC560" s="1290"/>
      <c r="AD560" s="1290"/>
      <c r="AE560" s="1291">
        <v>3</v>
      </c>
      <c r="AF560" s="1292"/>
      <c r="AG560" s="1292"/>
      <c r="AH560" s="1293"/>
      <c r="AI560" s="1294"/>
      <c r="AJ560" s="1295"/>
      <c r="AK560" s="1295"/>
      <c r="AL560" s="1296"/>
      <c r="AM560" s="1065">
        <f>[2]budgets!$C$8</f>
        <v>5000000</v>
      </c>
      <c r="AN560" s="1061"/>
      <c r="AO560" s="1061"/>
      <c r="AP560" s="1061"/>
      <c r="AQ560" s="1061"/>
      <c r="AR560" s="1061"/>
      <c r="AS560" s="1062"/>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1" t="s">
        <v>2431</v>
      </c>
      <c r="D561" s="1361"/>
      <c r="E561" s="1361"/>
      <c r="F561" s="1361"/>
      <c r="G561" s="1361"/>
      <c r="H561" s="1361"/>
      <c r="I561" s="1361"/>
      <c r="J561" s="1361"/>
      <c r="K561" s="1361"/>
      <c r="L561" s="1361"/>
      <c r="M561" s="1300" t="s">
        <v>2165</v>
      </c>
      <c r="N561" s="1300"/>
      <c r="O561" s="1300"/>
      <c r="P561" s="1300"/>
      <c r="Q561" s="1284">
        <v>660</v>
      </c>
      <c r="R561" s="1285"/>
      <c r="S561" s="1286"/>
      <c r="T561" s="1284">
        <v>0</v>
      </c>
      <c r="U561" s="1285"/>
      <c r="V561" s="1286"/>
      <c r="W561" s="1287">
        <v>0.03</v>
      </c>
      <c r="X561" s="1288"/>
      <c r="Y561" s="1289"/>
      <c r="Z561" s="1290" t="s">
        <v>2429</v>
      </c>
      <c r="AA561" s="1290"/>
      <c r="AB561" s="1290"/>
      <c r="AC561" s="1290"/>
      <c r="AD561" s="1290"/>
      <c r="AE561" s="1291">
        <v>4</v>
      </c>
      <c r="AF561" s="1292"/>
      <c r="AG561" s="1292"/>
      <c r="AH561" s="1293"/>
      <c r="AI561" s="1294"/>
      <c r="AJ561" s="1295"/>
      <c r="AK561" s="1295"/>
      <c r="AL561" s="1296"/>
      <c r="AM561" s="1065">
        <f>[2]budgets!$C$10</f>
        <v>551582</v>
      </c>
      <c r="AN561" s="1061"/>
      <c r="AO561" s="1061"/>
      <c r="AP561" s="1061"/>
      <c r="AQ561" s="1061"/>
      <c r="AR561" s="1061"/>
      <c r="AS561" s="1062"/>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1" t="s">
        <v>2432</v>
      </c>
      <c r="D562" s="1361"/>
      <c r="E562" s="1361"/>
      <c r="F562" s="1361"/>
      <c r="G562" s="1361"/>
      <c r="H562" s="1361"/>
      <c r="I562" s="1361"/>
      <c r="J562" s="1361"/>
      <c r="K562" s="1361"/>
      <c r="L562" s="1361"/>
      <c r="M562" s="1300" t="s">
        <v>2165</v>
      </c>
      <c r="N562" s="1300"/>
      <c r="O562" s="1300"/>
      <c r="P562" s="1300"/>
      <c r="Q562" s="1284">
        <v>660</v>
      </c>
      <c r="R562" s="1285"/>
      <c r="S562" s="1286"/>
      <c r="T562" s="1284">
        <v>0</v>
      </c>
      <c r="U562" s="1285"/>
      <c r="V562" s="1286"/>
      <c r="W562" s="1287">
        <v>0</v>
      </c>
      <c r="X562" s="1288"/>
      <c r="Y562" s="1289"/>
      <c r="Z562" s="1290" t="s">
        <v>2429</v>
      </c>
      <c r="AA562" s="1290"/>
      <c r="AB562" s="1290"/>
      <c r="AC562" s="1290"/>
      <c r="AD562" s="1290"/>
      <c r="AE562" s="1291">
        <v>5</v>
      </c>
      <c r="AF562" s="1292"/>
      <c r="AG562" s="1292"/>
      <c r="AH562" s="1293"/>
      <c r="AI562" s="1294"/>
      <c r="AJ562" s="1295"/>
      <c r="AK562" s="1295"/>
      <c r="AL562" s="1296"/>
      <c r="AM562" s="1065">
        <f>[2]budgets!$C$6</f>
        <v>690000</v>
      </c>
      <c r="AN562" s="1061"/>
      <c r="AO562" s="1061"/>
      <c r="AP562" s="1061"/>
      <c r="AQ562" s="1061"/>
      <c r="AR562" s="1061"/>
      <c r="AS562" s="1062"/>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61" t="s">
        <v>2464</v>
      </c>
      <c r="D563" s="1361"/>
      <c r="E563" s="1361"/>
      <c r="F563" s="1361"/>
      <c r="G563" s="1361"/>
      <c r="H563" s="1361"/>
      <c r="I563" s="1361"/>
      <c r="J563" s="1361"/>
      <c r="K563" s="1361"/>
      <c r="L563" s="1361"/>
      <c r="M563" s="1300" t="s">
        <v>2165</v>
      </c>
      <c r="N563" s="1300"/>
      <c r="O563" s="1300"/>
      <c r="P563" s="1300"/>
      <c r="Q563" s="1284">
        <v>660</v>
      </c>
      <c r="R563" s="1285"/>
      <c r="S563" s="1286"/>
      <c r="T563" s="1284">
        <v>0</v>
      </c>
      <c r="U563" s="1285"/>
      <c r="V563" s="1286"/>
      <c r="W563" s="1287">
        <v>0.03</v>
      </c>
      <c r="X563" s="1288"/>
      <c r="Y563" s="1289"/>
      <c r="Z563" s="1290" t="s">
        <v>2429</v>
      </c>
      <c r="AA563" s="1290"/>
      <c r="AB563" s="1290"/>
      <c r="AC563" s="1290"/>
      <c r="AD563" s="1290"/>
      <c r="AE563" s="1291">
        <v>6</v>
      </c>
      <c r="AF563" s="1292"/>
      <c r="AG563" s="1292"/>
      <c r="AH563" s="1293"/>
      <c r="AI563" s="1294"/>
      <c r="AJ563" s="1295"/>
      <c r="AK563" s="1295"/>
      <c r="AL563" s="1296"/>
      <c r="AM563" s="1065">
        <f>[2]budgets!$C$12</f>
        <v>500000</v>
      </c>
      <c r="AN563" s="1061"/>
      <c r="AO563" s="1061"/>
      <c r="AP563" s="1061"/>
      <c r="AQ563" s="1061"/>
      <c r="AR563" s="1061"/>
      <c r="AS563" s="1062"/>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61" t="s">
        <v>2504</v>
      </c>
      <c r="D564" s="1361"/>
      <c r="E564" s="1361"/>
      <c r="F564" s="1361"/>
      <c r="G564" s="1361"/>
      <c r="H564" s="1361"/>
      <c r="I564" s="1361"/>
      <c r="J564" s="1361"/>
      <c r="K564" s="1361"/>
      <c r="L564" s="1361"/>
      <c r="M564" s="1300" t="s">
        <v>2165</v>
      </c>
      <c r="N564" s="1300"/>
      <c r="O564" s="1300"/>
      <c r="P564" s="1300"/>
      <c r="Q564" s="1284">
        <v>660</v>
      </c>
      <c r="R564" s="1285"/>
      <c r="S564" s="1286"/>
      <c r="T564" s="1284">
        <v>0</v>
      </c>
      <c r="U564" s="1285"/>
      <c r="V564" s="1286"/>
      <c r="W564" s="1287">
        <v>0.03</v>
      </c>
      <c r="X564" s="1288"/>
      <c r="Y564" s="1289"/>
      <c r="Z564" s="1290" t="s">
        <v>2429</v>
      </c>
      <c r="AA564" s="1290"/>
      <c r="AB564" s="1290"/>
      <c r="AC564" s="1290"/>
      <c r="AD564" s="1290"/>
      <c r="AE564" s="1291">
        <v>7</v>
      </c>
      <c r="AF564" s="1292"/>
      <c r="AG564" s="1292"/>
      <c r="AH564" s="1293"/>
      <c r="AI564" s="1294"/>
      <c r="AJ564" s="1295"/>
      <c r="AK564" s="1295"/>
      <c r="AL564" s="1296"/>
      <c r="AM564" s="1065">
        <f>[2]budgets!$C$13</f>
        <v>89506</v>
      </c>
      <c r="AN564" s="1061"/>
      <c r="AO564" s="1061"/>
      <c r="AP564" s="1061"/>
      <c r="AQ564" s="1061"/>
      <c r="AR564" s="1061"/>
      <c r="AS564" s="1062"/>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61" t="s">
        <v>2434</v>
      </c>
      <c r="D565" s="1361"/>
      <c r="E565" s="1361"/>
      <c r="F565" s="1361"/>
      <c r="G565" s="1361"/>
      <c r="H565" s="1361"/>
      <c r="I565" s="1361"/>
      <c r="J565" s="1361"/>
      <c r="K565" s="1361"/>
      <c r="L565" s="1361"/>
      <c r="M565" s="1300" t="s">
        <v>2160</v>
      </c>
      <c r="N565" s="1300"/>
      <c r="O565" s="1300"/>
      <c r="P565" s="1300"/>
      <c r="Q565" s="1284"/>
      <c r="R565" s="1285"/>
      <c r="S565" s="1286"/>
      <c r="T565" s="1284"/>
      <c r="U565" s="1285"/>
      <c r="V565" s="1286"/>
      <c r="W565" s="1287"/>
      <c r="X565" s="1288"/>
      <c r="Y565" s="1289"/>
      <c r="Z565" s="1290" t="s">
        <v>1965</v>
      </c>
      <c r="AA565" s="1290"/>
      <c r="AB565" s="1290"/>
      <c r="AC565" s="1290"/>
      <c r="AD565" s="1290"/>
      <c r="AE565" s="1291"/>
      <c r="AF565" s="1292"/>
      <c r="AG565" s="1292"/>
      <c r="AH565" s="1293"/>
      <c r="AI565" s="1294"/>
      <c r="AJ565" s="1295"/>
      <c r="AK565" s="1295"/>
      <c r="AL565" s="1296"/>
      <c r="AM565" s="1065">
        <f>[2]budgets!$C$17*0.1</f>
        <v>2261253</v>
      </c>
      <c r="AN565" s="1061"/>
      <c r="AO565" s="1061"/>
      <c r="AP565" s="1061"/>
      <c r="AQ565" s="1061"/>
      <c r="AR565" s="1061"/>
      <c r="AS565" s="1062"/>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1" t="s">
        <v>2433</v>
      </c>
      <c r="D566" s="1361"/>
      <c r="E566" s="1361"/>
      <c r="F566" s="1361"/>
      <c r="G566" s="1361"/>
      <c r="H566" s="1361"/>
      <c r="I566" s="1361"/>
      <c r="J566" s="1361"/>
      <c r="K566" s="1361"/>
      <c r="L566" s="1361"/>
      <c r="M566" s="1300" t="s">
        <v>2159</v>
      </c>
      <c r="N566" s="1300"/>
      <c r="O566" s="1300"/>
      <c r="P566" s="1300"/>
      <c r="Q566" s="1284"/>
      <c r="R566" s="1285"/>
      <c r="S566" s="1286"/>
      <c r="T566" s="1284"/>
      <c r="U566" s="1285"/>
      <c r="V566" s="1286"/>
      <c r="W566" s="1287"/>
      <c r="X566" s="1288"/>
      <c r="Y566" s="1289"/>
      <c r="Z566" s="1290" t="s">
        <v>1965</v>
      </c>
      <c r="AA566" s="1290"/>
      <c r="AB566" s="1290"/>
      <c r="AC566" s="1290"/>
      <c r="AD566" s="1290"/>
      <c r="AE566" s="1291"/>
      <c r="AF566" s="1292"/>
      <c r="AG566" s="1292"/>
      <c r="AH566" s="1293"/>
      <c r="AI566" s="1294"/>
      <c r="AJ566" s="1295"/>
      <c r="AK566" s="1295"/>
      <c r="AL566" s="1296"/>
      <c r="AM566" s="1065">
        <f>[2]budgets!$C$16</f>
        <v>100</v>
      </c>
      <c r="AN566" s="1061"/>
      <c r="AO566" s="1061"/>
      <c r="AP566" s="1061"/>
      <c r="AQ566" s="1061"/>
      <c r="AR566" s="1061"/>
      <c r="AS566" s="1062"/>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1"/>
      <c r="D567" s="1361"/>
      <c r="E567" s="1361"/>
      <c r="F567" s="1361"/>
      <c r="G567" s="1361"/>
      <c r="H567" s="1361"/>
      <c r="I567" s="1361"/>
      <c r="J567" s="1361"/>
      <c r="K567" s="1361"/>
      <c r="L567" s="1361"/>
      <c r="M567" s="1300" t="s">
        <v>1965</v>
      </c>
      <c r="N567" s="1300"/>
      <c r="O567" s="1300"/>
      <c r="P567" s="1300"/>
      <c r="Q567" s="1284"/>
      <c r="R567" s="1285"/>
      <c r="S567" s="1286"/>
      <c r="T567" s="1284"/>
      <c r="U567" s="1285"/>
      <c r="V567" s="1286"/>
      <c r="W567" s="1287"/>
      <c r="X567" s="1288"/>
      <c r="Y567" s="1289"/>
      <c r="Z567" s="1290" t="s">
        <v>1965</v>
      </c>
      <c r="AA567" s="1290"/>
      <c r="AB567" s="1290"/>
      <c r="AC567" s="1290"/>
      <c r="AD567" s="1290"/>
      <c r="AE567" s="1291"/>
      <c r="AF567" s="1292"/>
      <c r="AG567" s="1292"/>
      <c r="AH567" s="1293"/>
      <c r="AI567" s="1294"/>
      <c r="AJ567" s="1295"/>
      <c r="AK567" s="1295"/>
      <c r="AL567" s="1296"/>
      <c r="AM567" s="1065"/>
      <c r="AN567" s="1061"/>
      <c r="AO567" s="1061"/>
      <c r="AP567" s="1061"/>
      <c r="AQ567" s="1061"/>
      <c r="AR567" s="1061"/>
      <c r="AS567" s="1062"/>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1"/>
      <c r="D568" s="1361"/>
      <c r="E568" s="1361"/>
      <c r="F568" s="1361"/>
      <c r="G568" s="1361"/>
      <c r="H568" s="1361"/>
      <c r="I568" s="1361"/>
      <c r="J568" s="1361"/>
      <c r="K568" s="1361"/>
      <c r="L568" s="1361"/>
      <c r="M568" s="1300" t="s">
        <v>1965</v>
      </c>
      <c r="N568" s="1300"/>
      <c r="O568" s="1300"/>
      <c r="P568" s="1300"/>
      <c r="Q568" s="1284"/>
      <c r="R568" s="1285"/>
      <c r="S568" s="1286"/>
      <c r="T568" s="1284"/>
      <c r="U568" s="1285"/>
      <c r="V568" s="1286"/>
      <c r="W568" s="1287"/>
      <c r="X568" s="1288"/>
      <c r="Y568" s="1289"/>
      <c r="Z568" s="1290" t="s">
        <v>1965</v>
      </c>
      <c r="AA568" s="1290"/>
      <c r="AB568" s="1290"/>
      <c r="AC568" s="1290"/>
      <c r="AD568" s="1290"/>
      <c r="AE568" s="1291"/>
      <c r="AF568" s="1292"/>
      <c r="AG568" s="1292"/>
      <c r="AH568" s="1293"/>
      <c r="AI568" s="1294"/>
      <c r="AJ568" s="1295"/>
      <c r="AK568" s="1295"/>
      <c r="AL568" s="1296"/>
      <c r="AM568" s="1065"/>
      <c r="AN568" s="1061"/>
      <c r="AO568" s="1061"/>
      <c r="AP568" s="1061"/>
      <c r="AQ568" s="1061"/>
      <c r="AR568" s="1061"/>
      <c r="AS568" s="1062"/>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87" t="s">
        <v>357</v>
      </c>
      <c r="C569" s="1088"/>
      <c r="D569" s="1088"/>
      <c r="E569" s="1088"/>
      <c r="F569" s="1088"/>
      <c r="G569" s="1088"/>
      <c r="H569" s="1088"/>
      <c r="I569" s="1088"/>
      <c r="J569" s="1088"/>
      <c r="K569" s="1088"/>
      <c r="L569" s="1088"/>
      <c r="M569" s="1088"/>
      <c r="N569" s="1088"/>
      <c r="O569" s="1088"/>
      <c r="P569" s="1088"/>
      <c r="Q569" s="1088"/>
      <c r="R569" s="1088"/>
      <c r="S569" s="1088"/>
      <c r="T569" s="1088"/>
      <c r="U569" s="1413"/>
      <c r="V569" s="1088"/>
      <c r="W569" s="1088"/>
      <c r="X569" s="1088"/>
      <c r="Y569" s="1088"/>
      <c r="Z569" s="1088"/>
      <c r="AA569" s="1088"/>
      <c r="AB569" s="1088"/>
      <c r="AC569" s="1088"/>
      <c r="AD569" s="1088"/>
      <c r="AE569" s="1088"/>
      <c r="AF569" s="1088"/>
      <c r="AG569" s="1088"/>
      <c r="AH569" s="1088"/>
      <c r="AI569" s="1088"/>
      <c r="AJ569" s="1088"/>
      <c r="AK569" s="1088"/>
      <c r="AL569" s="1089"/>
      <c r="AM569" s="1214">
        <f>SUM(AM557:AS568)</f>
        <v>39141501.196342312</v>
      </c>
      <c r="AN569" s="1215"/>
      <c r="AO569" s="1215"/>
      <c r="AP569" s="1215"/>
      <c r="AQ569" s="1215"/>
      <c r="AR569" s="1215"/>
      <c r="AS569" s="121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3" t="str">
        <f>C557</f>
        <v>US Bank construction loan</v>
      </c>
      <c r="H571" s="1263"/>
      <c r="I571" s="1263"/>
      <c r="J571" s="1263"/>
      <c r="K571" s="1263"/>
      <c r="L571" s="1263"/>
      <c r="M571" s="1263"/>
      <c r="N571" s="1263"/>
      <c r="O571" s="1263"/>
      <c r="P571" s="1263"/>
      <c r="Q571" s="1263"/>
      <c r="R571" s="1263"/>
      <c r="S571" s="12"/>
      <c r="T571" s="61" t="s">
        <v>901</v>
      </c>
      <c r="U571" t="s">
        <v>82</v>
      </c>
      <c r="Z571" s="1263" t="str">
        <f>C558</f>
        <v>Land donation via lease</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50" t="s">
        <v>2435</v>
      </c>
      <c r="H572" s="1150"/>
      <c r="I572" s="1150"/>
      <c r="J572" s="1150"/>
      <c r="K572" s="1150"/>
      <c r="L572" s="1150"/>
      <c r="M572" s="1150"/>
      <c r="N572" s="1150"/>
      <c r="O572" s="1150"/>
      <c r="P572" s="1150"/>
      <c r="Q572" s="1150"/>
      <c r="R572" s="1150"/>
      <c r="S572" s="12"/>
      <c r="T572" s="4"/>
      <c r="U572" t="s">
        <v>372</v>
      </c>
      <c r="Z572" s="1150" t="s">
        <v>2345</v>
      </c>
      <c r="AA572" s="1150"/>
      <c r="AB572" s="1150"/>
      <c r="AC572" s="1150"/>
      <c r="AD572" s="1150"/>
      <c r="AE572" s="1150"/>
      <c r="AF572" s="1150"/>
      <c r="AG572" s="1150"/>
      <c r="AH572" s="1150"/>
      <c r="AI572" s="1150"/>
      <c r="AJ572" s="1150"/>
      <c r="AK572" s="115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50" t="s">
        <v>2436</v>
      </c>
      <c r="H573" s="1150"/>
      <c r="I573" s="1150"/>
      <c r="J573" s="1150"/>
      <c r="K573" s="1150"/>
      <c r="L573" s="1150"/>
      <c r="M573" s="1150"/>
      <c r="N573" s="1150"/>
      <c r="O573" s="1150"/>
      <c r="P573" s="1150"/>
      <c r="Q573" s="1150"/>
      <c r="R573" s="1150"/>
      <c r="T573" s="4"/>
      <c r="U573" t="s">
        <v>430</v>
      </c>
      <c r="Z573" s="1261" t="s">
        <v>28</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50" t="s">
        <v>2437</v>
      </c>
      <c r="H574" s="1150"/>
      <c r="I574" s="1150"/>
      <c r="J574" s="1150"/>
      <c r="K574" s="1150"/>
      <c r="L574" s="1150"/>
      <c r="M574" s="1150"/>
      <c r="N574" s="1150"/>
      <c r="O574" s="1150"/>
      <c r="P574" s="1150"/>
      <c r="Q574" s="1150"/>
      <c r="R574" s="1150"/>
      <c r="S574" s="12"/>
      <c r="T574" s="4"/>
      <c r="U574" t="s">
        <v>833</v>
      </c>
      <c r="Z574" s="1261" t="s">
        <v>2334</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4" t="s">
        <v>2438</v>
      </c>
      <c r="H575" s="1264"/>
      <c r="I575" s="1264"/>
      <c r="J575" s="1264"/>
      <c r="K575" s="1264"/>
      <c r="L575" s="1264"/>
      <c r="O575" s="42" t="s">
        <v>818</v>
      </c>
      <c r="P575" s="1262"/>
      <c r="Q575" s="1262"/>
      <c r="R575" s="1262"/>
      <c r="S575" s="14"/>
      <c r="T575" s="4"/>
      <c r="U575" t="s">
        <v>650</v>
      </c>
      <c r="Z575" s="1264" t="s">
        <v>2347</v>
      </c>
      <c r="AA575" s="1264"/>
      <c r="AB575" s="1264"/>
      <c r="AC575" s="1264"/>
      <c r="AD575" s="1264"/>
      <c r="AE575" s="1264"/>
      <c r="AH575" s="42" t="s">
        <v>818</v>
      </c>
      <c r="AI575" s="1262"/>
      <c r="AJ575" s="1262"/>
      <c r="AK575" s="126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50" t="s">
        <v>2439</v>
      </c>
      <c r="I576" s="1150"/>
      <c r="J576" s="1150"/>
      <c r="K576" s="1150"/>
      <c r="L576" s="1150"/>
      <c r="M576" s="1150"/>
      <c r="N576" s="1150"/>
      <c r="O576" s="1150"/>
      <c r="P576" s="1150"/>
      <c r="Q576" s="1150"/>
      <c r="R576" s="1150"/>
      <c r="S576" s="12"/>
      <c r="T576" s="4"/>
      <c r="U576" t="s">
        <v>834</v>
      </c>
      <c r="AA576" s="1150" t="s">
        <v>2440</v>
      </c>
      <c r="AB576" s="1150"/>
      <c r="AC576" s="1150"/>
      <c r="AD576" s="1150"/>
      <c r="AE576" s="1150"/>
      <c r="AF576" s="1150"/>
      <c r="AG576" s="1150"/>
      <c r="AH576" s="1150"/>
      <c r="AI576" s="1150"/>
      <c r="AJ576" s="1150"/>
      <c r="AK576" s="115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41" t="s">
        <v>108</v>
      </c>
      <c r="O577" s="1141"/>
      <c r="T577" s="4"/>
      <c r="U577" t="s">
        <v>836</v>
      </c>
      <c r="AG577" s="1141" t="s">
        <v>108</v>
      </c>
      <c r="AH577" s="114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3" t="str">
        <f>C559</f>
        <v>HCD- NHTF</v>
      </c>
      <c r="H579" s="1263"/>
      <c r="I579" s="1263"/>
      <c r="J579" s="1263"/>
      <c r="K579" s="1263"/>
      <c r="L579" s="1263"/>
      <c r="M579" s="1263"/>
      <c r="N579" s="1263"/>
      <c r="O579" s="1263"/>
      <c r="P579" s="1263"/>
      <c r="Q579" s="1263"/>
      <c r="R579" s="1263"/>
      <c r="T579" s="61" t="s">
        <v>431</v>
      </c>
      <c r="U579" t="s">
        <v>82</v>
      </c>
      <c r="Z579" s="1263" t="str">
        <f>C560</f>
        <v>Alameda Affordable Housing Trust Fund/AAHC</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50" t="s">
        <v>2443</v>
      </c>
      <c r="H580" s="1150"/>
      <c r="I580" s="1150"/>
      <c r="J580" s="1150"/>
      <c r="K580" s="1150"/>
      <c r="L580" s="1150"/>
      <c r="M580" s="1150"/>
      <c r="N580" s="1150"/>
      <c r="O580" s="1150"/>
      <c r="P580" s="1150"/>
      <c r="Q580" s="1150"/>
      <c r="R580" s="1150"/>
      <c r="T580" s="4"/>
      <c r="U580" t="s">
        <v>372</v>
      </c>
      <c r="Z580" s="1150" t="s">
        <v>2345</v>
      </c>
      <c r="AA580" s="1150"/>
      <c r="AB580" s="1150"/>
      <c r="AC580" s="1150"/>
      <c r="AD580" s="1150"/>
      <c r="AE580" s="1150"/>
      <c r="AF580" s="1150"/>
      <c r="AG580" s="1150"/>
      <c r="AH580" s="1150"/>
      <c r="AI580" s="1150"/>
      <c r="AJ580" s="1150"/>
      <c r="AK580" s="115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1" t="s">
        <v>2444</v>
      </c>
      <c r="H581" s="1261"/>
      <c r="I581" s="1261"/>
      <c r="J581" s="1261"/>
      <c r="K581" s="1261"/>
      <c r="L581" s="1261"/>
      <c r="M581" s="1261"/>
      <c r="N581" s="1261"/>
      <c r="O581" s="1261"/>
      <c r="P581" s="1261"/>
      <c r="Q581" s="1261"/>
      <c r="R581" s="1261"/>
      <c r="T581" s="4"/>
      <c r="U581" t="s">
        <v>430</v>
      </c>
      <c r="Z581" s="1261" t="s">
        <v>28</v>
      </c>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1" t="s">
        <v>2445</v>
      </c>
      <c r="H582" s="1261"/>
      <c r="I582" s="1261"/>
      <c r="J582" s="1261"/>
      <c r="K582" s="1261"/>
      <c r="L582" s="1261"/>
      <c r="M582" s="1261"/>
      <c r="N582" s="1261"/>
      <c r="O582" s="1261"/>
      <c r="P582" s="1261"/>
      <c r="Q582" s="1261"/>
      <c r="R582" s="1261"/>
      <c r="T582" s="4"/>
      <c r="U582" t="s">
        <v>833</v>
      </c>
      <c r="Z582" s="1261" t="s">
        <v>2334</v>
      </c>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4" t="s">
        <v>2446</v>
      </c>
      <c r="H583" s="1264"/>
      <c r="I583" s="1264"/>
      <c r="J583" s="1264"/>
      <c r="K583" s="1264"/>
      <c r="L583" s="1264"/>
      <c r="O583" s="42" t="s">
        <v>818</v>
      </c>
      <c r="P583" s="1262"/>
      <c r="Q583" s="1262"/>
      <c r="R583" s="1262"/>
      <c r="T583" s="4"/>
      <c r="U583" t="s">
        <v>650</v>
      </c>
      <c r="Z583" s="1264" t="s">
        <v>2347</v>
      </c>
      <c r="AA583" s="1264"/>
      <c r="AB583" s="1264"/>
      <c r="AC583" s="1264"/>
      <c r="AD583" s="1264"/>
      <c r="AE583" s="1264"/>
      <c r="AH583" s="42" t="s">
        <v>818</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50" t="s">
        <v>2441</v>
      </c>
      <c r="I584" s="1150"/>
      <c r="J584" s="1150"/>
      <c r="K584" s="1150"/>
      <c r="L584" s="1150"/>
      <c r="M584" s="1150"/>
      <c r="N584" s="1150"/>
      <c r="O584" s="1150"/>
      <c r="P584" s="1150"/>
      <c r="Q584" s="1150"/>
      <c r="R584" s="1150"/>
      <c r="T584" s="4"/>
      <c r="U584" t="s">
        <v>834</v>
      </c>
      <c r="AA584" s="1150" t="s">
        <v>2441</v>
      </c>
      <c r="AB584" s="1150"/>
      <c r="AC584" s="1150"/>
      <c r="AD584" s="1150"/>
      <c r="AE584" s="1150"/>
      <c r="AF584" s="1150"/>
      <c r="AG584" s="1150"/>
      <c r="AH584" s="1150"/>
      <c r="AI584" s="1150"/>
      <c r="AJ584" s="1150"/>
      <c r="AK584" s="115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15" t="s">
        <v>108</v>
      </c>
      <c r="O585" s="1115"/>
      <c r="T585" s="4"/>
      <c r="U585" t="s">
        <v>836</v>
      </c>
      <c r="AG585" s="1115" t="s">
        <v>108</v>
      </c>
      <c r="AH585" s="111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3" t="str">
        <f>C561</f>
        <v>City of Alameda PLHA</v>
      </c>
      <c r="H587" s="1263"/>
      <c r="I587" s="1263"/>
      <c r="J587" s="1263"/>
      <c r="K587" s="1263"/>
      <c r="L587" s="1263"/>
      <c r="M587" s="1263"/>
      <c r="N587" s="1263"/>
      <c r="O587" s="1263"/>
      <c r="P587" s="1263"/>
      <c r="Q587" s="1263"/>
      <c r="R587" s="1263"/>
      <c r="T587" s="61" t="s">
        <v>434</v>
      </c>
      <c r="U587" t="s">
        <v>82</v>
      </c>
      <c r="Z587" s="1263" t="str">
        <f>C562</f>
        <v>AHP</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50" t="s">
        <v>2339</v>
      </c>
      <c r="H588" s="1150"/>
      <c r="I588" s="1150"/>
      <c r="J588" s="1150"/>
      <c r="K588" s="1150"/>
      <c r="L588" s="1150"/>
      <c r="M588" s="1150"/>
      <c r="N588" s="1150"/>
      <c r="O588" s="1150"/>
      <c r="P588" s="1150"/>
      <c r="Q588" s="1150"/>
      <c r="R588" s="1150"/>
      <c r="T588" s="4"/>
      <c r="U588" t="s">
        <v>372</v>
      </c>
      <c r="Z588" s="1150" t="s">
        <v>2449</v>
      </c>
      <c r="AA588" s="1150"/>
      <c r="AB588" s="1150"/>
      <c r="AC588" s="1150"/>
      <c r="AD588" s="1150"/>
      <c r="AE588" s="1150"/>
      <c r="AF588" s="1150"/>
      <c r="AG588" s="1150"/>
      <c r="AH588" s="1150"/>
      <c r="AI588" s="1150"/>
      <c r="AJ588" s="1150"/>
      <c r="AK588" s="115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50" t="s">
        <v>28</v>
      </c>
      <c r="H589" s="1150"/>
      <c r="I589" s="1150"/>
      <c r="J589" s="1150"/>
      <c r="K589" s="1150"/>
      <c r="L589" s="1150"/>
      <c r="M589" s="1150"/>
      <c r="N589" s="1150"/>
      <c r="O589" s="1150"/>
      <c r="P589" s="1150"/>
      <c r="Q589" s="1150"/>
      <c r="R589" s="1150"/>
      <c r="T589" s="4"/>
      <c r="U589" t="s">
        <v>430</v>
      </c>
      <c r="Z589" s="1261" t="s">
        <v>114</v>
      </c>
      <c r="AA589" s="1261"/>
      <c r="AB589" s="1261"/>
      <c r="AC589" s="1261"/>
      <c r="AD589" s="1261"/>
      <c r="AE589" s="1261"/>
      <c r="AF589" s="1261"/>
      <c r="AG589" s="1261"/>
      <c r="AH589" s="1261"/>
      <c r="AI589" s="1261"/>
      <c r="AJ589" s="1261"/>
      <c r="AK589" s="126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50" t="s">
        <v>2447</v>
      </c>
      <c r="H590" s="1150"/>
      <c r="I590" s="1150"/>
      <c r="J590" s="1150"/>
      <c r="K590" s="1150"/>
      <c r="L590" s="1150"/>
      <c r="M590" s="1150"/>
      <c r="N590" s="1150"/>
      <c r="O590" s="1150"/>
      <c r="P590" s="1150"/>
      <c r="Q590" s="1150"/>
      <c r="R590" s="1150"/>
      <c r="T590" s="4"/>
      <c r="U590" t="s">
        <v>833</v>
      </c>
      <c r="Z590" s="1261" t="s">
        <v>2450</v>
      </c>
      <c r="AA590" s="1261"/>
      <c r="AB590" s="1261"/>
      <c r="AC590" s="1261"/>
      <c r="AD590" s="1261"/>
      <c r="AE590" s="1261"/>
      <c r="AF590" s="1261"/>
      <c r="AG590" s="1261"/>
      <c r="AH590" s="1261"/>
      <c r="AI590" s="1261"/>
      <c r="AJ590" s="1261"/>
      <c r="AK590" s="126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4" t="s">
        <v>2448</v>
      </c>
      <c r="H591" s="1264"/>
      <c r="I591" s="1264"/>
      <c r="J591" s="1264"/>
      <c r="K591" s="1264"/>
      <c r="L591" s="1264"/>
      <c r="O591" s="42" t="s">
        <v>818</v>
      </c>
      <c r="P591" s="1262"/>
      <c r="Q591" s="1262"/>
      <c r="R591" s="1262"/>
      <c r="T591" s="4"/>
      <c r="U591" t="s">
        <v>650</v>
      </c>
      <c r="Z591" s="1264" t="s">
        <v>2451</v>
      </c>
      <c r="AA591" s="1264"/>
      <c r="AB591" s="1264"/>
      <c r="AC591" s="1264"/>
      <c r="AD591" s="1264"/>
      <c r="AE591" s="1264"/>
      <c r="AH591" s="42" t="s">
        <v>818</v>
      </c>
      <c r="AI591" s="1262"/>
      <c r="AJ591" s="1262"/>
      <c r="AK591" s="1262"/>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50" t="s">
        <v>2441</v>
      </c>
      <c r="I592" s="1150"/>
      <c r="J592" s="1150"/>
      <c r="K592" s="1150"/>
      <c r="L592" s="1150"/>
      <c r="M592" s="1150"/>
      <c r="N592" s="1150"/>
      <c r="O592" s="1150"/>
      <c r="P592" s="1150"/>
      <c r="Q592" s="1150"/>
      <c r="R592" s="1150"/>
      <c r="T592" s="4"/>
      <c r="U592" t="s">
        <v>834</v>
      </c>
      <c r="AA592" s="1150" t="s">
        <v>2452</v>
      </c>
      <c r="AB592" s="1150"/>
      <c r="AC592" s="1150"/>
      <c r="AD592" s="1150"/>
      <c r="AE592" s="1150"/>
      <c r="AF592" s="1150"/>
      <c r="AG592" s="1150"/>
      <c r="AH592" s="1150"/>
      <c r="AI592" s="1150"/>
      <c r="AJ592" s="1150"/>
      <c r="AK592" s="115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15" t="s">
        <v>108</v>
      </c>
      <c r="O593" s="1115"/>
      <c r="T593" s="4"/>
      <c r="U593" t="s">
        <v>836</v>
      </c>
      <c r="AG593" s="1115" t="s">
        <v>108</v>
      </c>
      <c r="AH593" s="111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3" t="str">
        <f>C563</f>
        <v>Alameda Housing Authority</v>
      </c>
      <c r="H595" s="1263"/>
      <c r="I595" s="1263"/>
      <c r="J595" s="1263"/>
      <c r="K595" s="1263"/>
      <c r="L595" s="1263"/>
      <c r="M595" s="1263"/>
      <c r="N595" s="1263"/>
      <c r="O595" s="1263"/>
      <c r="P595" s="1263"/>
      <c r="Q595" s="1263"/>
      <c r="R595" s="1263"/>
      <c r="T595" s="61" t="s">
        <v>743</v>
      </c>
      <c r="U595" t="s">
        <v>82</v>
      </c>
      <c r="Z595" s="1263" t="str">
        <f>C564</f>
        <v>City of Alameda HOME</v>
      </c>
      <c r="AA595" s="1263"/>
      <c r="AB595" s="1263"/>
      <c r="AC595" s="1263"/>
      <c r="AD595" s="1263"/>
      <c r="AE595" s="1263"/>
      <c r="AF595" s="1263"/>
      <c r="AG595" s="1263"/>
      <c r="AH595" s="1263"/>
      <c r="AI595" s="1263"/>
      <c r="AJ595" s="1263"/>
      <c r="AK595" s="126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50" t="s">
        <v>2345</v>
      </c>
      <c r="H596" s="1150"/>
      <c r="I596" s="1150"/>
      <c r="J596" s="1150"/>
      <c r="K596" s="1150"/>
      <c r="L596" s="1150"/>
      <c r="M596" s="1150"/>
      <c r="N596" s="1150"/>
      <c r="O596" s="1150"/>
      <c r="P596" s="1150"/>
      <c r="Q596" s="1150"/>
      <c r="R596" s="1150"/>
      <c r="T596" s="4"/>
      <c r="U596" t="s">
        <v>372</v>
      </c>
      <c r="Z596" s="1150" t="s">
        <v>2339</v>
      </c>
      <c r="AA596" s="1150"/>
      <c r="AB596" s="1150"/>
      <c r="AC596" s="1150"/>
      <c r="AD596" s="1150"/>
      <c r="AE596" s="1150"/>
      <c r="AF596" s="1150"/>
      <c r="AG596" s="1150"/>
      <c r="AH596" s="1150"/>
      <c r="AI596" s="1150"/>
      <c r="AJ596" s="1150"/>
      <c r="AK596" s="115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50" t="s">
        <v>28</v>
      </c>
      <c r="H597" s="1150"/>
      <c r="I597" s="1150"/>
      <c r="J597" s="1150"/>
      <c r="K597" s="1150"/>
      <c r="L597" s="1150"/>
      <c r="M597" s="1150"/>
      <c r="N597" s="1150"/>
      <c r="O597" s="1150"/>
      <c r="P597" s="1150"/>
      <c r="Q597" s="1150"/>
      <c r="R597" s="1150"/>
      <c r="S597"/>
      <c r="T597" s="4"/>
      <c r="U597" t="s">
        <v>430</v>
      </c>
      <c r="V597"/>
      <c r="W597"/>
      <c r="X597"/>
      <c r="Y597"/>
      <c r="Z597" s="1261" t="s">
        <v>28</v>
      </c>
      <c r="AA597" s="1261"/>
      <c r="AB597" s="1261"/>
      <c r="AC597" s="1261"/>
      <c r="AD597" s="1261"/>
      <c r="AE597" s="1261"/>
      <c r="AF597" s="1261"/>
      <c r="AG597" s="1261"/>
      <c r="AH597" s="1261"/>
      <c r="AI597" s="1261"/>
      <c r="AJ597" s="1261"/>
      <c r="AK597" s="1261"/>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50" t="s">
        <v>2334</v>
      </c>
      <c r="H598" s="1150"/>
      <c r="I598" s="1150"/>
      <c r="J598" s="1150"/>
      <c r="K598" s="1150"/>
      <c r="L598" s="1150"/>
      <c r="M598" s="1150"/>
      <c r="N598" s="1150"/>
      <c r="O598" s="1150"/>
      <c r="P598" s="1150"/>
      <c r="Q598" s="1150"/>
      <c r="R598" s="1150"/>
      <c r="S598"/>
      <c r="T598" s="4"/>
      <c r="U598" t="s">
        <v>833</v>
      </c>
      <c r="V598"/>
      <c r="W598"/>
      <c r="X598"/>
      <c r="Y598"/>
      <c r="Z598" s="1261" t="s">
        <v>2447</v>
      </c>
      <c r="AA598" s="1261"/>
      <c r="AB598" s="1261"/>
      <c r="AC598" s="1261"/>
      <c r="AD598" s="1261"/>
      <c r="AE598" s="1261"/>
      <c r="AF598" s="1261"/>
      <c r="AG598" s="1261"/>
      <c r="AH598" s="1261"/>
      <c r="AI598" s="1261"/>
      <c r="AJ598" s="1261"/>
      <c r="AK598" s="1261"/>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83" t="s">
        <v>2347</v>
      </c>
      <c r="H599" s="1264"/>
      <c r="I599" s="1264"/>
      <c r="J599" s="1264"/>
      <c r="K599" s="1264"/>
      <c r="L599" s="1264"/>
      <c r="M599"/>
      <c r="N599"/>
      <c r="O599" s="42" t="s">
        <v>818</v>
      </c>
      <c r="P599" s="1262"/>
      <c r="Q599" s="1262"/>
      <c r="R599" s="1262"/>
      <c r="S599"/>
      <c r="T599" s="4"/>
      <c r="U599" t="s">
        <v>650</v>
      </c>
      <c r="V599"/>
      <c r="W599"/>
      <c r="X599"/>
      <c r="Y599"/>
      <c r="Z599" s="1283" t="s">
        <v>2448</v>
      </c>
      <c r="AA599" s="1264"/>
      <c r="AB599" s="1264"/>
      <c r="AC599" s="1264"/>
      <c r="AD599" s="1264"/>
      <c r="AE599" s="1264"/>
      <c r="AF599"/>
      <c r="AG599"/>
      <c r="AH599" s="42" t="s">
        <v>818</v>
      </c>
      <c r="AI599" s="1262"/>
      <c r="AJ599" s="1262"/>
      <c r="AK599" s="1262"/>
      <c r="AL599"/>
      <c r="AZ599" s="5" t="s">
        <v>441</v>
      </c>
      <c r="BA599" s="41"/>
      <c r="BB599" s="41"/>
      <c r="BC599" s="41"/>
      <c r="BD599" s="41"/>
      <c r="BE599" s="212" t="s">
        <v>351</v>
      </c>
      <c r="BF599" s="213"/>
      <c r="BG599" s="1265"/>
      <c r="BH599" s="1267"/>
      <c r="BI599" s="212" t="s">
        <v>352</v>
      </c>
      <c r="BJ599" s="213"/>
      <c r="BK599" s="1265"/>
      <c r="BL599" s="1267"/>
      <c r="BN599" s="1265">
        <f>IF(B703="SRO/Studio",G703,0)</f>
        <v>20</v>
      </c>
      <c r="BO599" s="1266"/>
      <c r="BP599" s="1266"/>
      <c r="BQ599" s="1266"/>
      <c r="BR599" s="1279"/>
      <c r="BS599" s="1265">
        <f>IF(B703="1 Bedroom",G703,0)</f>
        <v>0</v>
      </c>
      <c r="BT599" s="1266"/>
      <c r="BU599" s="1266"/>
      <c r="BV599" s="1266"/>
      <c r="BW599" s="1267"/>
      <c r="BX599" s="1265">
        <f>IF(B703="2 Bedrooms",G703,0)</f>
        <v>0</v>
      </c>
      <c r="BY599" s="1266"/>
      <c r="BZ599" s="1266"/>
      <c r="CA599" s="1266"/>
      <c r="CB599" s="1267"/>
      <c r="CC599" s="1265">
        <f>IF(B703="3 Bedrooms",G703,0)</f>
        <v>0</v>
      </c>
      <c r="CD599" s="1266"/>
      <c r="CE599" s="1266"/>
      <c r="CF599" s="1266"/>
      <c r="CG599" s="1267"/>
      <c r="CH599" s="1265">
        <f>IF(B703="4 Bedrooms",G703,0)</f>
        <v>0</v>
      </c>
      <c r="CI599" s="1266"/>
      <c r="CJ599" s="1266"/>
      <c r="CK599" s="1266"/>
      <c r="CL599" s="1267"/>
      <c r="CM599" s="1277">
        <f>IF(B703="5 Bedrooms",G703,0)</f>
        <v>0</v>
      </c>
      <c r="CN599" s="1278"/>
      <c r="CO599" s="1278"/>
      <c r="CP599" s="1278"/>
      <c r="CQ599" s="1279"/>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50" t="s">
        <v>2441</v>
      </c>
      <c r="I600" s="1150"/>
      <c r="J600" s="1150"/>
      <c r="K600" s="1150"/>
      <c r="L600" s="1150"/>
      <c r="M600" s="1150"/>
      <c r="N600" s="1150"/>
      <c r="O600" s="1150"/>
      <c r="P600" s="1150"/>
      <c r="Q600" s="1150"/>
      <c r="R600" s="1150"/>
      <c r="S600"/>
      <c r="T600" s="4"/>
      <c r="U600" t="s">
        <v>834</v>
      </c>
      <c r="V600"/>
      <c r="W600"/>
      <c r="X600"/>
      <c r="Y600"/>
      <c r="Z600"/>
      <c r="AA600" s="1150" t="s">
        <v>2441</v>
      </c>
      <c r="AB600" s="1150"/>
      <c r="AC600" s="1150"/>
      <c r="AD600" s="1150"/>
      <c r="AE600" s="1150"/>
      <c r="AF600" s="1150"/>
      <c r="AG600" s="1150"/>
      <c r="AH600" s="1150"/>
      <c r="AI600" s="1150"/>
      <c r="AJ600" s="1150"/>
      <c r="AK600" s="1150"/>
      <c r="AL600"/>
      <c r="AZ600" s="5" t="s">
        <v>442</v>
      </c>
      <c r="BA600" s="41"/>
      <c r="BB600" s="41"/>
      <c r="BC600" s="41"/>
      <c r="BD600" s="41"/>
      <c r="BE600" s="1274">
        <f>IF(AND(AH703&lt;=0.5,AH703&gt;=0.36),1,0)</f>
        <v>0</v>
      </c>
      <c r="BF600" s="1276"/>
      <c r="BG600" s="1265">
        <f t="shared" ref="BG600:BG623" si="1">IF(BE600=1,G703,0)</f>
        <v>0</v>
      </c>
      <c r="BH600" s="1267"/>
      <c r="BI600" s="1274">
        <f>IF(AND(AH703&lt;=0.35,AH703&gt;0),1,0)</f>
        <v>1</v>
      </c>
      <c r="BJ600" s="1276"/>
      <c r="BK600" s="1265">
        <f t="shared" ref="BK600:BK623" si="2">IF(BI600=1,G703,0)</f>
        <v>20</v>
      </c>
      <c r="BL600" s="1267"/>
      <c r="BN600" s="1265">
        <f t="shared" ref="BN600:BN633" si="3">IF(B704="SRO/Studio",G704,0)</f>
        <v>5</v>
      </c>
      <c r="BO600" s="1266"/>
      <c r="BP600" s="1266"/>
      <c r="BQ600" s="1266"/>
      <c r="BR600" s="1279"/>
      <c r="BS600" s="1265">
        <f t="shared" ref="BS600:BS633" si="4">IF(B704="1 Bedroom",G704,0)</f>
        <v>0</v>
      </c>
      <c r="BT600" s="1266"/>
      <c r="BU600" s="1266"/>
      <c r="BV600" s="1266"/>
      <c r="BW600" s="1267"/>
      <c r="BX600" s="1265">
        <f t="shared" ref="BX600:BX633" si="5">IF(B704="2 Bedrooms",G704,0)</f>
        <v>0</v>
      </c>
      <c r="BY600" s="1266"/>
      <c r="BZ600" s="1266"/>
      <c r="CA600" s="1266"/>
      <c r="CB600" s="1267"/>
      <c r="CC600" s="1265">
        <f t="shared" ref="CC600:CC633" si="6">IF(B704="3 Bedrooms",G704,0)</f>
        <v>0</v>
      </c>
      <c r="CD600" s="1266"/>
      <c r="CE600" s="1266"/>
      <c r="CF600" s="1266"/>
      <c r="CG600" s="1267"/>
      <c r="CH600" s="1265">
        <f t="shared" ref="CH600:CH633" si="7">IF(B704="4 Bedrooms",G704,0)</f>
        <v>0</v>
      </c>
      <c r="CI600" s="1266"/>
      <c r="CJ600" s="1266"/>
      <c r="CK600" s="1266"/>
      <c r="CL600" s="1267"/>
      <c r="CM600" s="1277">
        <f t="shared" ref="CM600:CM633" si="8">IF(B704="5 Bedrooms",G704,0)</f>
        <v>0</v>
      </c>
      <c r="CN600" s="1278"/>
      <c r="CO600" s="1278"/>
      <c r="CP600" s="1278"/>
      <c r="CQ600" s="1279"/>
      <c r="CS600" s="1280">
        <f>IF(AND(B703="SRO/Studio",AH703&lt;=0.3),G703,0)</f>
        <v>20</v>
      </c>
      <c r="CT600" s="1281"/>
      <c r="CU600" s="1281"/>
      <c r="CV600" s="1281"/>
      <c r="CW600" s="1282"/>
      <c r="CX600" s="1280">
        <f>IF(AND(B703="1 Bedroom",AH703&lt;=0.3),G703,0)</f>
        <v>0</v>
      </c>
      <c r="CY600" s="1281"/>
      <c r="CZ600" s="1281"/>
      <c r="DA600" s="1281"/>
      <c r="DB600" s="1282"/>
      <c r="DC600" s="1280">
        <f>IF(AND(B703="2 Bedrooms",AH703&lt;=0.3),G703,0)</f>
        <v>0</v>
      </c>
      <c r="DD600" s="1281"/>
      <c r="DE600" s="1281"/>
      <c r="DF600" s="1281"/>
      <c r="DG600" s="1282"/>
      <c r="DH600" s="1280">
        <f>IF(AND(B703="3 Bedrooms",AH703&lt;=0.3),G703,0)</f>
        <v>0</v>
      </c>
      <c r="DI600" s="1281"/>
      <c r="DJ600" s="1281"/>
      <c r="DK600" s="1281"/>
      <c r="DL600" s="1282"/>
      <c r="DM600" s="1280">
        <f>IF(AND(B703="4 Bedrooms",AH703&lt;=0.3),G703,0)</f>
        <v>0</v>
      </c>
      <c r="DN600" s="1281"/>
      <c r="DO600" s="1281"/>
      <c r="DP600" s="1281"/>
      <c r="DQ600" s="1282"/>
      <c r="DR600" s="1280">
        <f>IF(AND(B703="5 Bedrooms",AH703&lt;=0.3),G703,0)</f>
        <v>0</v>
      </c>
      <c r="DS600" s="1281"/>
      <c r="DT600" s="1281"/>
      <c r="DU600" s="1281"/>
      <c r="DV600" s="1282"/>
    </row>
    <row r="601" spans="1:126" s="5" customFormat="1" ht="12.95" customHeight="1">
      <c r="A601" s="4"/>
      <c r="B601" t="s">
        <v>836</v>
      </c>
      <c r="C601"/>
      <c r="D601"/>
      <c r="E601"/>
      <c r="F601"/>
      <c r="G601"/>
      <c r="H601"/>
      <c r="I601"/>
      <c r="J601"/>
      <c r="K601"/>
      <c r="L601"/>
      <c r="M601"/>
      <c r="N601" s="1115" t="s">
        <v>108</v>
      </c>
      <c r="O601" s="1115"/>
      <c r="P601"/>
      <c r="Q601"/>
      <c r="R601"/>
      <c r="S601"/>
      <c r="T601" s="4"/>
      <c r="U601" t="s">
        <v>836</v>
      </c>
      <c r="V601"/>
      <c r="W601"/>
      <c r="X601"/>
      <c r="Y601"/>
      <c r="Z601"/>
      <c r="AA601"/>
      <c r="AB601"/>
      <c r="AC601"/>
      <c r="AD601"/>
      <c r="AE601"/>
      <c r="AF601"/>
      <c r="AG601" s="1115" t="s">
        <v>108</v>
      </c>
      <c r="AH601" s="1115"/>
      <c r="AI601"/>
      <c r="AJ601"/>
      <c r="AK601"/>
      <c r="AL601"/>
      <c r="AZ601" s="5" t="s">
        <v>780</v>
      </c>
      <c r="BA601" s="41"/>
      <c r="BB601" s="41"/>
      <c r="BC601" s="41"/>
      <c r="BD601" s="41"/>
      <c r="BE601" s="1274">
        <f t="shared" ref="BE601:BE623" si="9">IF(AND(AH704&lt;=0.5,AH704&gt;=0.36),1,0)</f>
        <v>0</v>
      </c>
      <c r="BF601" s="1276"/>
      <c r="BG601" s="1265">
        <f t="shared" si="1"/>
        <v>0</v>
      </c>
      <c r="BH601" s="1267"/>
      <c r="BI601" s="1274">
        <f t="shared" ref="BI601:BI623" si="10">IF(AND(AH704&lt;=0.35,AH704&gt;0),1,0)</f>
        <v>1</v>
      </c>
      <c r="BJ601" s="1276"/>
      <c r="BK601" s="1265">
        <f t="shared" si="2"/>
        <v>5</v>
      </c>
      <c r="BL601" s="1267"/>
      <c r="BN601" s="1265">
        <f t="shared" si="3"/>
        <v>0</v>
      </c>
      <c r="BO601" s="1266"/>
      <c r="BP601" s="1266"/>
      <c r="BQ601" s="1266"/>
      <c r="BR601" s="1279"/>
      <c r="BS601" s="1265">
        <f t="shared" si="4"/>
        <v>20</v>
      </c>
      <c r="BT601" s="1266"/>
      <c r="BU601" s="1266"/>
      <c r="BV601" s="1266"/>
      <c r="BW601" s="1267"/>
      <c r="BX601" s="1265">
        <f t="shared" si="5"/>
        <v>0</v>
      </c>
      <c r="BY601" s="1266"/>
      <c r="BZ601" s="1266"/>
      <c r="CA601" s="1266"/>
      <c r="CB601" s="1267"/>
      <c r="CC601" s="1265">
        <f t="shared" si="6"/>
        <v>0</v>
      </c>
      <c r="CD601" s="1266"/>
      <c r="CE601" s="1266"/>
      <c r="CF601" s="1266"/>
      <c r="CG601" s="1267"/>
      <c r="CH601" s="1265">
        <f t="shared" si="7"/>
        <v>0</v>
      </c>
      <c r="CI601" s="1266"/>
      <c r="CJ601" s="1266"/>
      <c r="CK601" s="1266"/>
      <c r="CL601" s="1267"/>
      <c r="CM601" s="1277">
        <f t="shared" si="8"/>
        <v>0</v>
      </c>
      <c r="CN601" s="1278"/>
      <c r="CO601" s="1278"/>
      <c r="CP601" s="1278"/>
      <c r="CQ601" s="1279"/>
      <c r="CS601" s="1280">
        <f t="shared" ref="CS601:CS623" si="11">IF(AND(B704="SRO/Studio",AH704&lt;=0.3),G704,0)</f>
        <v>5</v>
      </c>
      <c r="CT601" s="1281"/>
      <c r="CU601" s="1281"/>
      <c r="CV601" s="1281"/>
      <c r="CW601" s="1282"/>
      <c r="CX601" s="1280">
        <f t="shared" ref="CX601:CX623" si="12">IF(AND(B704="1 Bedroom",AH704&lt;=0.3),G704,0)</f>
        <v>0</v>
      </c>
      <c r="CY601" s="1281"/>
      <c r="CZ601" s="1281"/>
      <c r="DA601" s="1281"/>
      <c r="DB601" s="1282"/>
      <c r="DC601" s="1280">
        <f t="shared" ref="DC601:DC623" si="13">IF(AND(B704="2 Bedrooms",AH704&lt;=0.3),G704,0)</f>
        <v>0</v>
      </c>
      <c r="DD601" s="1281"/>
      <c r="DE601" s="1281"/>
      <c r="DF601" s="1281"/>
      <c r="DG601" s="1282"/>
      <c r="DH601" s="1280">
        <f t="shared" ref="DH601:DH623" si="14">IF(AND(B704="3 Bedrooms",AH704&lt;=0.3),G704,0)</f>
        <v>0</v>
      </c>
      <c r="DI601" s="1281"/>
      <c r="DJ601" s="1281"/>
      <c r="DK601" s="1281"/>
      <c r="DL601" s="1282"/>
      <c r="DM601" s="1280">
        <f t="shared" ref="DM601:DM623" si="15">IF(AND(B704="4 Bedrooms",AH704&lt;=0.3),G704,0)</f>
        <v>0</v>
      </c>
      <c r="DN601" s="1281"/>
      <c r="DO601" s="1281"/>
      <c r="DP601" s="1281"/>
      <c r="DQ601" s="1282"/>
      <c r="DR601" s="1280">
        <f t="shared" ref="DR601:DR623" si="16">IF(AND(B704="5 Bedrooms",AH704&lt;=0.3),G704,0)</f>
        <v>0</v>
      </c>
      <c r="DS601" s="1281"/>
      <c r="DT601" s="1281"/>
      <c r="DU601" s="1281"/>
      <c r="DV601" s="1282"/>
    </row>
    <row r="602" spans="1:126" ht="12.95" customHeight="1">
      <c r="C602"/>
      <c r="AZ602" s="5" t="s">
        <v>781</v>
      </c>
      <c r="BA602" s="41"/>
      <c r="BB602" s="41"/>
      <c r="BC602" s="41"/>
      <c r="BD602" s="41"/>
      <c r="BE602" s="1274">
        <f t="shared" si="9"/>
        <v>0</v>
      </c>
      <c r="BF602" s="1276"/>
      <c r="BG602" s="1265">
        <f t="shared" si="1"/>
        <v>0</v>
      </c>
      <c r="BH602" s="1267"/>
      <c r="BI602" s="1274">
        <f t="shared" si="10"/>
        <v>1</v>
      </c>
      <c r="BJ602" s="1276"/>
      <c r="BK602" s="1265">
        <f t="shared" si="2"/>
        <v>20</v>
      </c>
      <c r="BL602" s="1267"/>
      <c r="BN602" s="1265">
        <f t="shared" si="3"/>
        <v>0</v>
      </c>
      <c r="BO602" s="1266"/>
      <c r="BP602" s="1266"/>
      <c r="BQ602" s="1266"/>
      <c r="BR602" s="1279"/>
      <c r="BS602" s="1265">
        <f t="shared" si="4"/>
        <v>1</v>
      </c>
      <c r="BT602" s="1266"/>
      <c r="BU602" s="1266"/>
      <c r="BV602" s="1266"/>
      <c r="BW602" s="1267"/>
      <c r="BX602" s="1265">
        <f t="shared" si="5"/>
        <v>0</v>
      </c>
      <c r="BY602" s="1266"/>
      <c r="BZ602" s="1266"/>
      <c r="CA602" s="1266"/>
      <c r="CB602" s="1267"/>
      <c r="CC602" s="1265">
        <f t="shared" si="6"/>
        <v>0</v>
      </c>
      <c r="CD602" s="1266"/>
      <c r="CE602" s="1266"/>
      <c r="CF602" s="1266"/>
      <c r="CG602" s="1267"/>
      <c r="CH602" s="1265">
        <f t="shared" si="7"/>
        <v>0</v>
      </c>
      <c r="CI602" s="1266"/>
      <c r="CJ602" s="1266"/>
      <c r="CK602" s="1266"/>
      <c r="CL602" s="1267"/>
      <c r="CM602" s="1277">
        <f t="shared" si="8"/>
        <v>0</v>
      </c>
      <c r="CN602" s="1278"/>
      <c r="CO602" s="1278"/>
      <c r="CP602" s="1278"/>
      <c r="CQ602" s="1279"/>
      <c r="CS602" s="1280">
        <f t="shared" si="11"/>
        <v>0</v>
      </c>
      <c r="CT602" s="1281"/>
      <c r="CU602" s="1281"/>
      <c r="CV602" s="1281"/>
      <c r="CW602" s="1282"/>
      <c r="CX602" s="1280">
        <f t="shared" si="12"/>
        <v>20</v>
      </c>
      <c r="CY602" s="1281"/>
      <c r="CZ602" s="1281"/>
      <c r="DA602" s="1281"/>
      <c r="DB602" s="1282"/>
      <c r="DC602" s="1280">
        <f t="shared" si="13"/>
        <v>0</v>
      </c>
      <c r="DD602" s="1281"/>
      <c r="DE602" s="1281"/>
      <c r="DF602" s="1281"/>
      <c r="DG602" s="1282"/>
      <c r="DH602" s="1280">
        <f t="shared" si="14"/>
        <v>0</v>
      </c>
      <c r="DI602" s="1281"/>
      <c r="DJ602" s="1281"/>
      <c r="DK602" s="1281"/>
      <c r="DL602" s="1282"/>
      <c r="DM602" s="1280">
        <f t="shared" si="15"/>
        <v>0</v>
      </c>
      <c r="DN602" s="1281"/>
      <c r="DO602" s="1281"/>
      <c r="DP602" s="1281"/>
      <c r="DQ602" s="1282"/>
      <c r="DR602" s="1280">
        <f t="shared" si="16"/>
        <v>0</v>
      </c>
      <c r="DS602" s="1281"/>
      <c r="DT602" s="1281"/>
      <c r="DU602" s="1281"/>
      <c r="DV602" s="1282"/>
    </row>
    <row r="603" spans="1:126" ht="12.95" customHeight="1">
      <c r="A603" s="61" t="s">
        <v>546</v>
      </c>
      <c r="B603" t="s">
        <v>82</v>
      </c>
      <c r="C603"/>
      <c r="G603" s="1263" t="str">
        <f>C565</f>
        <v>LP equity</v>
      </c>
      <c r="H603" s="1263"/>
      <c r="I603" s="1263"/>
      <c r="J603" s="1263"/>
      <c r="K603" s="1263"/>
      <c r="L603" s="1263"/>
      <c r="M603" s="1263"/>
      <c r="N603" s="1263"/>
      <c r="O603" s="1263"/>
      <c r="P603" s="1263"/>
      <c r="Q603" s="1263"/>
      <c r="R603" s="1263"/>
      <c r="T603" s="61" t="s">
        <v>174</v>
      </c>
      <c r="U603" t="s">
        <v>82</v>
      </c>
      <c r="Z603" s="1263" t="str">
        <f>C566</f>
        <v>GP equity</v>
      </c>
      <c r="AA603" s="1263"/>
      <c r="AB603" s="1263"/>
      <c r="AC603" s="1263"/>
      <c r="AD603" s="1263"/>
      <c r="AE603" s="1263"/>
      <c r="AF603" s="1263"/>
      <c r="AG603" s="1263"/>
      <c r="AH603" s="1263"/>
      <c r="AI603" s="1263"/>
      <c r="AJ603" s="1263"/>
      <c r="AK603" s="1263"/>
      <c r="AZ603" s="5" t="s">
        <v>782</v>
      </c>
      <c r="BA603" s="41"/>
      <c r="BB603" s="41"/>
      <c r="BC603" s="41"/>
      <c r="BD603" s="41"/>
      <c r="BE603" s="1274">
        <f t="shared" si="9"/>
        <v>0</v>
      </c>
      <c r="BF603" s="1276"/>
      <c r="BG603" s="1265">
        <f t="shared" si="1"/>
        <v>0</v>
      </c>
      <c r="BH603" s="1267"/>
      <c r="BI603" s="1274">
        <f t="shared" si="10"/>
        <v>1</v>
      </c>
      <c r="BJ603" s="1276"/>
      <c r="BK603" s="1265">
        <f t="shared" si="2"/>
        <v>1</v>
      </c>
      <c r="BL603" s="1267"/>
      <c r="BN603" s="1265">
        <f t="shared" si="3"/>
        <v>0</v>
      </c>
      <c r="BO603" s="1266"/>
      <c r="BP603" s="1266"/>
      <c r="BQ603" s="1266"/>
      <c r="BR603" s="1279"/>
      <c r="BS603" s="1265">
        <f t="shared" si="4"/>
        <v>0</v>
      </c>
      <c r="BT603" s="1266"/>
      <c r="BU603" s="1266"/>
      <c r="BV603" s="1266"/>
      <c r="BW603" s="1267"/>
      <c r="BX603" s="1265">
        <f t="shared" si="5"/>
        <v>0</v>
      </c>
      <c r="BY603" s="1266"/>
      <c r="BZ603" s="1266"/>
      <c r="CA603" s="1266"/>
      <c r="CB603" s="1267"/>
      <c r="CC603" s="1265">
        <f t="shared" si="6"/>
        <v>0</v>
      </c>
      <c r="CD603" s="1266"/>
      <c r="CE603" s="1266"/>
      <c r="CF603" s="1266"/>
      <c r="CG603" s="1267"/>
      <c r="CH603" s="1265">
        <f t="shared" si="7"/>
        <v>0</v>
      </c>
      <c r="CI603" s="1266"/>
      <c r="CJ603" s="1266"/>
      <c r="CK603" s="1266"/>
      <c r="CL603" s="1267"/>
      <c r="CM603" s="1277">
        <f t="shared" si="8"/>
        <v>0</v>
      </c>
      <c r="CN603" s="1278"/>
      <c r="CO603" s="1278"/>
      <c r="CP603" s="1278"/>
      <c r="CQ603" s="1279"/>
      <c r="CS603" s="1280">
        <f t="shared" si="11"/>
        <v>0</v>
      </c>
      <c r="CT603" s="1281"/>
      <c r="CU603" s="1281"/>
      <c r="CV603" s="1281"/>
      <c r="CW603" s="1282"/>
      <c r="CX603" s="1280">
        <f t="shared" si="12"/>
        <v>1</v>
      </c>
      <c r="CY603" s="1281"/>
      <c r="CZ603" s="1281"/>
      <c r="DA603" s="1281"/>
      <c r="DB603" s="1282"/>
      <c r="DC603" s="1280">
        <f t="shared" si="13"/>
        <v>0</v>
      </c>
      <c r="DD603" s="1281"/>
      <c r="DE603" s="1281"/>
      <c r="DF603" s="1281"/>
      <c r="DG603" s="1282"/>
      <c r="DH603" s="1280">
        <f t="shared" si="14"/>
        <v>0</v>
      </c>
      <c r="DI603" s="1281"/>
      <c r="DJ603" s="1281"/>
      <c r="DK603" s="1281"/>
      <c r="DL603" s="1282"/>
      <c r="DM603" s="1280">
        <f t="shared" si="15"/>
        <v>0</v>
      </c>
      <c r="DN603" s="1281"/>
      <c r="DO603" s="1281"/>
      <c r="DP603" s="1281"/>
      <c r="DQ603" s="1282"/>
      <c r="DR603" s="1280">
        <f t="shared" si="16"/>
        <v>0</v>
      </c>
      <c r="DS603" s="1281"/>
      <c r="DT603" s="1281"/>
      <c r="DU603" s="1281"/>
      <c r="DV603" s="1282"/>
    </row>
    <row r="604" spans="1:126" ht="12.95" customHeight="1">
      <c r="A604" s="4"/>
      <c r="B604" t="s">
        <v>372</v>
      </c>
      <c r="C604"/>
      <c r="G604" s="1150" t="s">
        <v>2388</v>
      </c>
      <c r="H604" s="1150"/>
      <c r="I604" s="1150"/>
      <c r="J604" s="1150"/>
      <c r="K604" s="1150"/>
      <c r="L604" s="1150"/>
      <c r="M604" s="1150"/>
      <c r="N604" s="1150"/>
      <c r="O604" s="1150"/>
      <c r="P604" s="1150"/>
      <c r="Q604" s="1150"/>
      <c r="R604" s="1150"/>
      <c r="T604" s="4"/>
      <c r="U604" t="s">
        <v>372</v>
      </c>
      <c r="Z604" s="1150"/>
      <c r="AA604" s="1150"/>
      <c r="AB604" s="1150"/>
      <c r="AC604" s="1150"/>
      <c r="AD604" s="1150"/>
      <c r="AE604" s="1150"/>
      <c r="AF604" s="1150"/>
      <c r="AG604" s="1150"/>
      <c r="AH604" s="1150"/>
      <c r="AI604" s="1150"/>
      <c r="AJ604" s="1150"/>
      <c r="AK604" s="1150"/>
      <c r="AZ604" s="5" t="s">
        <v>344</v>
      </c>
      <c r="BA604" s="41"/>
      <c r="BB604" s="41"/>
      <c r="BC604" s="41"/>
      <c r="BD604" s="41"/>
      <c r="BE604" s="1274">
        <f t="shared" si="9"/>
        <v>0</v>
      </c>
      <c r="BF604" s="1276"/>
      <c r="BG604" s="1265">
        <f t="shared" si="1"/>
        <v>0</v>
      </c>
      <c r="BH604" s="1267"/>
      <c r="BI604" s="1274">
        <f t="shared" si="10"/>
        <v>0</v>
      </c>
      <c r="BJ604" s="1276"/>
      <c r="BK604" s="1265">
        <f t="shared" si="2"/>
        <v>0</v>
      </c>
      <c r="BL604" s="1267"/>
      <c r="BN604" s="1265">
        <f t="shared" si="3"/>
        <v>0</v>
      </c>
      <c r="BO604" s="1266"/>
      <c r="BP604" s="1266"/>
      <c r="BQ604" s="1266"/>
      <c r="BR604" s="1279"/>
      <c r="BS604" s="1265">
        <f t="shared" si="4"/>
        <v>0</v>
      </c>
      <c r="BT604" s="1266"/>
      <c r="BU604" s="1266"/>
      <c r="BV604" s="1266"/>
      <c r="BW604" s="1267"/>
      <c r="BX604" s="1265">
        <f t="shared" si="5"/>
        <v>0</v>
      </c>
      <c r="BY604" s="1266"/>
      <c r="BZ604" s="1266"/>
      <c r="CA604" s="1266"/>
      <c r="CB604" s="1267"/>
      <c r="CC604" s="1265">
        <f t="shared" si="6"/>
        <v>0</v>
      </c>
      <c r="CD604" s="1266"/>
      <c r="CE604" s="1266"/>
      <c r="CF604" s="1266"/>
      <c r="CG604" s="1267"/>
      <c r="CH604" s="1265">
        <f t="shared" si="7"/>
        <v>0</v>
      </c>
      <c r="CI604" s="1266"/>
      <c r="CJ604" s="1266"/>
      <c r="CK604" s="1266"/>
      <c r="CL604" s="1267"/>
      <c r="CM604" s="1277">
        <f t="shared" si="8"/>
        <v>0</v>
      </c>
      <c r="CN604" s="1278"/>
      <c r="CO604" s="1278"/>
      <c r="CP604" s="1278"/>
      <c r="CQ604" s="1279"/>
      <c r="CS604" s="1280">
        <f t="shared" si="11"/>
        <v>0</v>
      </c>
      <c r="CT604" s="1281"/>
      <c r="CU604" s="1281"/>
      <c r="CV604" s="1281"/>
      <c r="CW604" s="1282"/>
      <c r="CX604" s="1280">
        <f t="shared" si="12"/>
        <v>0</v>
      </c>
      <c r="CY604" s="1281"/>
      <c r="CZ604" s="1281"/>
      <c r="DA604" s="1281"/>
      <c r="DB604" s="1282"/>
      <c r="DC604" s="1280">
        <f t="shared" si="13"/>
        <v>0</v>
      </c>
      <c r="DD604" s="1281"/>
      <c r="DE604" s="1281"/>
      <c r="DF604" s="1281"/>
      <c r="DG604" s="1282"/>
      <c r="DH604" s="1280">
        <f t="shared" si="14"/>
        <v>0</v>
      </c>
      <c r="DI604" s="1281"/>
      <c r="DJ604" s="1281"/>
      <c r="DK604" s="1281"/>
      <c r="DL604" s="1282"/>
      <c r="DM604" s="1280">
        <f t="shared" si="15"/>
        <v>0</v>
      </c>
      <c r="DN604" s="1281"/>
      <c r="DO604" s="1281"/>
      <c r="DP604" s="1281"/>
      <c r="DQ604" s="1282"/>
      <c r="DR604" s="1280">
        <f t="shared" si="16"/>
        <v>0</v>
      </c>
      <c r="DS604" s="1281"/>
      <c r="DT604" s="1281"/>
      <c r="DU604" s="1281"/>
      <c r="DV604" s="1282"/>
    </row>
    <row r="605" spans="1:126" ht="12.95" customHeight="1">
      <c r="A605" s="4"/>
      <c r="B605" t="s">
        <v>430</v>
      </c>
      <c r="C605"/>
      <c r="G605" s="1150"/>
      <c r="H605" s="1150"/>
      <c r="I605" s="1150"/>
      <c r="J605" s="1150"/>
      <c r="K605" s="1150"/>
      <c r="L605" s="1150"/>
      <c r="M605" s="1150"/>
      <c r="N605" s="1150"/>
      <c r="O605" s="1150"/>
      <c r="P605" s="1150"/>
      <c r="Q605" s="1150"/>
      <c r="R605" s="1150"/>
      <c r="T605" s="4"/>
      <c r="U605" t="s">
        <v>430</v>
      </c>
      <c r="Z605" s="1261"/>
      <c r="AA605" s="1261"/>
      <c r="AB605" s="1261"/>
      <c r="AC605" s="1261"/>
      <c r="AD605" s="1261"/>
      <c r="AE605" s="1261"/>
      <c r="AF605" s="1261"/>
      <c r="AG605" s="1261"/>
      <c r="AH605" s="1261"/>
      <c r="AI605" s="1261"/>
      <c r="AJ605" s="1261"/>
      <c r="AK605" s="1261"/>
      <c r="AZ605" s="41"/>
      <c r="BA605" s="41"/>
      <c r="BB605" s="41"/>
      <c r="BC605" s="41"/>
      <c r="BD605" s="41"/>
      <c r="BE605" s="1274">
        <f t="shared" si="9"/>
        <v>0</v>
      </c>
      <c r="BF605" s="1276"/>
      <c r="BG605" s="1265">
        <f t="shared" si="1"/>
        <v>0</v>
      </c>
      <c r="BH605" s="1267"/>
      <c r="BI605" s="1274">
        <f t="shared" si="10"/>
        <v>0</v>
      </c>
      <c r="BJ605" s="1276"/>
      <c r="BK605" s="1265">
        <f t="shared" si="2"/>
        <v>0</v>
      </c>
      <c r="BL605" s="1267"/>
      <c r="BN605" s="1265">
        <f t="shared" si="3"/>
        <v>0</v>
      </c>
      <c r="BO605" s="1266"/>
      <c r="BP605" s="1266"/>
      <c r="BQ605" s="1266"/>
      <c r="BR605" s="1279"/>
      <c r="BS605" s="1265">
        <f t="shared" si="4"/>
        <v>0</v>
      </c>
      <c r="BT605" s="1266"/>
      <c r="BU605" s="1266"/>
      <c r="BV605" s="1266"/>
      <c r="BW605" s="1267"/>
      <c r="BX605" s="1265">
        <f t="shared" si="5"/>
        <v>0</v>
      </c>
      <c r="BY605" s="1266"/>
      <c r="BZ605" s="1266"/>
      <c r="CA605" s="1266"/>
      <c r="CB605" s="1267"/>
      <c r="CC605" s="1265">
        <f t="shared" si="6"/>
        <v>0</v>
      </c>
      <c r="CD605" s="1266"/>
      <c r="CE605" s="1266"/>
      <c r="CF605" s="1266"/>
      <c r="CG605" s="1267"/>
      <c r="CH605" s="1265">
        <f t="shared" si="7"/>
        <v>0</v>
      </c>
      <c r="CI605" s="1266"/>
      <c r="CJ605" s="1266"/>
      <c r="CK605" s="1266"/>
      <c r="CL605" s="1267"/>
      <c r="CM605" s="1277">
        <f t="shared" si="8"/>
        <v>0</v>
      </c>
      <c r="CN605" s="1278"/>
      <c r="CO605" s="1278"/>
      <c r="CP605" s="1278"/>
      <c r="CQ605" s="1279"/>
      <c r="CS605" s="1280">
        <f t="shared" si="11"/>
        <v>0</v>
      </c>
      <c r="CT605" s="1281"/>
      <c r="CU605" s="1281"/>
      <c r="CV605" s="1281"/>
      <c r="CW605" s="1282"/>
      <c r="CX605" s="1280">
        <f t="shared" si="12"/>
        <v>0</v>
      </c>
      <c r="CY605" s="1281"/>
      <c r="CZ605" s="1281"/>
      <c r="DA605" s="1281"/>
      <c r="DB605" s="1282"/>
      <c r="DC605" s="1280">
        <f t="shared" si="13"/>
        <v>0</v>
      </c>
      <c r="DD605" s="1281"/>
      <c r="DE605" s="1281"/>
      <c r="DF605" s="1281"/>
      <c r="DG605" s="1282"/>
      <c r="DH605" s="1280">
        <f t="shared" si="14"/>
        <v>0</v>
      </c>
      <c r="DI605" s="1281"/>
      <c r="DJ605" s="1281"/>
      <c r="DK605" s="1281"/>
      <c r="DL605" s="1282"/>
      <c r="DM605" s="1280">
        <f t="shared" si="15"/>
        <v>0</v>
      </c>
      <c r="DN605" s="1281"/>
      <c r="DO605" s="1281"/>
      <c r="DP605" s="1281"/>
      <c r="DQ605" s="1282"/>
      <c r="DR605" s="1280">
        <f t="shared" si="16"/>
        <v>0</v>
      </c>
      <c r="DS605" s="1281"/>
      <c r="DT605" s="1281"/>
      <c r="DU605" s="1281"/>
      <c r="DV605" s="1282"/>
    </row>
    <row r="606" spans="1:126" ht="12.95" customHeight="1">
      <c r="A606" s="4"/>
      <c r="B606" t="s">
        <v>833</v>
      </c>
      <c r="C606"/>
      <c r="G606" s="1150"/>
      <c r="H606" s="1150"/>
      <c r="I606" s="1150"/>
      <c r="J606" s="1150"/>
      <c r="K606" s="1150"/>
      <c r="L606" s="1150"/>
      <c r="M606" s="1150"/>
      <c r="N606" s="1150"/>
      <c r="O606" s="1150"/>
      <c r="P606" s="1150"/>
      <c r="Q606" s="1150"/>
      <c r="R606" s="1150"/>
      <c r="T606" s="4"/>
      <c r="U606" t="s">
        <v>833</v>
      </c>
      <c r="Z606" s="1261"/>
      <c r="AA606" s="1261"/>
      <c r="AB606" s="1261"/>
      <c r="AC606" s="1261"/>
      <c r="AD606" s="1261"/>
      <c r="AE606" s="1261"/>
      <c r="AF606" s="1261"/>
      <c r="AG606" s="1261"/>
      <c r="AH606" s="1261"/>
      <c r="AI606" s="1261"/>
      <c r="AJ606" s="1261"/>
      <c r="AK606" s="1261"/>
      <c r="AZ606" s="41"/>
      <c r="BA606" s="41"/>
      <c r="BB606" s="41"/>
      <c r="BC606" s="41"/>
      <c r="BD606" s="41"/>
      <c r="BE606" s="1274">
        <f t="shared" si="9"/>
        <v>0</v>
      </c>
      <c r="BF606" s="1276"/>
      <c r="BG606" s="1265">
        <f t="shared" si="1"/>
        <v>0</v>
      </c>
      <c r="BH606" s="1267"/>
      <c r="BI606" s="1274">
        <f t="shared" si="10"/>
        <v>0</v>
      </c>
      <c r="BJ606" s="1276"/>
      <c r="BK606" s="1265">
        <f t="shared" si="2"/>
        <v>0</v>
      </c>
      <c r="BL606" s="1267"/>
      <c r="BN606" s="1265">
        <f t="shared" si="3"/>
        <v>0</v>
      </c>
      <c r="BO606" s="1266"/>
      <c r="BP606" s="1266"/>
      <c r="BQ606" s="1266"/>
      <c r="BR606" s="1279"/>
      <c r="BS606" s="1265">
        <f t="shared" si="4"/>
        <v>0</v>
      </c>
      <c r="BT606" s="1266"/>
      <c r="BU606" s="1266"/>
      <c r="BV606" s="1266"/>
      <c r="BW606" s="1267"/>
      <c r="BX606" s="1265">
        <f t="shared" si="5"/>
        <v>0</v>
      </c>
      <c r="BY606" s="1266"/>
      <c r="BZ606" s="1266"/>
      <c r="CA606" s="1266"/>
      <c r="CB606" s="1267"/>
      <c r="CC606" s="1265">
        <f t="shared" si="6"/>
        <v>0</v>
      </c>
      <c r="CD606" s="1266"/>
      <c r="CE606" s="1266"/>
      <c r="CF606" s="1266"/>
      <c r="CG606" s="1267"/>
      <c r="CH606" s="1265">
        <f t="shared" si="7"/>
        <v>0</v>
      </c>
      <c r="CI606" s="1266"/>
      <c r="CJ606" s="1266"/>
      <c r="CK606" s="1266"/>
      <c r="CL606" s="1267"/>
      <c r="CM606" s="1277">
        <f t="shared" si="8"/>
        <v>0</v>
      </c>
      <c r="CN606" s="1278"/>
      <c r="CO606" s="1278"/>
      <c r="CP606" s="1278"/>
      <c r="CQ606" s="1279"/>
      <c r="CS606" s="1280">
        <f t="shared" si="11"/>
        <v>0</v>
      </c>
      <c r="CT606" s="1281"/>
      <c r="CU606" s="1281"/>
      <c r="CV606" s="1281"/>
      <c r="CW606" s="1282"/>
      <c r="CX606" s="1280">
        <f t="shared" si="12"/>
        <v>0</v>
      </c>
      <c r="CY606" s="1281"/>
      <c r="CZ606" s="1281"/>
      <c r="DA606" s="1281"/>
      <c r="DB606" s="1282"/>
      <c r="DC606" s="1280">
        <f t="shared" si="13"/>
        <v>0</v>
      </c>
      <c r="DD606" s="1281"/>
      <c r="DE606" s="1281"/>
      <c r="DF606" s="1281"/>
      <c r="DG606" s="1282"/>
      <c r="DH606" s="1280">
        <f t="shared" si="14"/>
        <v>0</v>
      </c>
      <c r="DI606" s="1281"/>
      <c r="DJ606" s="1281"/>
      <c r="DK606" s="1281"/>
      <c r="DL606" s="1282"/>
      <c r="DM606" s="1280">
        <f t="shared" si="15"/>
        <v>0</v>
      </c>
      <c r="DN606" s="1281"/>
      <c r="DO606" s="1281"/>
      <c r="DP606" s="1281"/>
      <c r="DQ606" s="1282"/>
      <c r="DR606" s="1280">
        <f t="shared" si="16"/>
        <v>0</v>
      </c>
      <c r="DS606" s="1281"/>
      <c r="DT606" s="1281"/>
      <c r="DU606" s="1281"/>
      <c r="DV606" s="1282"/>
    </row>
    <row r="607" spans="1:126" ht="12.95" customHeight="1">
      <c r="A607" s="4"/>
      <c r="B607" t="s">
        <v>650</v>
      </c>
      <c r="C607"/>
      <c r="G607" s="1264"/>
      <c r="H607" s="1264"/>
      <c r="I607" s="1264"/>
      <c r="J607" s="1264"/>
      <c r="K607" s="1264"/>
      <c r="L607" s="1264"/>
      <c r="O607" s="42" t="s">
        <v>818</v>
      </c>
      <c r="P607" s="1262"/>
      <c r="Q607" s="1262"/>
      <c r="R607" s="1262"/>
      <c r="T607" s="4"/>
      <c r="U607" t="s">
        <v>650</v>
      </c>
      <c r="Z607" s="1264"/>
      <c r="AA607" s="1264"/>
      <c r="AB607" s="1264"/>
      <c r="AC607" s="1264"/>
      <c r="AD607" s="1264"/>
      <c r="AE607" s="1264"/>
      <c r="AH607" s="42" t="s">
        <v>818</v>
      </c>
      <c r="AI607" s="1262"/>
      <c r="AJ607" s="1262"/>
      <c r="AK607" s="1262"/>
      <c r="AZ607" s="41"/>
      <c r="BA607" s="41"/>
      <c r="BB607" s="41"/>
      <c r="BC607" s="41"/>
      <c r="BD607" s="41"/>
      <c r="BE607" s="1274">
        <f t="shared" si="9"/>
        <v>0</v>
      </c>
      <c r="BF607" s="1276"/>
      <c r="BG607" s="1265">
        <f t="shared" si="1"/>
        <v>0</v>
      </c>
      <c r="BH607" s="1267"/>
      <c r="BI607" s="1274">
        <f t="shared" si="10"/>
        <v>0</v>
      </c>
      <c r="BJ607" s="1276"/>
      <c r="BK607" s="1265">
        <f t="shared" si="2"/>
        <v>0</v>
      </c>
      <c r="BL607" s="1267"/>
      <c r="BN607" s="1265">
        <f t="shared" si="3"/>
        <v>0</v>
      </c>
      <c r="BO607" s="1266"/>
      <c r="BP607" s="1266"/>
      <c r="BQ607" s="1266"/>
      <c r="BR607" s="1279"/>
      <c r="BS607" s="1265">
        <f t="shared" si="4"/>
        <v>0</v>
      </c>
      <c r="BT607" s="1266"/>
      <c r="BU607" s="1266"/>
      <c r="BV607" s="1266"/>
      <c r="BW607" s="1267"/>
      <c r="BX607" s="1265">
        <f t="shared" si="5"/>
        <v>0</v>
      </c>
      <c r="BY607" s="1266"/>
      <c r="BZ607" s="1266"/>
      <c r="CA607" s="1266"/>
      <c r="CB607" s="1267"/>
      <c r="CC607" s="1265">
        <f t="shared" si="6"/>
        <v>0</v>
      </c>
      <c r="CD607" s="1266"/>
      <c r="CE607" s="1266"/>
      <c r="CF607" s="1266"/>
      <c r="CG607" s="1267"/>
      <c r="CH607" s="1265">
        <f t="shared" si="7"/>
        <v>0</v>
      </c>
      <c r="CI607" s="1266"/>
      <c r="CJ607" s="1266"/>
      <c r="CK607" s="1266"/>
      <c r="CL607" s="1267"/>
      <c r="CM607" s="1277">
        <f t="shared" si="8"/>
        <v>0</v>
      </c>
      <c r="CN607" s="1278"/>
      <c r="CO607" s="1278"/>
      <c r="CP607" s="1278"/>
      <c r="CQ607" s="1279"/>
      <c r="CS607" s="1280">
        <f t="shared" si="11"/>
        <v>0</v>
      </c>
      <c r="CT607" s="1281"/>
      <c r="CU607" s="1281"/>
      <c r="CV607" s="1281"/>
      <c r="CW607" s="1282"/>
      <c r="CX607" s="1280">
        <f t="shared" si="12"/>
        <v>0</v>
      </c>
      <c r="CY607" s="1281"/>
      <c r="CZ607" s="1281"/>
      <c r="DA607" s="1281"/>
      <c r="DB607" s="1282"/>
      <c r="DC607" s="1280">
        <f t="shared" si="13"/>
        <v>0</v>
      </c>
      <c r="DD607" s="1281"/>
      <c r="DE607" s="1281"/>
      <c r="DF607" s="1281"/>
      <c r="DG607" s="1282"/>
      <c r="DH607" s="1280">
        <f t="shared" si="14"/>
        <v>0</v>
      </c>
      <c r="DI607" s="1281"/>
      <c r="DJ607" s="1281"/>
      <c r="DK607" s="1281"/>
      <c r="DL607" s="1282"/>
      <c r="DM607" s="1280">
        <f t="shared" si="15"/>
        <v>0</v>
      </c>
      <c r="DN607" s="1281"/>
      <c r="DO607" s="1281"/>
      <c r="DP607" s="1281"/>
      <c r="DQ607" s="1282"/>
      <c r="DR607" s="1280">
        <f t="shared" si="16"/>
        <v>0</v>
      </c>
      <c r="DS607" s="1281"/>
      <c r="DT607" s="1281"/>
      <c r="DU607" s="1281"/>
      <c r="DV607" s="1282"/>
    </row>
    <row r="608" spans="1:126" s="5" customFormat="1" ht="12.95" customHeight="1">
      <c r="A608" s="4"/>
      <c r="B608" t="s">
        <v>834</v>
      </c>
      <c r="C608"/>
      <c r="D608"/>
      <c r="E608"/>
      <c r="F608"/>
      <c r="G608"/>
      <c r="H608" s="1150" t="s">
        <v>2442</v>
      </c>
      <c r="I608" s="1150"/>
      <c r="J608" s="1150"/>
      <c r="K608" s="1150"/>
      <c r="L608" s="1150"/>
      <c r="M608" s="1150"/>
      <c r="N608" s="1150"/>
      <c r="O608" s="1150"/>
      <c r="P608" s="1150"/>
      <c r="Q608" s="1150"/>
      <c r="R608" s="1150"/>
      <c r="S608"/>
      <c r="T608" s="4"/>
      <c r="U608" t="s">
        <v>834</v>
      </c>
      <c r="V608"/>
      <c r="W608"/>
      <c r="X608"/>
      <c r="Y608"/>
      <c r="Z608"/>
      <c r="AA608" s="1150"/>
      <c r="AB608" s="1150"/>
      <c r="AC608" s="1150"/>
      <c r="AD608" s="1150"/>
      <c r="AE608" s="1150"/>
      <c r="AF608" s="1150"/>
      <c r="AG608" s="1150"/>
      <c r="AH608" s="1150"/>
      <c r="AI608" s="1150"/>
      <c r="AJ608" s="1150"/>
      <c r="AK608" s="1150"/>
      <c r="AL608"/>
      <c r="AZ608" s="41"/>
      <c r="BA608" s="41"/>
      <c r="BB608" s="41"/>
      <c r="BC608" s="41"/>
      <c r="BD608" s="41"/>
      <c r="BE608" s="1274">
        <f t="shared" si="9"/>
        <v>0</v>
      </c>
      <c r="BF608" s="1276"/>
      <c r="BG608" s="1265">
        <f t="shared" si="1"/>
        <v>0</v>
      </c>
      <c r="BH608" s="1267"/>
      <c r="BI608" s="1274">
        <f t="shared" si="10"/>
        <v>0</v>
      </c>
      <c r="BJ608" s="1276"/>
      <c r="BK608" s="1265">
        <f t="shared" si="2"/>
        <v>0</v>
      </c>
      <c r="BL608" s="1267"/>
      <c r="BN608" s="1265">
        <f t="shared" si="3"/>
        <v>0</v>
      </c>
      <c r="BO608" s="1266"/>
      <c r="BP608" s="1266"/>
      <c r="BQ608" s="1266"/>
      <c r="BR608" s="1279"/>
      <c r="BS608" s="1265">
        <f t="shared" si="4"/>
        <v>0</v>
      </c>
      <c r="BT608" s="1266"/>
      <c r="BU608" s="1266"/>
      <c r="BV608" s="1266"/>
      <c r="BW608" s="1267"/>
      <c r="BX608" s="1265">
        <f t="shared" si="5"/>
        <v>0</v>
      </c>
      <c r="BY608" s="1266"/>
      <c r="BZ608" s="1266"/>
      <c r="CA608" s="1266"/>
      <c r="CB608" s="1267"/>
      <c r="CC608" s="1265">
        <f t="shared" si="6"/>
        <v>0</v>
      </c>
      <c r="CD608" s="1266"/>
      <c r="CE608" s="1266"/>
      <c r="CF608" s="1266"/>
      <c r="CG608" s="1267"/>
      <c r="CH608" s="1265">
        <f t="shared" si="7"/>
        <v>0</v>
      </c>
      <c r="CI608" s="1266"/>
      <c r="CJ608" s="1266"/>
      <c r="CK608" s="1266"/>
      <c r="CL608" s="1267"/>
      <c r="CM608" s="1277">
        <f t="shared" si="8"/>
        <v>0</v>
      </c>
      <c r="CN608" s="1278"/>
      <c r="CO608" s="1278"/>
      <c r="CP608" s="1278"/>
      <c r="CQ608" s="1279"/>
      <c r="CS608" s="1280">
        <f t="shared" si="11"/>
        <v>0</v>
      </c>
      <c r="CT608" s="1281"/>
      <c r="CU608" s="1281"/>
      <c r="CV608" s="1281"/>
      <c r="CW608" s="1282"/>
      <c r="CX608" s="1280">
        <f t="shared" si="12"/>
        <v>0</v>
      </c>
      <c r="CY608" s="1281"/>
      <c r="CZ608" s="1281"/>
      <c r="DA608" s="1281"/>
      <c r="DB608" s="1282"/>
      <c r="DC608" s="1280">
        <f t="shared" si="13"/>
        <v>0</v>
      </c>
      <c r="DD608" s="1281"/>
      <c r="DE608" s="1281"/>
      <c r="DF608" s="1281"/>
      <c r="DG608" s="1282"/>
      <c r="DH608" s="1280">
        <f t="shared" si="14"/>
        <v>0</v>
      </c>
      <c r="DI608" s="1281"/>
      <c r="DJ608" s="1281"/>
      <c r="DK608" s="1281"/>
      <c r="DL608" s="1282"/>
      <c r="DM608" s="1280">
        <f t="shared" si="15"/>
        <v>0</v>
      </c>
      <c r="DN608" s="1281"/>
      <c r="DO608" s="1281"/>
      <c r="DP608" s="1281"/>
      <c r="DQ608" s="1282"/>
      <c r="DR608" s="1280">
        <f t="shared" si="16"/>
        <v>0</v>
      </c>
      <c r="DS608" s="1281"/>
      <c r="DT608" s="1281"/>
      <c r="DU608" s="1281"/>
      <c r="DV608" s="1282"/>
    </row>
    <row r="609" spans="1:126" s="5" customFormat="1" ht="12.95" customHeight="1">
      <c r="A609" s="4"/>
      <c r="B609" t="s">
        <v>836</v>
      </c>
      <c r="C609"/>
      <c r="D609"/>
      <c r="E609"/>
      <c r="F609"/>
      <c r="G609"/>
      <c r="H609"/>
      <c r="I609"/>
      <c r="J609"/>
      <c r="K609"/>
      <c r="L609"/>
      <c r="M609"/>
      <c r="N609" s="1115" t="s">
        <v>482</v>
      </c>
      <c r="O609" s="1115"/>
      <c r="P609"/>
      <c r="Q609"/>
      <c r="R609"/>
      <c r="S609"/>
      <c r="T609" s="4"/>
      <c r="U609" t="s">
        <v>836</v>
      </c>
      <c r="V609"/>
      <c r="W609"/>
      <c r="X609"/>
      <c r="Y609"/>
      <c r="Z609"/>
      <c r="AA609"/>
      <c r="AB609"/>
      <c r="AC609"/>
      <c r="AD609"/>
      <c r="AE609"/>
      <c r="AF609"/>
      <c r="AG609" s="1115" t="s">
        <v>482</v>
      </c>
      <c r="AH609" s="1115"/>
      <c r="AI609"/>
      <c r="AJ609"/>
      <c r="AK609"/>
      <c r="AL609"/>
      <c r="AZ609" s="41"/>
      <c r="BA609" s="41"/>
      <c r="BB609" s="41"/>
      <c r="BC609" s="41"/>
      <c r="BD609" s="41"/>
      <c r="BE609" s="1274">
        <f t="shared" si="9"/>
        <v>0</v>
      </c>
      <c r="BF609" s="1276"/>
      <c r="BG609" s="1265">
        <f t="shared" si="1"/>
        <v>0</v>
      </c>
      <c r="BH609" s="1267"/>
      <c r="BI609" s="1274">
        <f t="shared" si="10"/>
        <v>0</v>
      </c>
      <c r="BJ609" s="1276"/>
      <c r="BK609" s="1265">
        <f t="shared" si="2"/>
        <v>0</v>
      </c>
      <c r="BL609" s="1267"/>
      <c r="BN609" s="1265">
        <f t="shared" si="3"/>
        <v>0</v>
      </c>
      <c r="BO609" s="1266"/>
      <c r="BP609" s="1266"/>
      <c r="BQ609" s="1266"/>
      <c r="BR609" s="1279"/>
      <c r="BS609" s="1265">
        <f t="shared" si="4"/>
        <v>0</v>
      </c>
      <c r="BT609" s="1266"/>
      <c r="BU609" s="1266"/>
      <c r="BV609" s="1266"/>
      <c r="BW609" s="1267"/>
      <c r="BX609" s="1265">
        <f t="shared" si="5"/>
        <v>0</v>
      </c>
      <c r="BY609" s="1266"/>
      <c r="BZ609" s="1266"/>
      <c r="CA609" s="1266"/>
      <c r="CB609" s="1267"/>
      <c r="CC609" s="1265">
        <f t="shared" si="6"/>
        <v>0</v>
      </c>
      <c r="CD609" s="1266"/>
      <c r="CE609" s="1266"/>
      <c r="CF609" s="1266"/>
      <c r="CG609" s="1267"/>
      <c r="CH609" s="1265">
        <f t="shared" si="7"/>
        <v>0</v>
      </c>
      <c r="CI609" s="1266"/>
      <c r="CJ609" s="1266"/>
      <c r="CK609" s="1266"/>
      <c r="CL609" s="1267"/>
      <c r="CM609" s="1277">
        <f t="shared" si="8"/>
        <v>0</v>
      </c>
      <c r="CN609" s="1278"/>
      <c r="CO609" s="1278"/>
      <c r="CP609" s="1278"/>
      <c r="CQ609" s="1279"/>
      <c r="CS609" s="1280">
        <f t="shared" si="11"/>
        <v>0</v>
      </c>
      <c r="CT609" s="1281"/>
      <c r="CU609" s="1281"/>
      <c r="CV609" s="1281"/>
      <c r="CW609" s="1282"/>
      <c r="CX609" s="1280">
        <f t="shared" si="12"/>
        <v>0</v>
      </c>
      <c r="CY609" s="1281"/>
      <c r="CZ609" s="1281"/>
      <c r="DA609" s="1281"/>
      <c r="DB609" s="1282"/>
      <c r="DC609" s="1280">
        <f t="shared" si="13"/>
        <v>0</v>
      </c>
      <c r="DD609" s="1281"/>
      <c r="DE609" s="1281"/>
      <c r="DF609" s="1281"/>
      <c r="DG609" s="1282"/>
      <c r="DH609" s="1280">
        <f t="shared" si="14"/>
        <v>0</v>
      </c>
      <c r="DI609" s="1281"/>
      <c r="DJ609" s="1281"/>
      <c r="DK609" s="1281"/>
      <c r="DL609" s="1282"/>
      <c r="DM609" s="1280">
        <f t="shared" si="15"/>
        <v>0</v>
      </c>
      <c r="DN609" s="1281"/>
      <c r="DO609" s="1281"/>
      <c r="DP609" s="1281"/>
      <c r="DQ609" s="1282"/>
      <c r="DR609" s="1280">
        <f t="shared" si="16"/>
        <v>0</v>
      </c>
      <c r="DS609" s="1281"/>
      <c r="DT609" s="1281"/>
      <c r="DU609" s="1281"/>
      <c r="DV609" s="128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4">
        <f t="shared" si="9"/>
        <v>0</v>
      </c>
      <c r="BF610" s="1276"/>
      <c r="BG610" s="1265">
        <f t="shared" si="1"/>
        <v>0</v>
      </c>
      <c r="BH610" s="1267"/>
      <c r="BI610" s="1274">
        <f t="shared" si="10"/>
        <v>0</v>
      </c>
      <c r="BJ610" s="1276"/>
      <c r="BK610" s="1265">
        <f t="shared" si="2"/>
        <v>0</v>
      </c>
      <c r="BL610" s="1267"/>
      <c r="BN610" s="1265">
        <f t="shared" si="3"/>
        <v>0</v>
      </c>
      <c r="BO610" s="1266"/>
      <c r="BP610" s="1266"/>
      <c r="BQ610" s="1266"/>
      <c r="BR610" s="1279"/>
      <c r="BS610" s="1265">
        <f t="shared" si="4"/>
        <v>0</v>
      </c>
      <c r="BT610" s="1266"/>
      <c r="BU610" s="1266"/>
      <c r="BV610" s="1266"/>
      <c r="BW610" s="1267"/>
      <c r="BX610" s="1265">
        <f t="shared" si="5"/>
        <v>0</v>
      </c>
      <c r="BY610" s="1266"/>
      <c r="BZ610" s="1266"/>
      <c r="CA610" s="1266"/>
      <c r="CB610" s="1267"/>
      <c r="CC610" s="1265">
        <f t="shared" si="6"/>
        <v>0</v>
      </c>
      <c r="CD610" s="1266"/>
      <c r="CE610" s="1266"/>
      <c r="CF610" s="1266"/>
      <c r="CG610" s="1267"/>
      <c r="CH610" s="1265">
        <f t="shared" si="7"/>
        <v>0</v>
      </c>
      <c r="CI610" s="1266"/>
      <c r="CJ610" s="1266"/>
      <c r="CK610" s="1266"/>
      <c r="CL610" s="1267"/>
      <c r="CM610" s="1277">
        <f t="shared" si="8"/>
        <v>0</v>
      </c>
      <c r="CN610" s="1278"/>
      <c r="CO610" s="1278"/>
      <c r="CP610" s="1278"/>
      <c r="CQ610" s="1279"/>
      <c r="CS610" s="1280">
        <f t="shared" si="11"/>
        <v>0</v>
      </c>
      <c r="CT610" s="1281"/>
      <c r="CU610" s="1281"/>
      <c r="CV610" s="1281"/>
      <c r="CW610" s="1282"/>
      <c r="CX610" s="1280">
        <f t="shared" si="12"/>
        <v>0</v>
      </c>
      <c r="CY610" s="1281"/>
      <c r="CZ610" s="1281"/>
      <c r="DA610" s="1281"/>
      <c r="DB610" s="1282"/>
      <c r="DC610" s="1280">
        <f t="shared" si="13"/>
        <v>0</v>
      </c>
      <c r="DD610" s="1281"/>
      <c r="DE610" s="1281"/>
      <c r="DF610" s="1281"/>
      <c r="DG610" s="1282"/>
      <c r="DH610" s="1280">
        <f t="shared" si="14"/>
        <v>0</v>
      </c>
      <c r="DI610" s="1281"/>
      <c r="DJ610" s="1281"/>
      <c r="DK610" s="1281"/>
      <c r="DL610" s="1282"/>
      <c r="DM610" s="1280">
        <f t="shared" si="15"/>
        <v>0</v>
      </c>
      <c r="DN610" s="1281"/>
      <c r="DO610" s="1281"/>
      <c r="DP610" s="1281"/>
      <c r="DQ610" s="1282"/>
      <c r="DR610" s="1280">
        <f t="shared" si="16"/>
        <v>0</v>
      </c>
      <c r="DS610" s="1281"/>
      <c r="DT610" s="1281"/>
      <c r="DU610" s="1281"/>
      <c r="DV610" s="1282"/>
    </row>
    <row r="611" spans="1:126" ht="12.95" customHeight="1">
      <c r="A611" s="61" t="s">
        <v>32</v>
      </c>
      <c r="B611" t="s">
        <v>82</v>
      </c>
      <c r="C611"/>
      <c r="G611" s="1263">
        <f>C567</f>
        <v>0</v>
      </c>
      <c r="H611" s="1263"/>
      <c r="I611" s="1263"/>
      <c r="J611" s="1263"/>
      <c r="K611" s="1263"/>
      <c r="L611" s="1263"/>
      <c r="M611" s="1263"/>
      <c r="N611" s="1263"/>
      <c r="O611" s="1263"/>
      <c r="P611" s="1263"/>
      <c r="Q611" s="1263"/>
      <c r="R611" s="1263"/>
      <c r="T611" s="61" t="s">
        <v>33</v>
      </c>
      <c r="U611" t="s">
        <v>82</v>
      </c>
      <c r="Z611" s="1263">
        <f>C568</f>
        <v>0</v>
      </c>
      <c r="AA611" s="1263"/>
      <c r="AB611" s="1263"/>
      <c r="AC611" s="1263"/>
      <c r="AD611" s="1263"/>
      <c r="AE611" s="1263"/>
      <c r="AF611" s="1263"/>
      <c r="AG611" s="1263"/>
      <c r="AH611" s="1263"/>
      <c r="AI611" s="1263"/>
      <c r="AJ611" s="1263"/>
      <c r="AK611" s="1263"/>
      <c r="AZ611" s="41"/>
      <c r="BA611" s="41"/>
      <c r="BB611" s="41"/>
      <c r="BC611" s="41"/>
      <c r="BD611" s="41"/>
      <c r="BE611" s="1274">
        <f t="shared" si="9"/>
        <v>0</v>
      </c>
      <c r="BF611" s="1276"/>
      <c r="BG611" s="1265">
        <f t="shared" si="1"/>
        <v>0</v>
      </c>
      <c r="BH611" s="1267"/>
      <c r="BI611" s="1274">
        <f t="shared" si="10"/>
        <v>0</v>
      </c>
      <c r="BJ611" s="1276"/>
      <c r="BK611" s="1265">
        <f t="shared" si="2"/>
        <v>0</v>
      </c>
      <c r="BL611" s="1267"/>
      <c r="BN611" s="1265">
        <f t="shared" si="3"/>
        <v>0</v>
      </c>
      <c r="BO611" s="1266"/>
      <c r="BP611" s="1266"/>
      <c r="BQ611" s="1266"/>
      <c r="BR611" s="1279"/>
      <c r="BS611" s="1265">
        <f t="shared" si="4"/>
        <v>0</v>
      </c>
      <c r="BT611" s="1266"/>
      <c r="BU611" s="1266"/>
      <c r="BV611" s="1266"/>
      <c r="BW611" s="1267"/>
      <c r="BX611" s="1265">
        <f t="shared" si="5"/>
        <v>0</v>
      </c>
      <c r="BY611" s="1266"/>
      <c r="BZ611" s="1266"/>
      <c r="CA611" s="1266"/>
      <c r="CB611" s="1267"/>
      <c r="CC611" s="1265">
        <f t="shared" si="6"/>
        <v>0</v>
      </c>
      <c r="CD611" s="1266"/>
      <c r="CE611" s="1266"/>
      <c r="CF611" s="1266"/>
      <c r="CG611" s="1267"/>
      <c r="CH611" s="1265">
        <f t="shared" si="7"/>
        <v>0</v>
      </c>
      <c r="CI611" s="1266"/>
      <c r="CJ611" s="1266"/>
      <c r="CK611" s="1266"/>
      <c r="CL611" s="1267"/>
      <c r="CM611" s="1277">
        <f t="shared" si="8"/>
        <v>0</v>
      </c>
      <c r="CN611" s="1278"/>
      <c r="CO611" s="1278"/>
      <c r="CP611" s="1278"/>
      <c r="CQ611" s="1279"/>
      <c r="CS611" s="1280">
        <f t="shared" si="11"/>
        <v>0</v>
      </c>
      <c r="CT611" s="1281"/>
      <c r="CU611" s="1281"/>
      <c r="CV611" s="1281"/>
      <c r="CW611" s="1282"/>
      <c r="CX611" s="1280">
        <f t="shared" si="12"/>
        <v>0</v>
      </c>
      <c r="CY611" s="1281"/>
      <c r="CZ611" s="1281"/>
      <c r="DA611" s="1281"/>
      <c r="DB611" s="1282"/>
      <c r="DC611" s="1280">
        <f t="shared" si="13"/>
        <v>0</v>
      </c>
      <c r="DD611" s="1281"/>
      <c r="DE611" s="1281"/>
      <c r="DF611" s="1281"/>
      <c r="DG611" s="1282"/>
      <c r="DH611" s="1280">
        <f t="shared" si="14"/>
        <v>0</v>
      </c>
      <c r="DI611" s="1281"/>
      <c r="DJ611" s="1281"/>
      <c r="DK611" s="1281"/>
      <c r="DL611" s="1282"/>
      <c r="DM611" s="1280">
        <f t="shared" si="15"/>
        <v>0</v>
      </c>
      <c r="DN611" s="1281"/>
      <c r="DO611" s="1281"/>
      <c r="DP611" s="1281"/>
      <c r="DQ611" s="1282"/>
      <c r="DR611" s="1280">
        <f t="shared" si="16"/>
        <v>0</v>
      </c>
      <c r="DS611" s="1281"/>
      <c r="DT611" s="1281"/>
      <c r="DU611" s="1281"/>
      <c r="DV611" s="1282"/>
    </row>
    <row r="612" spans="1:126" ht="12.95" customHeight="1">
      <c r="B612" t="s">
        <v>372</v>
      </c>
      <c r="C612"/>
      <c r="G612" s="1150"/>
      <c r="H612" s="1150"/>
      <c r="I612" s="1150"/>
      <c r="J612" s="1150"/>
      <c r="K612" s="1150"/>
      <c r="L612" s="1150"/>
      <c r="M612" s="1150"/>
      <c r="N612" s="1150"/>
      <c r="O612" s="1150"/>
      <c r="P612" s="1150"/>
      <c r="Q612" s="1150"/>
      <c r="R612" s="1150"/>
      <c r="U612" t="s">
        <v>372</v>
      </c>
      <c r="Z612" s="1150"/>
      <c r="AA612" s="1150"/>
      <c r="AB612" s="1150"/>
      <c r="AC612" s="1150"/>
      <c r="AD612" s="1150"/>
      <c r="AE612" s="1150"/>
      <c r="AF612" s="1150"/>
      <c r="AG612" s="1150"/>
      <c r="AH612" s="1150"/>
      <c r="AI612" s="1150"/>
      <c r="AJ612" s="1150"/>
      <c r="AK612" s="1150"/>
      <c r="AZ612" s="41"/>
      <c r="BA612" s="41"/>
      <c r="BB612" s="41"/>
      <c r="BC612" s="41"/>
      <c r="BD612" s="41"/>
      <c r="BE612" s="1274">
        <f t="shared" si="9"/>
        <v>0</v>
      </c>
      <c r="BF612" s="1276"/>
      <c r="BG612" s="1265">
        <f t="shared" si="1"/>
        <v>0</v>
      </c>
      <c r="BH612" s="1267"/>
      <c r="BI612" s="1274">
        <f t="shared" si="10"/>
        <v>0</v>
      </c>
      <c r="BJ612" s="1276"/>
      <c r="BK612" s="1265">
        <f t="shared" si="2"/>
        <v>0</v>
      </c>
      <c r="BL612" s="1267"/>
      <c r="BN612" s="1265">
        <f t="shared" si="3"/>
        <v>0</v>
      </c>
      <c r="BO612" s="1266"/>
      <c r="BP612" s="1266"/>
      <c r="BQ612" s="1266"/>
      <c r="BR612" s="1279"/>
      <c r="BS612" s="1265">
        <f t="shared" si="4"/>
        <v>0</v>
      </c>
      <c r="BT612" s="1266"/>
      <c r="BU612" s="1266"/>
      <c r="BV612" s="1266"/>
      <c r="BW612" s="1267"/>
      <c r="BX612" s="1265">
        <f t="shared" si="5"/>
        <v>0</v>
      </c>
      <c r="BY612" s="1266"/>
      <c r="BZ612" s="1266"/>
      <c r="CA612" s="1266"/>
      <c r="CB612" s="1267"/>
      <c r="CC612" s="1265">
        <f t="shared" si="6"/>
        <v>0</v>
      </c>
      <c r="CD612" s="1266"/>
      <c r="CE612" s="1266"/>
      <c r="CF612" s="1266"/>
      <c r="CG612" s="1267"/>
      <c r="CH612" s="1265">
        <f t="shared" si="7"/>
        <v>0</v>
      </c>
      <c r="CI612" s="1266"/>
      <c r="CJ612" s="1266"/>
      <c r="CK612" s="1266"/>
      <c r="CL612" s="1267"/>
      <c r="CM612" s="1277">
        <f t="shared" si="8"/>
        <v>0</v>
      </c>
      <c r="CN612" s="1278"/>
      <c r="CO612" s="1278"/>
      <c r="CP612" s="1278"/>
      <c r="CQ612" s="1279"/>
      <c r="CS612" s="1280">
        <f t="shared" si="11"/>
        <v>0</v>
      </c>
      <c r="CT612" s="1281"/>
      <c r="CU612" s="1281"/>
      <c r="CV612" s="1281"/>
      <c r="CW612" s="1282"/>
      <c r="CX612" s="1280">
        <f t="shared" si="12"/>
        <v>0</v>
      </c>
      <c r="CY612" s="1281"/>
      <c r="CZ612" s="1281"/>
      <c r="DA612" s="1281"/>
      <c r="DB612" s="1282"/>
      <c r="DC612" s="1280">
        <f t="shared" si="13"/>
        <v>0</v>
      </c>
      <c r="DD612" s="1281"/>
      <c r="DE612" s="1281"/>
      <c r="DF612" s="1281"/>
      <c r="DG612" s="1282"/>
      <c r="DH612" s="1280">
        <f t="shared" si="14"/>
        <v>0</v>
      </c>
      <c r="DI612" s="1281"/>
      <c r="DJ612" s="1281"/>
      <c r="DK612" s="1281"/>
      <c r="DL612" s="1282"/>
      <c r="DM612" s="1280">
        <f t="shared" si="15"/>
        <v>0</v>
      </c>
      <c r="DN612" s="1281"/>
      <c r="DO612" s="1281"/>
      <c r="DP612" s="1281"/>
      <c r="DQ612" s="1282"/>
      <c r="DR612" s="1280">
        <f t="shared" si="16"/>
        <v>0</v>
      </c>
      <c r="DS612" s="1281"/>
      <c r="DT612" s="1281"/>
      <c r="DU612" s="1281"/>
      <c r="DV612" s="1282"/>
    </row>
    <row r="613" spans="1:126" ht="12.95" customHeight="1">
      <c r="B613" t="s">
        <v>430</v>
      </c>
      <c r="C613"/>
      <c r="G613" s="1150"/>
      <c r="H613" s="1150"/>
      <c r="I613" s="1150"/>
      <c r="J613" s="1150"/>
      <c r="K613" s="1150"/>
      <c r="L613" s="1150"/>
      <c r="M613" s="1150"/>
      <c r="N613" s="1150"/>
      <c r="O613" s="1150"/>
      <c r="P613" s="1150"/>
      <c r="Q613" s="1150"/>
      <c r="R613" s="1150"/>
      <c r="U613" t="s">
        <v>430</v>
      </c>
      <c r="Z613" s="1261"/>
      <c r="AA613" s="1261"/>
      <c r="AB613" s="1261"/>
      <c r="AC613" s="1261"/>
      <c r="AD613" s="1261"/>
      <c r="AE613" s="1261"/>
      <c r="AF613" s="1261"/>
      <c r="AG613" s="1261"/>
      <c r="AH613" s="1261"/>
      <c r="AI613" s="1261"/>
      <c r="AJ613" s="1261"/>
      <c r="AK613" s="1261"/>
      <c r="AL613" s="303"/>
      <c r="BA613" s="41"/>
      <c r="BB613" s="41"/>
      <c r="BC613" s="41"/>
      <c r="BD613" s="41"/>
      <c r="BE613" s="1274">
        <f t="shared" si="9"/>
        <v>0</v>
      </c>
      <c r="BF613" s="1276"/>
      <c r="BG613" s="1265">
        <f t="shared" si="1"/>
        <v>0</v>
      </c>
      <c r="BH613" s="1267"/>
      <c r="BI613" s="1274">
        <f t="shared" si="10"/>
        <v>0</v>
      </c>
      <c r="BJ613" s="1276"/>
      <c r="BK613" s="1265">
        <f t="shared" si="2"/>
        <v>0</v>
      </c>
      <c r="BL613" s="1267"/>
      <c r="BN613" s="1265">
        <f t="shared" si="3"/>
        <v>0</v>
      </c>
      <c r="BO613" s="1266"/>
      <c r="BP613" s="1266"/>
      <c r="BQ613" s="1266"/>
      <c r="BR613" s="1279"/>
      <c r="BS613" s="1265">
        <f t="shared" si="4"/>
        <v>0</v>
      </c>
      <c r="BT613" s="1266"/>
      <c r="BU613" s="1266"/>
      <c r="BV613" s="1266"/>
      <c r="BW613" s="1267"/>
      <c r="BX613" s="1265">
        <f t="shared" si="5"/>
        <v>0</v>
      </c>
      <c r="BY613" s="1266"/>
      <c r="BZ613" s="1266"/>
      <c r="CA613" s="1266"/>
      <c r="CB613" s="1267"/>
      <c r="CC613" s="1265">
        <f t="shared" si="6"/>
        <v>0</v>
      </c>
      <c r="CD613" s="1266"/>
      <c r="CE613" s="1266"/>
      <c r="CF613" s="1266"/>
      <c r="CG613" s="1267"/>
      <c r="CH613" s="1265">
        <f t="shared" si="7"/>
        <v>0</v>
      </c>
      <c r="CI613" s="1266"/>
      <c r="CJ613" s="1266"/>
      <c r="CK613" s="1266"/>
      <c r="CL613" s="1267"/>
      <c r="CM613" s="1277">
        <f t="shared" si="8"/>
        <v>0</v>
      </c>
      <c r="CN613" s="1278"/>
      <c r="CO613" s="1278"/>
      <c r="CP613" s="1278"/>
      <c r="CQ613" s="1279"/>
      <c r="CS613" s="1280">
        <f t="shared" si="11"/>
        <v>0</v>
      </c>
      <c r="CT613" s="1281"/>
      <c r="CU613" s="1281"/>
      <c r="CV613" s="1281"/>
      <c r="CW613" s="1282"/>
      <c r="CX613" s="1280">
        <f t="shared" si="12"/>
        <v>0</v>
      </c>
      <c r="CY613" s="1281"/>
      <c r="CZ613" s="1281"/>
      <c r="DA613" s="1281"/>
      <c r="DB613" s="1282"/>
      <c r="DC613" s="1280">
        <f t="shared" si="13"/>
        <v>0</v>
      </c>
      <c r="DD613" s="1281"/>
      <c r="DE613" s="1281"/>
      <c r="DF613" s="1281"/>
      <c r="DG613" s="1282"/>
      <c r="DH613" s="1280">
        <f t="shared" si="14"/>
        <v>0</v>
      </c>
      <c r="DI613" s="1281"/>
      <c r="DJ613" s="1281"/>
      <c r="DK613" s="1281"/>
      <c r="DL613" s="1282"/>
      <c r="DM613" s="1280">
        <f t="shared" si="15"/>
        <v>0</v>
      </c>
      <c r="DN613" s="1281"/>
      <c r="DO613" s="1281"/>
      <c r="DP613" s="1281"/>
      <c r="DQ613" s="1282"/>
      <c r="DR613" s="1280">
        <f t="shared" si="16"/>
        <v>0</v>
      </c>
      <c r="DS613" s="1281"/>
      <c r="DT613" s="1281"/>
      <c r="DU613" s="1281"/>
      <c r="DV613" s="1282"/>
    </row>
    <row r="614" spans="1:126" ht="12.95" customHeight="1">
      <c r="B614" t="s">
        <v>833</v>
      </c>
      <c r="C614"/>
      <c r="G614" s="1150"/>
      <c r="H614" s="1150"/>
      <c r="I614" s="1150"/>
      <c r="J614" s="1150"/>
      <c r="K614" s="1150"/>
      <c r="L614" s="1150"/>
      <c r="M614" s="1150"/>
      <c r="N614" s="1150"/>
      <c r="O614" s="1150"/>
      <c r="P614" s="1150"/>
      <c r="Q614" s="1150"/>
      <c r="R614" s="1150"/>
      <c r="U614" t="s">
        <v>833</v>
      </c>
      <c r="Z614" s="1261"/>
      <c r="AA614" s="1261"/>
      <c r="AB614" s="1261"/>
      <c r="AC614" s="1261"/>
      <c r="AD614" s="1261"/>
      <c r="AE614" s="1261"/>
      <c r="AF614" s="1261"/>
      <c r="AG614" s="1261"/>
      <c r="AH614" s="1261"/>
      <c r="AI614" s="1261"/>
      <c r="AJ614" s="1261"/>
      <c r="AK614" s="1261"/>
      <c r="AL614" s="303"/>
      <c r="BA614" s="41"/>
      <c r="BB614" s="41"/>
      <c r="BC614" s="41"/>
      <c r="BD614" s="41"/>
      <c r="BE614" s="1274">
        <f t="shared" si="9"/>
        <v>0</v>
      </c>
      <c r="BF614" s="1276"/>
      <c r="BG614" s="1265">
        <f t="shared" si="1"/>
        <v>0</v>
      </c>
      <c r="BH614" s="1267"/>
      <c r="BI614" s="1274">
        <f t="shared" si="10"/>
        <v>0</v>
      </c>
      <c r="BJ614" s="1276"/>
      <c r="BK614" s="1265">
        <f t="shared" si="2"/>
        <v>0</v>
      </c>
      <c r="BL614" s="1267"/>
      <c r="BN614" s="1265">
        <f t="shared" si="3"/>
        <v>0</v>
      </c>
      <c r="BO614" s="1266"/>
      <c r="BP614" s="1266"/>
      <c r="BQ614" s="1266"/>
      <c r="BR614" s="1279"/>
      <c r="BS614" s="1265">
        <f t="shared" si="4"/>
        <v>0</v>
      </c>
      <c r="BT614" s="1266"/>
      <c r="BU614" s="1266"/>
      <c r="BV614" s="1266"/>
      <c r="BW614" s="1267"/>
      <c r="BX614" s="1265">
        <f t="shared" si="5"/>
        <v>0</v>
      </c>
      <c r="BY614" s="1266"/>
      <c r="BZ614" s="1266"/>
      <c r="CA614" s="1266"/>
      <c r="CB614" s="1267"/>
      <c r="CC614" s="1265">
        <f t="shared" si="6"/>
        <v>0</v>
      </c>
      <c r="CD614" s="1266"/>
      <c r="CE614" s="1266"/>
      <c r="CF614" s="1266"/>
      <c r="CG614" s="1267"/>
      <c r="CH614" s="1265">
        <f t="shared" si="7"/>
        <v>0</v>
      </c>
      <c r="CI614" s="1266"/>
      <c r="CJ614" s="1266"/>
      <c r="CK614" s="1266"/>
      <c r="CL614" s="1267"/>
      <c r="CM614" s="1277">
        <f t="shared" si="8"/>
        <v>0</v>
      </c>
      <c r="CN614" s="1278"/>
      <c r="CO614" s="1278"/>
      <c r="CP614" s="1278"/>
      <c r="CQ614" s="1279"/>
      <c r="CS614" s="1280">
        <f t="shared" si="11"/>
        <v>0</v>
      </c>
      <c r="CT614" s="1281"/>
      <c r="CU614" s="1281"/>
      <c r="CV614" s="1281"/>
      <c r="CW614" s="1282"/>
      <c r="CX614" s="1280">
        <f t="shared" si="12"/>
        <v>0</v>
      </c>
      <c r="CY614" s="1281"/>
      <c r="CZ614" s="1281"/>
      <c r="DA614" s="1281"/>
      <c r="DB614" s="1282"/>
      <c r="DC614" s="1280">
        <f t="shared" si="13"/>
        <v>0</v>
      </c>
      <c r="DD614" s="1281"/>
      <c r="DE614" s="1281"/>
      <c r="DF614" s="1281"/>
      <c r="DG614" s="1282"/>
      <c r="DH614" s="1280">
        <f t="shared" si="14"/>
        <v>0</v>
      </c>
      <c r="DI614" s="1281"/>
      <c r="DJ614" s="1281"/>
      <c r="DK614" s="1281"/>
      <c r="DL614" s="1282"/>
      <c r="DM614" s="1280">
        <f t="shared" si="15"/>
        <v>0</v>
      </c>
      <c r="DN614" s="1281"/>
      <c r="DO614" s="1281"/>
      <c r="DP614" s="1281"/>
      <c r="DQ614" s="1282"/>
      <c r="DR614" s="1280">
        <f t="shared" si="16"/>
        <v>0</v>
      </c>
      <c r="DS614" s="1281"/>
      <c r="DT614" s="1281"/>
      <c r="DU614" s="1281"/>
      <c r="DV614" s="1282"/>
    </row>
    <row r="615" spans="1:126" ht="12.95" customHeight="1">
      <c r="B615" t="s">
        <v>650</v>
      </c>
      <c r="C615"/>
      <c r="G615" s="1264"/>
      <c r="H615" s="1264"/>
      <c r="I615" s="1264"/>
      <c r="J615" s="1264"/>
      <c r="K615" s="1264"/>
      <c r="L615" s="1264"/>
      <c r="O615" s="42" t="s">
        <v>818</v>
      </c>
      <c r="P615" s="1262"/>
      <c r="Q615" s="1262"/>
      <c r="R615" s="1262"/>
      <c r="U615" t="s">
        <v>650</v>
      </c>
      <c r="Z615" s="1264"/>
      <c r="AA615" s="1264"/>
      <c r="AB615" s="1264"/>
      <c r="AC615" s="1264"/>
      <c r="AD615" s="1264"/>
      <c r="AE615" s="1264"/>
      <c r="AH615" s="42" t="s">
        <v>818</v>
      </c>
      <c r="AI615" s="1262"/>
      <c r="AJ615" s="1262"/>
      <c r="AK615" s="1262"/>
      <c r="AZ615" s="41"/>
      <c r="BA615" s="41"/>
      <c r="BB615" s="41"/>
      <c r="BC615" s="41"/>
      <c r="BD615" s="41"/>
      <c r="BE615" s="1274">
        <f t="shared" si="9"/>
        <v>0</v>
      </c>
      <c r="BF615" s="1276"/>
      <c r="BG615" s="1265">
        <f t="shared" si="1"/>
        <v>0</v>
      </c>
      <c r="BH615" s="1267"/>
      <c r="BI615" s="1274">
        <f t="shared" si="10"/>
        <v>0</v>
      </c>
      <c r="BJ615" s="1276"/>
      <c r="BK615" s="1265">
        <f t="shared" si="2"/>
        <v>0</v>
      </c>
      <c r="BL615" s="1267"/>
      <c r="BN615" s="1265">
        <f t="shared" si="3"/>
        <v>0</v>
      </c>
      <c r="BO615" s="1266"/>
      <c r="BP615" s="1266"/>
      <c r="BQ615" s="1266"/>
      <c r="BR615" s="1279"/>
      <c r="BS615" s="1265">
        <f t="shared" si="4"/>
        <v>0</v>
      </c>
      <c r="BT615" s="1266"/>
      <c r="BU615" s="1266"/>
      <c r="BV615" s="1266"/>
      <c r="BW615" s="1267"/>
      <c r="BX615" s="1265">
        <f t="shared" si="5"/>
        <v>0</v>
      </c>
      <c r="BY615" s="1266"/>
      <c r="BZ615" s="1266"/>
      <c r="CA615" s="1266"/>
      <c r="CB615" s="1267"/>
      <c r="CC615" s="1265">
        <f t="shared" si="6"/>
        <v>0</v>
      </c>
      <c r="CD615" s="1266"/>
      <c r="CE615" s="1266"/>
      <c r="CF615" s="1266"/>
      <c r="CG615" s="1267"/>
      <c r="CH615" s="1265">
        <f t="shared" si="7"/>
        <v>0</v>
      </c>
      <c r="CI615" s="1266"/>
      <c r="CJ615" s="1266"/>
      <c r="CK615" s="1266"/>
      <c r="CL615" s="1267"/>
      <c r="CM615" s="1277">
        <f t="shared" si="8"/>
        <v>0</v>
      </c>
      <c r="CN615" s="1278"/>
      <c r="CO615" s="1278"/>
      <c r="CP615" s="1278"/>
      <c r="CQ615" s="1279"/>
      <c r="CS615" s="1280">
        <f t="shared" si="11"/>
        <v>0</v>
      </c>
      <c r="CT615" s="1281"/>
      <c r="CU615" s="1281"/>
      <c r="CV615" s="1281"/>
      <c r="CW615" s="1282"/>
      <c r="CX615" s="1280">
        <f t="shared" si="12"/>
        <v>0</v>
      </c>
      <c r="CY615" s="1281"/>
      <c r="CZ615" s="1281"/>
      <c r="DA615" s="1281"/>
      <c r="DB615" s="1282"/>
      <c r="DC615" s="1280">
        <f t="shared" si="13"/>
        <v>0</v>
      </c>
      <c r="DD615" s="1281"/>
      <c r="DE615" s="1281"/>
      <c r="DF615" s="1281"/>
      <c r="DG615" s="1282"/>
      <c r="DH615" s="1280">
        <f t="shared" si="14"/>
        <v>0</v>
      </c>
      <c r="DI615" s="1281"/>
      <c r="DJ615" s="1281"/>
      <c r="DK615" s="1281"/>
      <c r="DL615" s="1282"/>
      <c r="DM615" s="1280">
        <f t="shared" si="15"/>
        <v>0</v>
      </c>
      <c r="DN615" s="1281"/>
      <c r="DO615" s="1281"/>
      <c r="DP615" s="1281"/>
      <c r="DQ615" s="1282"/>
      <c r="DR615" s="1280">
        <f t="shared" si="16"/>
        <v>0</v>
      </c>
      <c r="DS615" s="1281"/>
      <c r="DT615" s="1281"/>
      <c r="DU615" s="1281"/>
      <c r="DV615" s="1282"/>
    </row>
    <row r="616" spans="1:126" ht="12.95" customHeight="1">
      <c r="B616" t="s">
        <v>834</v>
      </c>
      <c r="C616"/>
      <c r="H616" s="1150"/>
      <c r="I616" s="1150"/>
      <c r="J616" s="1150"/>
      <c r="K616" s="1150"/>
      <c r="L616" s="1150"/>
      <c r="M616" s="1150"/>
      <c r="N616" s="1150"/>
      <c r="O616" s="1150"/>
      <c r="P616" s="1150"/>
      <c r="Q616" s="1150"/>
      <c r="R616" s="1150"/>
      <c r="U616" t="s">
        <v>834</v>
      </c>
      <c r="AA616" s="1150"/>
      <c r="AB616" s="1150"/>
      <c r="AC616" s="1150"/>
      <c r="AD616" s="1150"/>
      <c r="AE616" s="1150"/>
      <c r="AF616" s="1150"/>
      <c r="AG616" s="1150"/>
      <c r="AH616" s="1150"/>
      <c r="AI616" s="1150"/>
      <c r="AJ616" s="1150"/>
      <c r="AK616" s="1150"/>
      <c r="AZ616" s="41"/>
      <c r="BA616" s="41"/>
      <c r="BB616" s="41"/>
      <c r="BC616" s="41"/>
      <c r="BD616" s="41"/>
      <c r="BE616" s="1274">
        <f t="shared" si="9"/>
        <v>0</v>
      </c>
      <c r="BF616" s="1276"/>
      <c r="BG616" s="1265">
        <f t="shared" si="1"/>
        <v>0</v>
      </c>
      <c r="BH616" s="1267"/>
      <c r="BI616" s="1274">
        <f t="shared" si="10"/>
        <v>0</v>
      </c>
      <c r="BJ616" s="1276"/>
      <c r="BK616" s="1265">
        <f t="shared" si="2"/>
        <v>0</v>
      </c>
      <c r="BL616" s="1267"/>
      <c r="BN616" s="1265">
        <f t="shared" si="3"/>
        <v>0</v>
      </c>
      <c r="BO616" s="1266"/>
      <c r="BP616" s="1266"/>
      <c r="BQ616" s="1266"/>
      <c r="BR616" s="1279"/>
      <c r="BS616" s="1265">
        <f t="shared" si="4"/>
        <v>0</v>
      </c>
      <c r="BT616" s="1266"/>
      <c r="BU616" s="1266"/>
      <c r="BV616" s="1266"/>
      <c r="BW616" s="1267"/>
      <c r="BX616" s="1265">
        <f t="shared" si="5"/>
        <v>0</v>
      </c>
      <c r="BY616" s="1266"/>
      <c r="BZ616" s="1266"/>
      <c r="CA616" s="1266"/>
      <c r="CB616" s="1267"/>
      <c r="CC616" s="1265">
        <f t="shared" si="6"/>
        <v>0</v>
      </c>
      <c r="CD616" s="1266"/>
      <c r="CE616" s="1266"/>
      <c r="CF616" s="1266"/>
      <c r="CG616" s="1267"/>
      <c r="CH616" s="1265">
        <f t="shared" si="7"/>
        <v>0</v>
      </c>
      <c r="CI616" s="1266"/>
      <c r="CJ616" s="1266"/>
      <c r="CK616" s="1266"/>
      <c r="CL616" s="1267"/>
      <c r="CM616" s="1277">
        <f t="shared" si="8"/>
        <v>0</v>
      </c>
      <c r="CN616" s="1278"/>
      <c r="CO616" s="1278"/>
      <c r="CP616" s="1278"/>
      <c r="CQ616" s="1279"/>
      <c r="CS616" s="1280">
        <f t="shared" si="11"/>
        <v>0</v>
      </c>
      <c r="CT616" s="1281"/>
      <c r="CU616" s="1281"/>
      <c r="CV616" s="1281"/>
      <c r="CW616" s="1282"/>
      <c r="CX616" s="1280">
        <f t="shared" si="12"/>
        <v>0</v>
      </c>
      <c r="CY616" s="1281"/>
      <c r="CZ616" s="1281"/>
      <c r="DA616" s="1281"/>
      <c r="DB616" s="1282"/>
      <c r="DC616" s="1280">
        <f t="shared" si="13"/>
        <v>0</v>
      </c>
      <c r="DD616" s="1281"/>
      <c r="DE616" s="1281"/>
      <c r="DF616" s="1281"/>
      <c r="DG616" s="1282"/>
      <c r="DH616" s="1280">
        <f t="shared" si="14"/>
        <v>0</v>
      </c>
      <c r="DI616" s="1281"/>
      <c r="DJ616" s="1281"/>
      <c r="DK616" s="1281"/>
      <c r="DL616" s="1282"/>
      <c r="DM616" s="1280">
        <f t="shared" si="15"/>
        <v>0</v>
      </c>
      <c r="DN616" s="1281"/>
      <c r="DO616" s="1281"/>
      <c r="DP616" s="1281"/>
      <c r="DQ616" s="1282"/>
      <c r="DR616" s="1280">
        <f t="shared" si="16"/>
        <v>0</v>
      </c>
      <c r="DS616" s="1281"/>
      <c r="DT616" s="1281"/>
      <c r="DU616" s="1281"/>
      <c r="DV616" s="1282"/>
    </row>
    <row r="617" spans="1:126" ht="12.95" customHeight="1">
      <c r="B617" t="s">
        <v>836</v>
      </c>
      <c r="C617"/>
      <c r="N617" s="1141" t="s">
        <v>482</v>
      </c>
      <c r="O617" s="1141"/>
      <c r="U617" t="s">
        <v>836</v>
      </c>
      <c r="AG617" s="1141" t="s">
        <v>482</v>
      </c>
      <c r="AH617" s="1141"/>
      <c r="AZ617" s="41"/>
      <c r="BA617" s="41"/>
      <c r="BB617" s="41"/>
      <c r="BC617" s="41"/>
      <c r="BD617" s="41"/>
      <c r="BE617" s="1274">
        <f t="shared" si="9"/>
        <v>0</v>
      </c>
      <c r="BF617" s="1276"/>
      <c r="BG617" s="1265">
        <f t="shared" si="1"/>
        <v>0</v>
      </c>
      <c r="BH617" s="1267"/>
      <c r="BI617" s="1274">
        <f t="shared" si="10"/>
        <v>0</v>
      </c>
      <c r="BJ617" s="1276"/>
      <c r="BK617" s="1265">
        <f t="shared" si="2"/>
        <v>0</v>
      </c>
      <c r="BL617" s="1267"/>
      <c r="BN617" s="1265">
        <f t="shared" si="3"/>
        <v>0</v>
      </c>
      <c r="BO617" s="1266"/>
      <c r="BP617" s="1266"/>
      <c r="BQ617" s="1266"/>
      <c r="BR617" s="1279"/>
      <c r="BS617" s="1265">
        <f t="shared" si="4"/>
        <v>0</v>
      </c>
      <c r="BT617" s="1266"/>
      <c r="BU617" s="1266"/>
      <c r="BV617" s="1266"/>
      <c r="BW617" s="1267"/>
      <c r="BX617" s="1265">
        <f t="shared" si="5"/>
        <v>0</v>
      </c>
      <c r="BY617" s="1266"/>
      <c r="BZ617" s="1266"/>
      <c r="CA617" s="1266"/>
      <c r="CB617" s="1267"/>
      <c r="CC617" s="1265">
        <f t="shared" si="6"/>
        <v>0</v>
      </c>
      <c r="CD617" s="1266"/>
      <c r="CE617" s="1266"/>
      <c r="CF617" s="1266"/>
      <c r="CG617" s="1267"/>
      <c r="CH617" s="1265">
        <f t="shared" si="7"/>
        <v>0</v>
      </c>
      <c r="CI617" s="1266"/>
      <c r="CJ617" s="1266"/>
      <c r="CK617" s="1266"/>
      <c r="CL617" s="1267"/>
      <c r="CM617" s="1277">
        <f t="shared" si="8"/>
        <v>0</v>
      </c>
      <c r="CN617" s="1278"/>
      <c r="CO617" s="1278"/>
      <c r="CP617" s="1278"/>
      <c r="CQ617" s="1279"/>
      <c r="CS617" s="1280">
        <f t="shared" si="11"/>
        <v>0</v>
      </c>
      <c r="CT617" s="1281"/>
      <c r="CU617" s="1281"/>
      <c r="CV617" s="1281"/>
      <c r="CW617" s="1282"/>
      <c r="CX617" s="1280">
        <f t="shared" si="12"/>
        <v>0</v>
      </c>
      <c r="CY617" s="1281"/>
      <c r="CZ617" s="1281"/>
      <c r="DA617" s="1281"/>
      <c r="DB617" s="1282"/>
      <c r="DC617" s="1280">
        <f t="shared" si="13"/>
        <v>0</v>
      </c>
      <c r="DD617" s="1281"/>
      <c r="DE617" s="1281"/>
      <c r="DF617" s="1281"/>
      <c r="DG617" s="1282"/>
      <c r="DH617" s="1280">
        <f t="shared" si="14"/>
        <v>0</v>
      </c>
      <c r="DI617" s="1281"/>
      <c r="DJ617" s="1281"/>
      <c r="DK617" s="1281"/>
      <c r="DL617" s="1282"/>
      <c r="DM617" s="1280">
        <f t="shared" si="15"/>
        <v>0</v>
      </c>
      <c r="DN617" s="1281"/>
      <c r="DO617" s="1281"/>
      <c r="DP617" s="1281"/>
      <c r="DQ617" s="1282"/>
      <c r="DR617" s="1280">
        <f t="shared" si="16"/>
        <v>0</v>
      </c>
      <c r="DS617" s="1281"/>
      <c r="DT617" s="1281"/>
      <c r="DU617" s="1281"/>
      <c r="DV617" s="1282"/>
    </row>
    <row r="618" spans="1:126" ht="12.95" customHeight="1">
      <c r="C618"/>
      <c r="AZ618" s="41"/>
      <c r="BA618" s="41"/>
      <c r="BB618" s="41"/>
      <c r="BC618" s="41"/>
      <c r="BD618" s="41"/>
      <c r="BE618" s="1274">
        <f t="shared" si="9"/>
        <v>0</v>
      </c>
      <c r="BF618" s="1276"/>
      <c r="BG618" s="1265">
        <f t="shared" si="1"/>
        <v>0</v>
      </c>
      <c r="BH618" s="1267"/>
      <c r="BI618" s="1274">
        <f t="shared" si="10"/>
        <v>0</v>
      </c>
      <c r="BJ618" s="1276"/>
      <c r="BK618" s="1265">
        <f t="shared" si="2"/>
        <v>0</v>
      </c>
      <c r="BL618" s="1267"/>
      <c r="BN618" s="1265">
        <f t="shared" si="3"/>
        <v>0</v>
      </c>
      <c r="BO618" s="1266"/>
      <c r="BP618" s="1266"/>
      <c r="BQ618" s="1266"/>
      <c r="BR618" s="1279"/>
      <c r="BS618" s="1265">
        <f t="shared" si="4"/>
        <v>0</v>
      </c>
      <c r="BT618" s="1266"/>
      <c r="BU618" s="1266"/>
      <c r="BV618" s="1266"/>
      <c r="BW618" s="1267"/>
      <c r="BX618" s="1265">
        <f t="shared" si="5"/>
        <v>0</v>
      </c>
      <c r="BY618" s="1266"/>
      <c r="BZ618" s="1266"/>
      <c r="CA618" s="1266"/>
      <c r="CB618" s="1267"/>
      <c r="CC618" s="1265">
        <f t="shared" si="6"/>
        <v>0</v>
      </c>
      <c r="CD618" s="1266"/>
      <c r="CE618" s="1266"/>
      <c r="CF618" s="1266"/>
      <c r="CG618" s="1267"/>
      <c r="CH618" s="1265">
        <f t="shared" si="7"/>
        <v>0</v>
      </c>
      <c r="CI618" s="1266"/>
      <c r="CJ618" s="1266"/>
      <c r="CK618" s="1266"/>
      <c r="CL618" s="1267"/>
      <c r="CM618" s="1277">
        <f t="shared" si="8"/>
        <v>0</v>
      </c>
      <c r="CN618" s="1278"/>
      <c r="CO618" s="1278"/>
      <c r="CP618" s="1278"/>
      <c r="CQ618" s="1279"/>
      <c r="CS618" s="1280">
        <f t="shared" si="11"/>
        <v>0</v>
      </c>
      <c r="CT618" s="1281"/>
      <c r="CU618" s="1281"/>
      <c r="CV618" s="1281"/>
      <c r="CW618" s="1282"/>
      <c r="CX618" s="1280">
        <f t="shared" si="12"/>
        <v>0</v>
      </c>
      <c r="CY618" s="1281"/>
      <c r="CZ618" s="1281"/>
      <c r="DA618" s="1281"/>
      <c r="DB618" s="1282"/>
      <c r="DC618" s="1280">
        <f t="shared" si="13"/>
        <v>0</v>
      </c>
      <c r="DD618" s="1281"/>
      <c r="DE618" s="1281"/>
      <c r="DF618" s="1281"/>
      <c r="DG618" s="1282"/>
      <c r="DH618" s="1280">
        <f t="shared" si="14"/>
        <v>0</v>
      </c>
      <c r="DI618" s="1281"/>
      <c r="DJ618" s="1281"/>
      <c r="DK618" s="1281"/>
      <c r="DL618" s="1282"/>
      <c r="DM618" s="1280">
        <f t="shared" si="15"/>
        <v>0</v>
      </c>
      <c r="DN618" s="1281"/>
      <c r="DO618" s="1281"/>
      <c r="DP618" s="1281"/>
      <c r="DQ618" s="1282"/>
      <c r="DR618" s="1280">
        <f t="shared" si="16"/>
        <v>0</v>
      </c>
      <c r="DS618" s="1281"/>
      <c r="DT618" s="1281"/>
      <c r="DU618" s="1281"/>
      <c r="DV618" s="1282"/>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4">
        <f t="shared" si="9"/>
        <v>0</v>
      </c>
      <c r="BF619" s="1276"/>
      <c r="BG619" s="1265">
        <f t="shared" si="1"/>
        <v>0</v>
      </c>
      <c r="BH619" s="1267"/>
      <c r="BI619" s="1274">
        <f t="shared" si="10"/>
        <v>0</v>
      </c>
      <c r="BJ619" s="1276"/>
      <c r="BK619" s="1265">
        <f t="shared" si="2"/>
        <v>0</v>
      </c>
      <c r="BL619" s="1267"/>
      <c r="BN619" s="1265">
        <f t="shared" si="3"/>
        <v>0</v>
      </c>
      <c r="BO619" s="1266"/>
      <c r="BP619" s="1266"/>
      <c r="BQ619" s="1266"/>
      <c r="BR619" s="1279"/>
      <c r="BS619" s="1265">
        <f t="shared" si="4"/>
        <v>0</v>
      </c>
      <c r="BT619" s="1266"/>
      <c r="BU619" s="1266"/>
      <c r="BV619" s="1266"/>
      <c r="BW619" s="1267"/>
      <c r="BX619" s="1265">
        <f t="shared" si="5"/>
        <v>0</v>
      </c>
      <c r="BY619" s="1266"/>
      <c r="BZ619" s="1266"/>
      <c r="CA619" s="1266"/>
      <c r="CB619" s="1267"/>
      <c r="CC619" s="1265">
        <f t="shared" si="6"/>
        <v>0</v>
      </c>
      <c r="CD619" s="1266"/>
      <c r="CE619" s="1266"/>
      <c r="CF619" s="1266"/>
      <c r="CG619" s="1267"/>
      <c r="CH619" s="1265">
        <f t="shared" si="7"/>
        <v>0</v>
      </c>
      <c r="CI619" s="1266"/>
      <c r="CJ619" s="1266"/>
      <c r="CK619" s="1266"/>
      <c r="CL619" s="1267"/>
      <c r="CM619" s="1277">
        <f t="shared" si="8"/>
        <v>0</v>
      </c>
      <c r="CN619" s="1278"/>
      <c r="CO619" s="1278"/>
      <c r="CP619" s="1278"/>
      <c r="CQ619" s="1279"/>
      <c r="CS619" s="1280">
        <f t="shared" si="11"/>
        <v>0</v>
      </c>
      <c r="CT619" s="1281"/>
      <c r="CU619" s="1281"/>
      <c r="CV619" s="1281"/>
      <c r="CW619" s="1282"/>
      <c r="CX619" s="1280">
        <f t="shared" si="12"/>
        <v>0</v>
      </c>
      <c r="CY619" s="1281"/>
      <c r="CZ619" s="1281"/>
      <c r="DA619" s="1281"/>
      <c r="DB619" s="1282"/>
      <c r="DC619" s="1280">
        <f t="shared" si="13"/>
        <v>0</v>
      </c>
      <c r="DD619" s="1281"/>
      <c r="DE619" s="1281"/>
      <c r="DF619" s="1281"/>
      <c r="DG619" s="1282"/>
      <c r="DH619" s="1280">
        <f t="shared" si="14"/>
        <v>0</v>
      </c>
      <c r="DI619" s="1281"/>
      <c r="DJ619" s="1281"/>
      <c r="DK619" s="1281"/>
      <c r="DL619" s="1282"/>
      <c r="DM619" s="1280">
        <f t="shared" si="15"/>
        <v>0</v>
      </c>
      <c r="DN619" s="1281"/>
      <c r="DO619" s="1281"/>
      <c r="DP619" s="1281"/>
      <c r="DQ619" s="1282"/>
      <c r="DR619" s="1280">
        <f t="shared" si="16"/>
        <v>0</v>
      </c>
      <c r="DS619" s="1281"/>
      <c r="DT619" s="1281"/>
      <c r="DU619" s="1281"/>
      <c r="DV619" s="1282"/>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4">
        <f t="shared" si="9"/>
        <v>0</v>
      </c>
      <c r="BF620" s="1276"/>
      <c r="BG620" s="1265">
        <f t="shared" si="1"/>
        <v>0</v>
      </c>
      <c r="BH620" s="1267"/>
      <c r="BI620" s="1274">
        <f t="shared" si="10"/>
        <v>0</v>
      </c>
      <c r="BJ620" s="1276"/>
      <c r="BK620" s="1265">
        <f t="shared" si="2"/>
        <v>0</v>
      </c>
      <c r="BL620" s="1267"/>
      <c r="BN620" s="1265">
        <f t="shared" si="3"/>
        <v>0</v>
      </c>
      <c r="BO620" s="1266"/>
      <c r="BP620" s="1266"/>
      <c r="BQ620" s="1266"/>
      <c r="BR620" s="1279"/>
      <c r="BS620" s="1265">
        <f t="shared" si="4"/>
        <v>0</v>
      </c>
      <c r="BT620" s="1266"/>
      <c r="BU620" s="1266"/>
      <c r="BV620" s="1266"/>
      <c r="BW620" s="1267"/>
      <c r="BX620" s="1265">
        <f t="shared" si="5"/>
        <v>0</v>
      </c>
      <c r="BY620" s="1266"/>
      <c r="BZ620" s="1266"/>
      <c r="CA620" s="1266"/>
      <c r="CB620" s="1267"/>
      <c r="CC620" s="1265">
        <f t="shared" si="6"/>
        <v>0</v>
      </c>
      <c r="CD620" s="1266"/>
      <c r="CE620" s="1266"/>
      <c r="CF620" s="1266"/>
      <c r="CG620" s="1267"/>
      <c r="CH620" s="1265">
        <f t="shared" si="7"/>
        <v>0</v>
      </c>
      <c r="CI620" s="1266"/>
      <c r="CJ620" s="1266"/>
      <c r="CK620" s="1266"/>
      <c r="CL620" s="1267"/>
      <c r="CM620" s="1277">
        <f t="shared" si="8"/>
        <v>0</v>
      </c>
      <c r="CN620" s="1278"/>
      <c r="CO620" s="1278"/>
      <c r="CP620" s="1278"/>
      <c r="CQ620" s="1279"/>
      <c r="CS620" s="1280">
        <f t="shared" si="11"/>
        <v>0</v>
      </c>
      <c r="CT620" s="1281"/>
      <c r="CU620" s="1281"/>
      <c r="CV620" s="1281"/>
      <c r="CW620" s="1282"/>
      <c r="CX620" s="1280">
        <f t="shared" si="12"/>
        <v>0</v>
      </c>
      <c r="CY620" s="1281"/>
      <c r="CZ620" s="1281"/>
      <c r="DA620" s="1281"/>
      <c r="DB620" s="1282"/>
      <c r="DC620" s="1280">
        <f t="shared" si="13"/>
        <v>0</v>
      </c>
      <c r="DD620" s="1281"/>
      <c r="DE620" s="1281"/>
      <c r="DF620" s="1281"/>
      <c r="DG620" s="1282"/>
      <c r="DH620" s="1280">
        <f t="shared" si="14"/>
        <v>0</v>
      </c>
      <c r="DI620" s="1281"/>
      <c r="DJ620" s="1281"/>
      <c r="DK620" s="1281"/>
      <c r="DL620" s="1282"/>
      <c r="DM620" s="1280">
        <f t="shared" si="15"/>
        <v>0</v>
      </c>
      <c r="DN620" s="1281"/>
      <c r="DO620" s="1281"/>
      <c r="DP620" s="1281"/>
      <c r="DQ620" s="1282"/>
      <c r="DR620" s="1280">
        <f t="shared" si="16"/>
        <v>0</v>
      </c>
      <c r="DS620" s="1281"/>
      <c r="DT620" s="1281"/>
      <c r="DU620" s="1281"/>
      <c r="DV620" s="1282"/>
    </row>
    <row r="621" spans="1:126" ht="12.95" customHeight="1">
      <c r="C621"/>
      <c r="AZ621" s="41"/>
      <c r="BA621" s="41"/>
      <c r="BB621" s="41"/>
      <c r="BC621" s="41"/>
      <c r="BD621" s="41"/>
      <c r="BE621" s="1274">
        <f t="shared" si="9"/>
        <v>0</v>
      </c>
      <c r="BF621" s="1276"/>
      <c r="BG621" s="1265">
        <f t="shared" si="1"/>
        <v>0</v>
      </c>
      <c r="BH621" s="1267"/>
      <c r="BI621" s="1274">
        <f t="shared" si="10"/>
        <v>0</v>
      </c>
      <c r="BJ621" s="1276"/>
      <c r="BK621" s="1265">
        <f t="shared" si="2"/>
        <v>0</v>
      </c>
      <c r="BL621" s="1267"/>
      <c r="BN621" s="1265">
        <f t="shared" si="3"/>
        <v>0</v>
      </c>
      <c r="BO621" s="1266"/>
      <c r="BP621" s="1266"/>
      <c r="BQ621" s="1266"/>
      <c r="BR621" s="1279"/>
      <c r="BS621" s="1265">
        <f t="shared" si="4"/>
        <v>0</v>
      </c>
      <c r="BT621" s="1266"/>
      <c r="BU621" s="1266"/>
      <c r="BV621" s="1266"/>
      <c r="BW621" s="1267"/>
      <c r="BX621" s="1265">
        <f t="shared" si="5"/>
        <v>0</v>
      </c>
      <c r="BY621" s="1266"/>
      <c r="BZ621" s="1266"/>
      <c r="CA621" s="1266"/>
      <c r="CB621" s="1267"/>
      <c r="CC621" s="1265">
        <f t="shared" si="6"/>
        <v>0</v>
      </c>
      <c r="CD621" s="1266"/>
      <c r="CE621" s="1266"/>
      <c r="CF621" s="1266"/>
      <c r="CG621" s="1267"/>
      <c r="CH621" s="1265">
        <f t="shared" si="7"/>
        <v>0</v>
      </c>
      <c r="CI621" s="1266"/>
      <c r="CJ621" s="1266"/>
      <c r="CK621" s="1266"/>
      <c r="CL621" s="1267"/>
      <c r="CM621" s="1277">
        <f t="shared" si="8"/>
        <v>0</v>
      </c>
      <c r="CN621" s="1278"/>
      <c r="CO621" s="1278"/>
      <c r="CP621" s="1278"/>
      <c r="CQ621" s="1279"/>
      <c r="CS621" s="1280">
        <f t="shared" si="11"/>
        <v>0</v>
      </c>
      <c r="CT621" s="1281"/>
      <c r="CU621" s="1281"/>
      <c r="CV621" s="1281"/>
      <c r="CW621" s="1282"/>
      <c r="CX621" s="1280">
        <f t="shared" si="12"/>
        <v>0</v>
      </c>
      <c r="CY621" s="1281"/>
      <c r="CZ621" s="1281"/>
      <c r="DA621" s="1281"/>
      <c r="DB621" s="1282"/>
      <c r="DC621" s="1280">
        <f t="shared" si="13"/>
        <v>0</v>
      </c>
      <c r="DD621" s="1281"/>
      <c r="DE621" s="1281"/>
      <c r="DF621" s="1281"/>
      <c r="DG621" s="1282"/>
      <c r="DH621" s="1280">
        <f t="shared" si="14"/>
        <v>0</v>
      </c>
      <c r="DI621" s="1281"/>
      <c r="DJ621" s="1281"/>
      <c r="DK621" s="1281"/>
      <c r="DL621" s="1282"/>
      <c r="DM621" s="1280">
        <f t="shared" si="15"/>
        <v>0</v>
      </c>
      <c r="DN621" s="1281"/>
      <c r="DO621" s="1281"/>
      <c r="DP621" s="1281"/>
      <c r="DQ621" s="1282"/>
      <c r="DR621" s="1280">
        <f t="shared" si="16"/>
        <v>0</v>
      </c>
      <c r="DS621" s="1281"/>
      <c r="DT621" s="1281"/>
      <c r="DU621" s="1281"/>
      <c r="DV621" s="1282"/>
    </row>
    <row r="622" spans="1:126" ht="12.95" customHeight="1">
      <c r="A622" s="3" t="s">
        <v>653</v>
      </c>
      <c r="B622" s="3"/>
      <c r="C622" s="3" t="s">
        <v>837</v>
      </c>
      <c r="AZ622" s="41"/>
      <c r="BA622" s="41"/>
      <c r="BB622" s="41"/>
      <c r="BC622" s="41"/>
      <c r="BD622" s="41"/>
      <c r="BE622" s="1274">
        <f t="shared" si="9"/>
        <v>0</v>
      </c>
      <c r="BF622" s="1276"/>
      <c r="BG622" s="1265">
        <f t="shared" si="1"/>
        <v>0</v>
      </c>
      <c r="BH622" s="1267"/>
      <c r="BI622" s="1274">
        <f t="shared" si="10"/>
        <v>0</v>
      </c>
      <c r="BJ622" s="1276"/>
      <c r="BK622" s="1265">
        <f t="shared" si="2"/>
        <v>0</v>
      </c>
      <c r="BL622" s="1267"/>
      <c r="BN622" s="1265">
        <f t="shared" si="3"/>
        <v>0</v>
      </c>
      <c r="BO622" s="1266"/>
      <c r="BP622" s="1266"/>
      <c r="BQ622" s="1266"/>
      <c r="BR622" s="1279"/>
      <c r="BS622" s="1265">
        <f t="shared" si="4"/>
        <v>0</v>
      </c>
      <c r="BT622" s="1266"/>
      <c r="BU622" s="1266"/>
      <c r="BV622" s="1266"/>
      <c r="BW622" s="1267"/>
      <c r="BX622" s="1265">
        <f t="shared" si="5"/>
        <v>0</v>
      </c>
      <c r="BY622" s="1266"/>
      <c r="BZ622" s="1266"/>
      <c r="CA622" s="1266"/>
      <c r="CB622" s="1267"/>
      <c r="CC622" s="1265">
        <f t="shared" si="6"/>
        <v>0</v>
      </c>
      <c r="CD622" s="1266"/>
      <c r="CE622" s="1266"/>
      <c r="CF622" s="1266"/>
      <c r="CG622" s="1267"/>
      <c r="CH622" s="1265">
        <f t="shared" si="7"/>
        <v>0</v>
      </c>
      <c r="CI622" s="1266"/>
      <c r="CJ622" s="1266"/>
      <c r="CK622" s="1266"/>
      <c r="CL622" s="1267"/>
      <c r="CM622" s="1277">
        <f t="shared" si="8"/>
        <v>0</v>
      </c>
      <c r="CN622" s="1278"/>
      <c r="CO622" s="1278"/>
      <c r="CP622" s="1278"/>
      <c r="CQ622" s="1279"/>
      <c r="CS622" s="1280">
        <f t="shared" si="11"/>
        <v>0</v>
      </c>
      <c r="CT622" s="1281"/>
      <c r="CU622" s="1281"/>
      <c r="CV622" s="1281"/>
      <c r="CW622" s="1282"/>
      <c r="CX622" s="1280">
        <f t="shared" si="12"/>
        <v>0</v>
      </c>
      <c r="CY622" s="1281"/>
      <c r="CZ622" s="1281"/>
      <c r="DA622" s="1281"/>
      <c r="DB622" s="1282"/>
      <c r="DC622" s="1280">
        <f t="shared" si="13"/>
        <v>0</v>
      </c>
      <c r="DD622" s="1281"/>
      <c r="DE622" s="1281"/>
      <c r="DF622" s="1281"/>
      <c r="DG622" s="1282"/>
      <c r="DH622" s="1280">
        <f t="shared" si="14"/>
        <v>0</v>
      </c>
      <c r="DI622" s="1281"/>
      <c r="DJ622" s="1281"/>
      <c r="DK622" s="1281"/>
      <c r="DL622" s="1282"/>
      <c r="DM622" s="1280">
        <f t="shared" si="15"/>
        <v>0</v>
      </c>
      <c r="DN622" s="1281"/>
      <c r="DO622" s="1281"/>
      <c r="DP622" s="1281"/>
      <c r="DQ622" s="1282"/>
      <c r="DR622" s="1280">
        <f t="shared" si="16"/>
        <v>0</v>
      </c>
      <c r="DS622" s="1281"/>
      <c r="DT622" s="1281"/>
      <c r="DU622" s="1281"/>
      <c r="DV622" s="1282"/>
    </row>
    <row r="623" spans="1:126" ht="12.95" customHeight="1">
      <c r="A623" s="3"/>
      <c r="B623" s="3"/>
      <c r="C623" s="3"/>
      <c r="AZ623" s="41"/>
      <c r="BA623" s="41"/>
      <c r="BB623" s="41"/>
      <c r="BC623" s="41"/>
      <c r="BD623" s="41"/>
      <c r="BE623" s="1274">
        <f t="shared" si="9"/>
        <v>0</v>
      </c>
      <c r="BF623" s="1276"/>
      <c r="BG623" s="1265">
        <f t="shared" si="1"/>
        <v>0</v>
      </c>
      <c r="BH623" s="1267"/>
      <c r="BI623" s="1274">
        <f t="shared" si="10"/>
        <v>0</v>
      </c>
      <c r="BJ623" s="1276"/>
      <c r="BK623" s="1265">
        <f t="shared" si="2"/>
        <v>0</v>
      </c>
      <c r="BL623" s="1267"/>
      <c r="BN623" s="1265">
        <f t="shared" si="3"/>
        <v>0</v>
      </c>
      <c r="BO623" s="1266"/>
      <c r="BP623" s="1266"/>
      <c r="BQ623" s="1266"/>
      <c r="BR623" s="1279"/>
      <c r="BS623" s="1265">
        <f t="shared" si="4"/>
        <v>0</v>
      </c>
      <c r="BT623" s="1266"/>
      <c r="BU623" s="1266"/>
      <c r="BV623" s="1266"/>
      <c r="BW623" s="1267"/>
      <c r="BX623" s="1265">
        <f t="shared" si="5"/>
        <v>0</v>
      </c>
      <c r="BY623" s="1266"/>
      <c r="BZ623" s="1266"/>
      <c r="CA623" s="1266"/>
      <c r="CB623" s="1267"/>
      <c r="CC623" s="1265">
        <f t="shared" si="6"/>
        <v>0</v>
      </c>
      <c r="CD623" s="1266"/>
      <c r="CE623" s="1266"/>
      <c r="CF623" s="1266"/>
      <c r="CG623" s="1267"/>
      <c r="CH623" s="1265">
        <f t="shared" si="7"/>
        <v>0</v>
      </c>
      <c r="CI623" s="1266"/>
      <c r="CJ623" s="1266"/>
      <c r="CK623" s="1266"/>
      <c r="CL623" s="1267"/>
      <c r="CM623" s="1277">
        <f t="shared" si="8"/>
        <v>0</v>
      </c>
      <c r="CN623" s="1278"/>
      <c r="CO623" s="1278"/>
      <c r="CP623" s="1278"/>
      <c r="CQ623" s="1279"/>
      <c r="CS623" s="1280">
        <f t="shared" si="11"/>
        <v>0</v>
      </c>
      <c r="CT623" s="1281"/>
      <c r="CU623" s="1281"/>
      <c r="CV623" s="1281"/>
      <c r="CW623" s="1282"/>
      <c r="CX623" s="1280">
        <f t="shared" si="12"/>
        <v>0</v>
      </c>
      <c r="CY623" s="1281"/>
      <c r="CZ623" s="1281"/>
      <c r="DA623" s="1281"/>
      <c r="DB623" s="1282"/>
      <c r="DC623" s="1280">
        <f t="shared" si="13"/>
        <v>0</v>
      </c>
      <c r="DD623" s="1281"/>
      <c r="DE623" s="1281"/>
      <c r="DF623" s="1281"/>
      <c r="DG623" s="1282"/>
      <c r="DH623" s="1280">
        <f t="shared" si="14"/>
        <v>0</v>
      </c>
      <c r="DI623" s="1281"/>
      <c r="DJ623" s="1281"/>
      <c r="DK623" s="1281"/>
      <c r="DL623" s="1282"/>
      <c r="DM623" s="1280">
        <f t="shared" si="15"/>
        <v>0</v>
      </c>
      <c r="DN623" s="1281"/>
      <c r="DO623" s="1281"/>
      <c r="DP623" s="1281"/>
      <c r="DQ623" s="1282"/>
      <c r="DR623" s="1280">
        <f t="shared" si="16"/>
        <v>0</v>
      </c>
      <c r="DS623" s="1281"/>
      <c r="DT623" s="1281"/>
      <c r="DU623" s="1281"/>
      <c r="DV623" s="1282"/>
    </row>
    <row r="624" spans="1:126" ht="12.95" customHeight="1">
      <c r="C624" s="3" t="s">
        <v>2111</v>
      </c>
      <c r="AZ624" s="41"/>
      <c r="BA624" s="41"/>
      <c r="BB624" s="41"/>
      <c r="BC624" s="41"/>
      <c r="BD624" s="41"/>
      <c r="BE624" s="1274">
        <f t="shared" ref="BE624:BE633" si="17">IF(AND(AH727&lt;=0.5,AH727&gt;=0.36),1,0)</f>
        <v>0</v>
      </c>
      <c r="BF624" s="1276"/>
      <c r="BG624" s="1265">
        <f t="shared" ref="BG624:BG633" si="18">IF(BE624=1,G727,0)</f>
        <v>0</v>
      </c>
      <c r="BH624" s="1267"/>
      <c r="BI624" s="1274">
        <f t="shared" ref="BI624:BI633" si="19">IF(AND(AH727&lt;=0.35,AH727&gt;0),1,0)</f>
        <v>0</v>
      </c>
      <c r="BJ624" s="1276"/>
      <c r="BK624" s="1265">
        <f t="shared" ref="BK624:BK633" si="20">IF(BI624=1,G727,0)</f>
        <v>0</v>
      </c>
      <c r="BL624" s="1267"/>
      <c r="BN624" s="1265">
        <f t="shared" si="3"/>
        <v>0</v>
      </c>
      <c r="BO624" s="1266"/>
      <c r="BP624" s="1266"/>
      <c r="BQ624" s="1266"/>
      <c r="BR624" s="1279"/>
      <c r="BS624" s="1265">
        <f t="shared" si="4"/>
        <v>0</v>
      </c>
      <c r="BT624" s="1266"/>
      <c r="BU624" s="1266"/>
      <c r="BV624" s="1266"/>
      <c r="BW624" s="1267"/>
      <c r="BX624" s="1265">
        <f t="shared" si="5"/>
        <v>0</v>
      </c>
      <c r="BY624" s="1266"/>
      <c r="BZ624" s="1266"/>
      <c r="CA624" s="1266"/>
      <c r="CB624" s="1267"/>
      <c r="CC624" s="1265">
        <f t="shared" si="6"/>
        <v>0</v>
      </c>
      <c r="CD624" s="1266"/>
      <c r="CE624" s="1266"/>
      <c r="CF624" s="1266"/>
      <c r="CG624" s="1267"/>
      <c r="CH624" s="1265">
        <f t="shared" si="7"/>
        <v>0</v>
      </c>
      <c r="CI624" s="1266"/>
      <c r="CJ624" s="1266"/>
      <c r="CK624" s="1266"/>
      <c r="CL624" s="1267"/>
      <c r="CM624" s="1277">
        <f t="shared" si="8"/>
        <v>0</v>
      </c>
      <c r="CN624" s="1278"/>
      <c r="CO624" s="1278"/>
      <c r="CP624" s="1278"/>
      <c r="CQ624" s="1279"/>
      <c r="CS624" s="1280">
        <f t="shared" ref="CS624:CS633" si="21">IF(AND(B727="SRO/Studio",AH727&lt;=0.3),G727,0)</f>
        <v>0</v>
      </c>
      <c r="CT624" s="1281"/>
      <c r="CU624" s="1281"/>
      <c r="CV624" s="1281"/>
      <c r="CW624" s="1282"/>
      <c r="CX624" s="1280">
        <f t="shared" ref="CX624:CX633" si="22">IF(AND(B727="1 Bedroom",AH727&lt;=0.3),G727,0)</f>
        <v>0</v>
      </c>
      <c r="CY624" s="1281"/>
      <c r="CZ624" s="1281"/>
      <c r="DA624" s="1281"/>
      <c r="DB624" s="1282"/>
      <c r="DC624" s="1280">
        <f t="shared" ref="DC624:DC633" si="23">IF(AND(B727="2 Bedrooms",AH727&lt;=0.3),G727,0)</f>
        <v>0</v>
      </c>
      <c r="DD624" s="1281"/>
      <c r="DE624" s="1281"/>
      <c r="DF624" s="1281"/>
      <c r="DG624" s="1282"/>
      <c r="DH624" s="1280">
        <f t="shared" ref="DH624:DH633" si="24">IF(AND(B727="3 Bedrooms",AH727&lt;=0.3),G727,0)</f>
        <v>0</v>
      </c>
      <c r="DI624" s="1281"/>
      <c r="DJ624" s="1281"/>
      <c r="DK624" s="1281"/>
      <c r="DL624" s="1282"/>
      <c r="DM624" s="1280">
        <f t="shared" ref="DM624:DM633" si="25">IF(AND(B727="4 Bedrooms",AH727&lt;=0.3),G727,0)</f>
        <v>0</v>
      </c>
      <c r="DN624" s="1281"/>
      <c r="DO624" s="1281"/>
      <c r="DP624" s="1281"/>
      <c r="DQ624" s="1282"/>
      <c r="DR624" s="1280">
        <f t="shared" ref="DR624:DR633" si="26">IF(AND(B727="5 Bedrooms",AH727&lt;=0.3),G727,0)</f>
        <v>0</v>
      </c>
      <c r="DS624" s="1281"/>
      <c r="DT624" s="1281"/>
      <c r="DU624" s="1281"/>
      <c r="DV624" s="1282"/>
    </row>
    <row r="625" spans="2:126" ht="12.95" customHeight="1">
      <c r="B625" s="836"/>
      <c r="C625" s="3"/>
      <c r="AZ625" s="41"/>
      <c r="BA625" s="41"/>
      <c r="BB625" s="41"/>
      <c r="BC625" s="41"/>
      <c r="BD625" s="41"/>
      <c r="BE625" s="1274">
        <f t="shared" si="17"/>
        <v>0</v>
      </c>
      <c r="BF625" s="1276"/>
      <c r="BG625" s="1265">
        <f t="shared" si="18"/>
        <v>0</v>
      </c>
      <c r="BH625" s="1267"/>
      <c r="BI625" s="1274">
        <f t="shared" si="19"/>
        <v>0</v>
      </c>
      <c r="BJ625" s="1276"/>
      <c r="BK625" s="1265">
        <f t="shared" si="20"/>
        <v>0</v>
      </c>
      <c r="BL625" s="1267"/>
      <c r="BN625" s="1265">
        <f t="shared" si="3"/>
        <v>0</v>
      </c>
      <c r="BO625" s="1266"/>
      <c r="BP625" s="1266"/>
      <c r="BQ625" s="1266"/>
      <c r="BR625" s="1279"/>
      <c r="BS625" s="1265">
        <f t="shared" si="4"/>
        <v>0</v>
      </c>
      <c r="BT625" s="1266"/>
      <c r="BU625" s="1266"/>
      <c r="BV625" s="1266"/>
      <c r="BW625" s="1267"/>
      <c r="BX625" s="1265">
        <f t="shared" si="5"/>
        <v>0</v>
      </c>
      <c r="BY625" s="1266"/>
      <c r="BZ625" s="1266"/>
      <c r="CA625" s="1266"/>
      <c r="CB625" s="1267"/>
      <c r="CC625" s="1265">
        <f t="shared" si="6"/>
        <v>0</v>
      </c>
      <c r="CD625" s="1266"/>
      <c r="CE625" s="1266"/>
      <c r="CF625" s="1266"/>
      <c r="CG625" s="1267"/>
      <c r="CH625" s="1265">
        <f t="shared" si="7"/>
        <v>0</v>
      </c>
      <c r="CI625" s="1266"/>
      <c r="CJ625" s="1266"/>
      <c r="CK625" s="1266"/>
      <c r="CL625" s="1267"/>
      <c r="CM625" s="1277">
        <f t="shared" si="8"/>
        <v>0</v>
      </c>
      <c r="CN625" s="1278"/>
      <c r="CO625" s="1278"/>
      <c r="CP625" s="1278"/>
      <c r="CQ625" s="1279"/>
      <c r="CS625" s="1280">
        <f t="shared" si="21"/>
        <v>0</v>
      </c>
      <c r="CT625" s="1281"/>
      <c r="CU625" s="1281"/>
      <c r="CV625" s="1281"/>
      <c r="CW625" s="1282"/>
      <c r="CX625" s="1280">
        <f t="shared" si="22"/>
        <v>0</v>
      </c>
      <c r="CY625" s="1281"/>
      <c r="CZ625" s="1281"/>
      <c r="DA625" s="1281"/>
      <c r="DB625" s="1282"/>
      <c r="DC625" s="1280">
        <f t="shared" si="23"/>
        <v>0</v>
      </c>
      <c r="DD625" s="1281"/>
      <c r="DE625" s="1281"/>
      <c r="DF625" s="1281"/>
      <c r="DG625" s="1282"/>
      <c r="DH625" s="1280">
        <f t="shared" si="24"/>
        <v>0</v>
      </c>
      <c r="DI625" s="1281"/>
      <c r="DJ625" s="1281"/>
      <c r="DK625" s="1281"/>
      <c r="DL625" s="1282"/>
      <c r="DM625" s="1280">
        <f t="shared" si="25"/>
        <v>0</v>
      </c>
      <c r="DN625" s="1281"/>
      <c r="DO625" s="1281"/>
      <c r="DP625" s="1281"/>
      <c r="DQ625" s="1282"/>
      <c r="DR625" s="1280">
        <f t="shared" si="26"/>
        <v>0</v>
      </c>
      <c r="DS625" s="1281"/>
      <c r="DT625" s="1281"/>
      <c r="DU625" s="1281"/>
      <c r="DV625" s="1282"/>
    </row>
    <row r="626" spans="2:126" ht="12.95" customHeight="1">
      <c r="B626" s="1581" t="s">
        <v>2179</v>
      </c>
      <c r="C626" s="1582"/>
      <c r="D626" s="1582"/>
      <c r="E626" s="1582"/>
      <c r="F626" s="1582"/>
      <c r="G626" s="1582"/>
      <c r="H626" s="1582"/>
      <c r="I626" s="1582"/>
      <c r="J626" s="1582"/>
      <c r="K626" s="1582"/>
      <c r="L626" s="1582"/>
      <c r="M626" s="1362" t="s">
        <v>2153</v>
      </c>
      <c r="N626" s="1362"/>
      <c r="O626" s="1362"/>
      <c r="P626" s="1362"/>
      <c r="Q626" s="1336" t="s">
        <v>2183</v>
      </c>
      <c r="R626" s="1337"/>
      <c r="S626" s="1338"/>
      <c r="T626" s="1336" t="s">
        <v>2182</v>
      </c>
      <c r="U626" s="1337"/>
      <c r="V626" s="1338"/>
      <c r="W626" s="1426" t="s">
        <v>740</v>
      </c>
      <c r="X626" s="1426"/>
      <c r="Y626" s="1427"/>
      <c r="Z626" s="1362" t="s">
        <v>2180</v>
      </c>
      <c r="AA626" s="1362"/>
      <c r="AB626" s="1362"/>
      <c r="AC626" s="1414" t="s">
        <v>1978</v>
      </c>
      <c r="AD626" s="1415"/>
      <c r="AE626" s="1416"/>
      <c r="AF626" s="1336" t="s">
        <v>2112</v>
      </c>
      <c r="AG626" s="1337"/>
      <c r="AH626" s="1337"/>
      <c r="AI626" s="1337"/>
      <c r="AJ626" s="1338"/>
      <c r="AK626" s="1493" t="s">
        <v>2113</v>
      </c>
      <c r="AL626" s="1494"/>
      <c r="AM626" s="1494"/>
      <c r="AN626" s="1495"/>
      <c r="AO626" s="1362" t="s">
        <v>741</v>
      </c>
      <c r="AP626" s="1362"/>
      <c r="AQ626" s="1362"/>
      <c r="AR626" s="1362"/>
      <c r="AS626" s="1362"/>
      <c r="AT626" s="41"/>
      <c r="AU626" s="41"/>
      <c r="AV626" s="41"/>
      <c r="AW626" s="41"/>
      <c r="AX626" s="41"/>
      <c r="AY626" s="41"/>
      <c r="AZ626" s="41"/>
      <c r="BE626" s="1274">
        <f t="shared" si="17"/>
        <v>0</v>
      </c>
      <c r="BF626" s="1276"/>
      <c r="BG626" s="1265">
        <f t="shared" si="18"/>
        <v>0</v>
      </c>
      <c r="BH626" s="1267"/>
      <c r="BI626" s="1274">
        <f t="shared" si="19"/>
        <v>0</v>
      </c>
      <c r="BJ626" s="1276"/>
      <c r="BK626" s="1265">
        <f t="shared" si="20"/>
        <v>0</v>
      </c>
      <c r="BL626" s="1267"/>
      <c r="BN626" s="1265">
        <f t="shared" si="3"/>
        <v>0</v>
      </c>
      <c r="BO626" s="1266"/>
      <c r="BP626" s="1266"/>
      <c r="BQ626" s="1266"/>
      <c r="BR626" s="1279"/>
      <c r="BS626" s="1265">
        <f t="shared" si="4"/>
        <v>0</v>
      </c>
      <c r="BT626" s="1266"/>
      <c r="BU626" s="1266"/>
      <c r="BV626" s="1266"/>
      <c r="BW626" s="1267"/>
      <c r="BX626" s="1265">
        <f t="shared" si="5"/>
        <v>0</v>
      </c>
      <c r="BY626" s="1266"/>
      <c r="BZ626" s="1266"/>
      <c r="CA626" s="1266"/>
      <c r="CB626" s="1267"/>
      <c r="CC626" s="1265">
        <f t="shared" si="6"/>
        <v>0</v>
      </c>
      <c r="CD626" s="1266"/>
      <c r="CE626" s="1266"/>
      <c r="CF626" s="1266"/>
      <c r="CG626" s="1267"/>
      <c r="CH626" s="1265">
        <f t="shared" si="7"/>
        <v>0</v>
      </c>
      <c r="CI626" s="1266"/>
      <c r="CJ626" s="1266"/>
      <c r="CK626" s="1266"/>
      <c r="CL626" s="1267"/>
      <c r="CM626" s="1277">
        <f t="shared" si="8"/>
        <v>0</v>
      </c>
      <c r="CN626" s="1278"/>
      <c r="CO626" s="1278"/>
      <c r="CP626" s="1278"/>
      <c r="CQ626" s="1279"/>
      <c r="CS626" s="1280">
        <f t="shared" si="21"/>
        <v>0</v>
      </c>
      <c r="CT626" s="1281"/>
      <c r="CU626" s="1281"/>
      <c r="CV626" s="1281"/>
      <c r="CW626" s="1282"/>
      <c r="CX626" s="1280">
        <f t="shared" si="22"/>
        <v>0</v>
      </c>
      <c r="CY626" s="1281"/>
      <c r="CZ626" s="1281"/>
      <c r="DA626" s="1281"/>
      <c r="DB626" s="1282"/>
      <c r="DC626" s="1280">
        <f t="shared" si="23"/>
        <v>0</v>
      </c>
      <c r="DD626" s="1281"/>
      <c r="DE626" s="1281"/>
      <c r="DF626" s="1281"/>
      <c r="DG626" s="1282"/>
      <c r="DH626" s="1280">
        <f t="shared" si="24"/>
        <v>0</v>
      </c>
      <c r="DI626" s="1281"/>
      <c r="DJ626" s="1281"/>
      <c r="DK626" s="1281"/>
      <c r="DL626" s="1282"/>
      <c r="DM626" s="1280">
        <f t="shared" si="25"/>
        <v>0</v>
      </c>
      <c r="DN626" s="1281"/>
      <c r="DO626" s="1281"/>
      <c r="DP626" s="1281"/>
      <c r="DQ626" s="1282"/>
      <c r="DR626" s="1280">
        <f t="shared" si="26"/>
        <v>0</v>
      </c>
      <c r="DS626" s="1281"/>
      <c r="DT626" s="1281"/>
      <c r="DU626" s="1281"/>
      <c r="DV626" s="1282"/>
    </row>
    <row r="627" spans="2:126" ht="12.95" customHeight="1">
      <c r="B627" s="1583"/>
      <c r="C627" s="1504"/>
      <c r="D627" s="1504"/>
      <c r="E627" s="1504"/>
      <c r="F627" s="1504"/>
      <c r="G627" s="1504"/>
      <c r="H627" s="1504"/>
      <c r="I627" s="1504"/>
      <c r="J627" s="1504"/>
      <c r="K627" s="1504"/>
      <c r="L627" s="1504"/>
      <c r="M627" s="1362"/>
      <c r="N627" s="1362"/>
      <c r="O627" s="1362"/>
      <c r="P627" s="1362"/>
      <c r="Q627" s="1339"/>
      <c r="R627" s="1340"/>
      <c r="S627" s="1341"/>
      <c r="T627" s="1339"/>
      <c r="U627" s="1340"/>
      <c r="V627" s="1341"/>
      <c r="W627" s="1428"/>
      <c r="X627" s="1428"/>
      <c r="Y627" s="1429"/>
      <c r="Z627" s="1362"/>
      <c r="AA627" s="1362"/>
      <c r="AB627" s="1362"/>
      <c r="AC627" s="1417"/>
      <c r="AD627" s="1418"/>
      <c r="AE627" s="1419"/>
      <c r="AF627" s="1339"/>
      <c r="AG627" s="1340"/>
      <c r="AH627" s="1340"/>
      <c r="AI627" s="1340"/>
      <c r="AJ627" s="1341"/>
      <c r="AK627" s="1496"/>
      <c r="AL627" s="1497"/>
      <c r="AM627" s="1497"/>
      <c r="AN627" s="1498"/>
      <c r="AO627" s="1362"/>
      <c r="AP627" s="1362"/>
      <c r="AQ627" s="1362"/>
      <c r="AR627" s="1362"/>
      <c r="AS627" s="1362"/>
      <c r="AT627" s="41"/>
      <c r="AU627" s="41"/>
      <c r="AV627" s="41"/>
      <c r="AW627" s="41"/>
      <c r="AX627" s="41"/>
      <c r="AY627" s="41"/>
      <c r="AZ627" s="41"/>
      <c r="BE627" s="1274">
        <f t="shared" si="17"/>
        <v>0</v>
      </c>
      <c r="BF627" s="1276"/>
      <c r="BG627" s="1265">
        <f t="shared" si="18"/>
        <v>0</v>
      </c>
      <c r="BH627" s="1267"/>
      <c r="BI627" s="1274">
        <f t="shared" si="19"/>
        <v>0</v>
      </c>
      <c r="BJ627" s="1276"/>
      <c r="BK627" s="1265">
        <f t="shared" si="20"/>
        <v>0</v>
      </c>
      <c r="BL627" s="1267"/>
      <c r="BN627" s="1265">
        <f t="shared" si="3"/>
        <v>0</v>
      </c>
      <c r="BO627" s="1266"/>
      <c r="BP627" s="1266"/>
      <c r="BQ627" s="1266"/>
      <c r="BR627" s="1279"/>
      <c r="BS627" s="1265">
        <f t="shared" si="4"/>
        <v>0</v>
      </c>
      <c r="BT627" s="1266"/>
      <c r="BU627" s="1266"/>
      <c r="BV627" s="1266"/>
      <c r="BW627" s="1267"/>
      <c r="BX627" s="1265">
        <f t="shared" si="5"/>
        <v>0</v>
      </c>
      <c r="BY627" s="1266"/>
      <c r="BZ627" s="1266"/>
      <c r="CA627" s="1266"/>
      <c r="CB627" s="1267"/>
      <c r="CC627" s="1265">
        <f t="shared" si="6"/>
        <v>0</v>
      </c>
      <c r="CD627" s="1266"/>
      <c r="CE627" s="1266"/>
      <c r="CF627" s="1266"/>
      <c r="CG627" s="1267"/>
      <c r="CH627" s="1265">
        <f t="shared" si="7"/>
        <v>0</v>
      </c>
      <c r="CI627" s="1266"/>
      <c r="CJ627" s="1266"/>
      <c r="CK627" s="1266"/>
      <c r="CL627" s="1267"/>
      <c r="CM627" s="1277">
        <f t="shared" si="8"/>
        <v>0</v>
      </c>
      <c r="CN627" s="1278"/>
      <c r="CO627" s="1278"/>
      <c r="CP627" s="1278"/>
      <c r="CQ627" s="1279"/>
      <c r="CS627" s="1280">
        <f t="shared" si="21"/>
        <v>0</v>
      </c>
      <c r="CT627" s="1281"/>
      <c r="CU627" s="1281"/>
      <c r="CV627" s="1281"/>
      <c r="CW627" s="1282"/>
      <c r="CX627" s="1280">
        <f t="shared" si="22"/>
        <v>0</v>
      </c>
      <c r="CY627" s="1281"/>
      <c r="CZ627" s="1281"/>
      <c r="DA627" s="1281"/>
      <c r="DB627" s="1282"/>
      <c r="DC627" s="1280">
        <f t="shared" si="23"/>
        <v>0</v>
      </c>
      <c r="DD627" s="1281"/>
      <c r="DE627" s="1281"/>
      <c r="DF627" s="1281"/>
      <c r="DG627" s="1282"/>
      <c r="DH627" s="1280">
        <f t="shared" si="24"/>
        <v>0</v>
      </c>
      <c r="DI627" s="1281"/>
      <c r="DJ627" s="1281"/>
      <c r="DK627" s="1281"/>
      <c r="DL627" s="1282"/>
      <c r="DM627" s="1280">
        <f t="shared" si="25"/>
        <v>0</v>
      </c>
      <c r="DN627" s="1281"/>
      <c r="DO627" s="1281"/>
      <c r="DP627" s="1281"/>
      <c r="DQ627" s="1282"/>
      <c r="DR627" s="1280">
        <f t="shared" si="26"/>
        <v>0</v>
      </c>
      <c r="DS627" s="1281"/>
      <c r="DT627" s="1281"/>
      <c r="DU627" s="1281"/>
      <c r="DV627" s="1282"/>
    </row>
    <row r="628" spans="2:126" ht="12.95" customHeight="1">
      <c r="B628" s="1584"/>
      <c r="C628" s="1585"/>
      <c r="D628" s="1585"/>
      <c r="E628" s="1585"/>
      <c r="F628" s="1585"/>
      <c r="G628" s="1585"/>
      <c r="H628" s="1585"/>
      <c r="I628" s="1585"/>
      <c r="J628" s="1585"/>
      <c r="K628" s="1585"/>
      <c r="L628" s="1585"/>
      <c r="M628" s="1362"/>
      <c r="N628" s="1362"/>
      <c r="O628" s="1362"/>
      <c r="P628" s="1362"/>
      <c r="Q628" s="1342"/>
      <c r="R628" s="1343"/>
      <c r="S628" s="1344"/>
      <c r="T628" s="1342"/>
      <c r="U628" s="1343"/>
      <c r="V628" s="1344"/>
      <c r="W628" s="1430"/>
      <c r="X628" s="1430"/>
      <c r="Y628" s="1431"/>
      <c r="Z628" s="1362"/>
      <c r="AA628" s="1362"/>
      <c r="AB628" s="1362"/>
      <c r="AC628" s="1420"/>
      <c r="AD628" s="1421"/>
      <c r="AE628" s="1422"/>
      <c r="AF628" s="1342"/>
      <c r="AG628" s="1343"/>
      <c r="AH628" s="1343"/>
      <c r="AI628" s="1343"/>
      <c r="AJ628" s="1344"/>
      <c r="AK628" s="1499"/>
      <c r="AL628" s="1500"/>
      <c r="AM628" s="1500"/>
      <c r="AN628" s="1501"/>
      <c r="AO628" s="1362"/>
      <c r="AP628" s="1362"/>
      <c r="AQ628" s="1362"/>
      <c r="AR628" s="1362"/>
      <c r="AS628" s="1362"/>
      <c r="AT628" s="43"/>
      <c r="AU628" s="43"/>
      <c r="AV628" s="43"/>
      <c r="AW628" s="43"/>
      <c r="AX628" s="43"/>
      <c r="AY628" s="43"/>
      <c r="AZ628" s="43"/>
      <c r="BE628" s="1274">
        <f t="shared" si="17"/>
        <v>0</v>
      </c>
      <c r="BF628" s="1276"/>
      <c r="BG628" s="1265">
        <f t="shared" si="18"/>
        <v>0</v>
      </c>
      <c r="BH628" s="1267"/>
      <c r="BI628" s="1274">
        <f t="shared" si="19"/>
        <v>0</v>
      </c>
      <c r="BJ628" s="1276"/>
      <c r="BK628" s="1265">
        <f t="shared" si="20"/>
        <v>0</v>
      </c>
      <c r="BL628" s="1267"/>
      <c r="BN628" s="1265">
        <f t="shared" si="3"/>
        <v>0</v>
      </c>
      <c r="BO628" s="1266"/>
      <c r="BP628" s="1266"/>
      <c r="BQ628" s="1266"/>
      <c r="BR628" s="1279"/>
      <c r="BS628" s="1265">
        <f t="shared" si="4"/>
        <v>0</v>
      </c>
      <c r="BT628" s="1266"/>
      <c r="BU628" s="1266"/>
      <c r="BV628" s="1266"/>
      <c r="BW628" s="1267"/>
      <c r="BX628" s="1265">
        <f t="shared" si="5"/>
        <v>0</v>
      </c>
      <c r="BY628" s="1266"/>
      <c r="BZ628" s="1266"/>
      <c r="CA628" s="1266"/>
      <c r="CB628" s="1267"/>
      <c r="CC628" s="1265">
        <f t="shared" si="6"/>
        <v>0</v>
      </c>
      <c r="CD628" s="1266"/>
      <c r="CE628" s="1266"/>
      <c r="CF628" s="1266"/>
      <c r="CG628" s="1267"/>
      <c r="CH628" s="1265">
        <f t="shared" si="7"/>
        <v>0</v>
      </c>
      <c r="CI628" s="1266"/>
      <c r="CJ628" s="1266"/>
      <c r="CK628" s="1266"/>
      <c r="CL628" s="1267"/>
      <c r="CM628" s="1277">
        <f t="shared" si="8"/>
        <v>0</v>
      </c>
      <c r="CN628" s="1278"/>
      <c r="CO628" s="1278"/>
      <c r="CP628" s="1278"/>
      <c r="CQ628" s="1279"/>
      <c r="CS628" s="1280">
        <f t="shared" si="21"/>
        <v>0</v>
      </c>
      <c r="CT628" s="1281"/>
      <c r="CU628" s="1281"/>
      <c r="CV628" s="1281"/>
      <c r="CW628" s="1282"/>
      <c r="CX628" s="1280">
        <f t="shared" si="22"/>
        <v>0</v>
      </c>
      <c r="CY628" s="1281"/>
      <c r="CZ628" s="1281"/>
      <c r="DA628" s="1281"/>
      <c r="DB628" s="1282"/>
      <c r="DC628" s="1280">
        <f t="shared" si="23"/>
        <v>0</v>
      </c>
      <c r="DD628" s="1281"/>
      <c r="DE628" s="1281"/>
      <c r="DF628" s="1281"/>
      <c r="DG628" s="1282"/>
      <c r="DH628" s="1280">
        <f t="shared" si="24"/>
        <v>0</v>
      </c>
      <c r="DI628" s="1281"/>
      <c r="DJ628" s="1281"/>
      <c r="DK628" s="1281"/>
      <c r="DL628" s="1282"/>
      <c r="DM628" s="1280">
        <f t="shared" si="25"/>
        <v>0</v>
      </c>
      <c r="DN628" s="1281"/>
      <c r="DO628" s="1281"/>
      <c r="DP628" s="1281"/>
      <c r="DQ628" s="1282"/>
      <c r="DR628" s="1280">
        <f t="shared" si="26"/>
        <v>0</v>
      </c>
      <c r="DS628" s="1281"/>
      <c r="DT628" s="1281"/>
      <c r="DU628" s="1281"/>
      <c r="DV628" s="1282"/>
    </row>
    <row r="629" spans="2:126" ht="12.95" customHeight="1">
      <c r="B629" s="57" t="s">
        <v>900</v>
      </c>
      <c r="C629" s="1300" t="s">
        <v>2453</v>
      </c>
      <c r="D629" s="1300"/>
      <c r="E629" s="1300"/>
      <c r="F629" s="1300"/>
      <c r="G629" s="1300"/>
      <c r="H629" s="1300"/>
      <c r="I629" s="1300"/>
      <c r="J629" s="1300"/>
      <c r="K629" s="1300"/>
      <c r="L629" s="1300"/>
      <c r="M629" s="1384" t="s">
        <v>2163</v>
      </c>
      <c r="N629" s="1384"/>
      <c r="O629" s="1384"/>
      <c r="P629" s="1384"/>
      <c r="Q629" s="1432">
        <v>180</v>
      </c>
      <c r="R629" s="1433"/>
      <c r="S629" s="1434"/>
      <c r="T629" s="1385">
        <v>180</v>
      </c>
      <c r="U629" s="1386"/>
      <c r="V629" s="1387"/>
      <c r="W629" s="1381">
        <v>7.0000000000000007E-2</v>
      </c>
      <c r="X629" s="1382"/>
      <c r="Y629" s="1383"/>
      <c r="Z629" s="1423" t="s">
        <v>2181</v>
      </c>
      <c r="AA629" s="1424"/>
      <c r="AB629" s="1425"/>
      <c r="AC629" s="1345">
        <v>1</v>
      </c>
      <c r="AD629" s="1346"/>
      <c r="AE629" s="1347"/>
      <c r="AF629" s="1108">
        <f>[2]budgets!$AD$47</f>
        <v>159013.41097307211</v>
      </c>
      <c r="AG629" s="1109"/>
      <c r="AH629" s="1109"/>
      <c r="AI629" s="1109"/>
      <c r="AJ629" s="1110"/>
      <c r="AK629" s="1375"/>
      <c r="AL629" s="1376"/>
      <c r="AM629" s="1376"/>
      <c r="AN629" s="1377"/>
      <c r="AO629" s="1073">
        <f>[2]budgets!$AB$53</f>
        <v>1451600</v>
      </c>
      <c r="AP629" s="1073"/>
      <c r="AQ629" s="1073"/>
      <c r="AR629" s="1073"/>
      <c r="AS629" s="1073"/>
      <c r="AT629" s="942" t="str">
        <f t="shared" ref="AT629:AT640" si="27">IF(AND(NOT(C628=""),C629="",NOT(C630="")),"!","")</f>
        <v/>
      </c>
      <c r="AU629" s="43"/>
      <c r="AV629" s="43"/>
      <c r="AW629" s="43"/>
      <c r="AX629" s="43"/>
      <c r="AY629" s="43"/>
      <c r="BA629" s="41" t="s">
        <v>1965</v>
      </c>
      <c r="BC629" s="43"/>
      <c r="BD629" s="43"/>
      <c r="BE629" s="1274">
        <f t="shared" si="17"/>
        <v>0</v>
      </c>
      <c r="BF629" s="1276"/>
      <c r="BG629" s="1265">
        <f t="shared" si="18"/>
        <v>0</v>
      </c>
      <c r="BH629" s="1267"/>
      <c r="BI629" s="1274">
        <f t="shared" si="19"/>
        <v>0</v>
      </c>
      <c r="BJ629" s="1276"/>
      <c r="BK629" s="1265">
        <f t="shared" si="20"/>
        <v>0</v>
      </c>
      <c r="BL629" s="1267"/>
      <c r="BN629" s="1265">
        <f t="shared" si="3"/>
        <v>0</v>
      </c>
      <c r="BO629" s="1266"/>
      <c r="BP629" s="1266"/>
      <c r="BQ629" s="1266"/>
      <c r="BR629" s="1279"/>
      <c r="BS629" s="1265">
        <f t="shared" si="4"/>
        <v>0</v>
      </c>
      <c r="BT629" s="1266"/>
      <c r="BU629" s="1266"/>
      <c r="BV629" s="1266"/>
      <c r="BW629" s="1267"/>
      <c r="BX629" s="1265">
        <f t="shared" si="5"/>
        <v>0</v>
      </c>
      <c r="BY629" s="1266"/>
      <c r="BZ629" s="1266"/>
      <c r="CA629" s="1266"/>
      <c r="CB629" s="1267"/>
      <c r="CC629" s="1265">
        <f t="shared" si="6"/>
        <v>0</v>
      </c>
      <c r="CD629" s="1266"/>
      <c r="CE629" s="1266"/>
      <c r="CF629" s="1266"/>
      <c r="CG629" s="1267"/>
      <c r="CH629" s="1265">
        <f t="shared" si="7"/>
        <v>0</v>
      </c>
      <c r="CI629" s="1266"/>
      <c r="CJ629" s="1266"/>
      <c r="CK629" s="1266"/>
      <c r="CL629" s="1267"/>
      <c r="CM629" s="1277">
        <f t="shared" si="8"/>
        <v>0</v>
      </c>
      <c r="CN629" s="1278"/>
      <c r="CO629" s="1278"/>
      <c r="CP629" s="1278"/>
      <c r="CQ629" s="1279"/>
      <c r="CS629" s="1280">
        <f t="shared" si="21"/>
        <v>0</v>
      </c>
      <c r="CT629" s="1281"/>
      <c r="CU629" s="1281"/>
      <c r="CV629" s="1281"/>
      <c r="CW629" s="1282"/>
      <c r="CX629" s="1280">
        <f t="shared" si="22"/>
        <v>0</v>
      </c>
      <c r="CY629" s="1281"/>
      <c r="CZ629" s="1281"/>
      <c r="DA629" s="1281"/>
      <c r="DB629" s="1282"/>
      <c r="DC629" s="1280">
        <f t="shared" si="23"/>
        <v>0</v>
      </c>
      <c r="DD629" s="1281"/>
      <c r="DE629" s="1281"/>
      <c r="DF629" s="1281"/>
      <c r="DG629" s="1282"/>
      <c r="DH629" s="1280">
        <f t="shared" si="24"/>
        <v>0</v>
      </c>
      <c r="DI629" s="1281"/>
      <c r="DJ629" s="1281"/>
      <c r="DK629" s="1281"/>
      <c r="DL629" s="1282"/>
      <c r="DM629" s="1280">
        <f t="shared" si="25"/>
        <v>0</v>
      </c>
      <c r="DN629" s="1281"/>
      <c r="DO629" s="1281"/>
      <c r="DP629" s="1281"/>
      <c r="DQ629" s="1282"/>
      <c r="DR629" s="1280">
        <f t="shared" si="26"/>
        <v>0</v>
      </c>
      <c r="DS629" s="1281"/>
      <c r="DT629" s="1281"/>
      <c r="DU629" s="1281"/>
      <c r="DV629" s="1282"/>
    </row>
    <row r="630" spans="2:126" ht="12.95" customHeight="1">
      <c r="B630" s="58" t="s">
        <v>901</v>
      </c>
      <c r="C630" s="1300" t="str">
        <f>C558</f>
        <v>Land donation via lease</v>
      </c>
      <c r="D630" s="1300"/>
      <c r="E630" s="1300"/>
      <c r="F630" s="1300"/>
      <c r="G630" s="1300"/>
      <c r="H630" s="1300"/>
      <c r="I630" s="1300"/>
      <c r="J630" s="1300"/>
      <c r="K630" s="1300"/>
      <c r="L630" s="1300"/>
      <c r="M630" s="1384" t="s">
        <v>2177</v>
      </c>
      <c r="N630" s="1384"/>
      <c r="O630" s="1384"/>
      <c r="P630" s="1384"/>
      <c r="Q630" s="1432">
        <f>99*12</f>
        <v>1188</v>
      </c>
      <c r="R630" s="1433"/>
      <c r="S630" s="1434"/>
      <c r="T630" s="1385">
        <v>0</v>
      </c>
      <c r="U630" s="1386"/>
      <c r="V630" s="1387"/>
      <c r="W630" s="1381"/>
      <c r="X630" s="1382"/>
      <c r="Y630" s="1383"/>
      <c r="Z630" s="1423" t="s">
        <v>499</v>
      </c>
      <c r="AA630" s="1424"/>
      <c r="AB630" s="1425"/>
      <c r="AC630" s="1345"/>
      <c r="AD630" s="1346"/>
      <c r="AE630" s="1347"/>
      <c r="AF630" s="1108"/>
      <c r="AG630" s="1109"/>
      <c r="AH630" s="1109"/>
      <c r="AI630" s="1109"/>
      <c r="AJ630" s="1110"/>
      <c r="AK630" s="1375"/>
      <c r="AL630" s="1376"/>
      <c r="AM630" s="1376"/>
      <c r="AN630" s="1377"/>
      <c r="AO630" s="1073">
        <f>AM558</f>
        <v>1253674</v>
      </c>
      <c r="AP630" s="1073"/>
      <c r="AQ630" s="1073"/>
      <c r="AR630" s="1073"/>
      <c r="AS630" s="1073"/>
      <c r="AT630" s="942" t="str">
        <f t="shared" si="27"/>
        <v/>
      </c>
      <c r="AU630" s="43"/>
      <c r="AV630" s="43"/>
      <c r="AW630" s="43"/>
      <c r="AX630" s="43"/>
      <c r="AY630" s="43"/>
      <c r="BA630" s="41" t="s">
        <v>789</v>
      </c>
      <c r="BC630" s="43"/>
      <c r="BD630" s="43"/>
      <c r="BE630" s="1274">
        <f t="shared" si="17"/>
        <v>0</v>
      </c>
      <c r="BF630" s="1276"/>
      <c r="BG630" s="1265">
        <f t="shared" si="18"/>
        <v>0</v>
      </c>
      <c r="BH630" s="1267"/>
      <c r="BI630" s="1274">
        <f t="shared" si="19"/>
        <v>0</v>
      </c>
      <c r="BJ630" s="1276"/>
      <c r="BK630" s="1265">
        <f t="shared" si="20"/>
        <v>0</v>
      </c>
      <c r="BL630" s="1267"/>
      <c r="BN630" s="1265">
        <f t="shared" si="3"/>
        <v>0</v>
      </c>
      <c r="BO630" s="1266"/>
      <c r="BP630" s="1266"/>
      <c r="BQ630" s="1266"/>
      <c r="BR630" s="1279"/>
      <c r="BS630" s="1265">
        <f t="shared" si="4"/>
        <v>0</v>
      </c>
      <c r="BT630" s="1266"/>
      <c r="BU630" s="1266"/>
      <c r="BV630" s="1266"/>
      <c r="BW630" s="1267"/>
      <c r="BX630" s="1265">
        <f t="shared" si="5"/>
        <v>0</v>
      </c>
      <c r="BY630" s="1266"/>
      <c r="BZ630" s="1266"/>
      <c r="CA630" s="1266"/>
      <c r="CB630" s="1267"/>
      <c r="CC630" s="1265">
        <f t="shared" si="6"/>
        <v>0</v>
      </c>
      <c r="CD630" s="1266"/>
      <c r="CE630" s="1266"/>
      <c r="CF630" s="1266"/>
      <c r="CG630" s="1267"/>
      <c r="CH630" s="1265">
        <f t="shared" si="7"/>
        <v>0</v>
      </c>
      <c r="CI630" s="1266"/>
      <c r="CJ630" s="1266"/>
      <c r="CK630" s="1266"/>
      <c r="CL630" s="1267"/>
      <c r="CM630" s="1277">
        <f t="shared" si="8"/>
        <v>0</v>
      </c>
      <c r="CN630" s="1278"/>
      <c r="CO630" s="1278"/>
      <c r="CP630" s="1278"/>
      <c r="CQ630" s="1279"/>
      <c r="CS630" s="1280">
        <f t="shared" si="21"/>
        <v>0</v>
      </c>
      <c r="CT630" s="1281"/>
      <c r="CU630" s="1281"/>
      <c r="CV630" s="1281"/>
      <c r="CW630" s="1282"/>
      <c r="CX630" s="1280">
        <f t="shared" si="22"/>
        <v>0</v>
      </c>
      <c r="CY630" s="1281"/>
      <c r="CZ630" s="1281"/>
      <c r="DA630" s="1281"/>
      <c r="DB630" s="1282"/>
      <c r="DC630" s="1280">
        <f t="shared" si="23"/>
        <v>0</v>
      </c>
      <c r="DD630" s="1281"/>
      <c r="DE630" s="1281"/>
      <c r="DF630" s="1281"/>
      <c r="DG630" s="1282"/>
      <c r="DH630" s="1280">
        <f t="shared" si="24"/>
        <v>0</v>
      </c>
      <c r="DI630" s="1281"/>
      <c r="DJ630" s="1281"/>
      <c r="DK630" s="1281"/>
      <c r="DL630" s="1282"/>
      <c r="DM630" s="1280">
        <f t="shared" si="25"/>
        <v>0</v>
      </c>
      <c r="DN630" s="1281"/>
      <c r="DO630" s="1281"/>
      <c r="DP630" s="1281"/>
      <c r="DQ630" s="1282"/>
      <c r="DR630" s="1280">
        <f t="shared" si="26"/>
        <v>0</v>
      </c>
      <c r="DS630" s="1281"/>
      <c r="DT630" s="1281"/>
      <c r="DU630" s="1281"/>
      <c r="DV630" s="1282"/>
    </row>
    <row r="631" spans="2:126" ht="12.95" customHeight="1">
      <c r="B631" s="58" t="s">
        <v>907</v>
      </c>
      <c r="C631" s="1300" t="str">
        <f t="shared" ref="C631:C634" si="28">C559</f>
        <v>HCD- NHTF</v>
      </c>
      <c r="D631" s="1300"/>
      <c r="E631" s="1300"/>
      <c r="F631" s="1300"/>
      <c r="G631" s="1300"/>
      <c r="H631" s="1300"/>
      <c r="I631" s="1300"/>
      <c r="J631" s="1300"/>
      <c r="K631" s="1300"/>
      <c r="L631" s="1300"/>
      <c r="M631" s="1384" t="s">
        <v>2165</v>
      </c>
      <c r="N631" s="1384"/>
      <c r="O631" s="1384"/>
      <c r="P631" s="1384"/>
      <c r="Q631" s="1432">
        <v>660</v>
      </c>
      <c r="R631" s="1433"/>
      <c r="S631" s="1434"/>
      <c r="T631" s="1385">
        <v>0</v>
      </c>
      <c r="U631" s="1386"/>
      <c r="V631" s="1387"/>
      <c r="W631" s="1381">
        <v>0</v>
      </c>
      <c r="X631" s="1382"/>
      <c r="Y631" s="1383"/>
      <c r="Z631" s="1423" t="s">
        <v>788</v>
      </c>
      <c r="AA631" s="1424"/>
      <c r="AB631" s="1425"/>
      <c r="AC631" s="1345">
        <v>2</v>
      </c>
      <c r="AD631" s="1346"/>
      <c r="AE631" s="1347"/>
      <c r="AF631" s="1108"/>
      <c r="AG631" s="1109"/>
      <c r="AH631" s="1109"/>
      <c r="AI631" s="1109"/>
      <c r="AJ631" s="1110"/>
      <c r="AK631" s="1375"/>
      <c r="AL631" s="1376"/>
      <c r="AM631" s="1376"/>
      <c r="AN631" s="1377"/>
      <c r="AO631" s="1073">
        <f t="shared" ref="AO631:AO634" si="29">AM559</f>
        <v>9761541</v>
      </c>
      <c r="AP631" s="1073"/>
      <c r="AQ631" s="1073"/>
      <c r="AR631" s="1073"/>
      <c r="AS631" s="1073"/>
      <c r="AT631" s="942" t="str">
        <f t="shared" si="27"/>
        <v/>
      </c>
      <c r="AU631" s="43"/>
      <c r="AV631" s="43"/>
      <c r="AW631" s="43"/>
      <c r="AX631" s="43"/>
      <c r="AY631" s="43"/>
      <c r="AZ631" s="43"/>
      <c r="BA631" s="41" t="s">
        <v>788</v>
      </c>
      <c r="BB631" s="43"/>
      <c r="BC631" s="43"/>
      <c r="BD631" s="43"/>
      <c r="BE631" s="1274">
        <f t="shared" si="17"/>
        <v>0</v>
      </c>
      <c r="BF631" s="1276"/>
      <c r="BG631" s="1265">
        <f t="shared" si="18"/>
        <v>0</v>
      </c>
      <c r="BH631" s="1267"/>
      <c r="BI631" s="1274">
        <f t="shared" si="19"/>
        <v>0</v>
      </c>
      <c r="BJ631" s="1276"/>
      <c r="BK631" s="1265">
        <f t="shared" si="20"/>
        <v>0</v>
      </c>
      <c r="BL631" s="1267"/>
      <c r="BN631" s="1265">
        <f t="shared" si="3"/>
        <v>0</v>
      </c>
      <c r="BO631" s="1266"/>
      <c r="BP631" s="1266"/>
      <c r="BQ631" s="1266"/>
      <c r="BR631" s="1279"/>
      <c r="BS631" s="1265">
        <f t="shared" si="4"/>
        <v>0</v>
      </c>
      <c r="BT631" s="1266"/>
      <c r="BU631" s="1266"/>
      <c r="BV631" s="1266"/>
      <c r="BW631" s="1267"/>
      <c r="BX631" s="1265">
        <f t="shared" si="5"/>
        <v>0</v>
      </c>
      <c r="BY631" s="1266"/>
      <c r="BZ631" s="1266"/>
      <c r="CA631" s="1266"/>
      <c r="CB631" s="1267"/>
      <c r="CC631" s="1265">
        <f t="shared" si="6"/>
        <v>0</v>
      </c>
      <c r="CD631" s="1266"/>
      <c r="CE631" s="1266"/>
      <c r="CF631" s="1266"/>
      <c r="CG631" s="1267"/>
      <c r="CH631" s="1265">
        <f t="shared" si="7"/>
        <v>0</v>
      </c>
      <c r="CI631" s="1266"/>
      <c r="CJ631" s="1266"/>
      <c r="CK631" s="1266"/>
      <c r="CL631" s="1267"/>
      <c r="CM631" s="1277">
        <f t="shared" si="8"/>
        <v>0</v>
      </c>
      <c r="CN631" s="1278"/>
      <c r="CO631" s="1278"/>
      <c r="CP631" s="1278"/>
      <c r="CQ631" s="1279"/>
      <c r="CS631" s="1280">
        <f t="shared" si="21"/>
        <v>0</v>
      </c>
      <c r="CT631" s="1281"/>
      <c r="CU631" s="1281"/>
      <c r="CV631" s="1281"/>
      <c r="CW631" s="1282"/>
      <c r="CX631" s="1280">
        <f t="shared" si="22"/>
        <v>0</v>
      </c>
      <c r="CY631" s="1281"/>
      <c r="CZ631" s="1281"/>
      <c r="DA631" s="1281"/>
      <c r="DB631" s="1282"/>
      <c r="DC631" s="1280">
        <f t="shared" si="23"/>
        <v>0</v>
      </c>
      <c r="DD631" s="1281"/>
      <c r="DE631" s="1281"/>
      <c r="DF631" s="1281"/>
      <c r="DG631" s="1282"/>
      <c r="DH631" s="1280">
        <f t="shared" si="24"/>
        <v>0</v>
      </c>
      <c r="DI631" s="1281"/>
      <c r="DJ631" s="1281"/>
      <c r="DK631" s="1281"/>
      <c r="DL631" s="1282"/>
      <c r="DM631" s="1280">
        <f t="shared" si="25"/>
        <v>0</v>
      </c>
      <c r="DN631" s="1281"/>
      <c r="DO631" s="1281"/>
      <c r="DP631" s="1281"/>
      <c r="DQ631" s="1282"/>
      <c r="DR631" s="1280">
        <f t="shared" si="26"/>
        <v>0</v>
      </c>
      <c r="DS631" s="1281"/>
      <c r="DT631" s="1281"/>
      <c r="DU631" s="1281"/>
      <c r="DV631" s="1282"/>
    </row>
    <row r="632" spans="2:126" ht="12.95" customHeight="1">
      <c r="B632" s="58" t="s">
        <v>431</v>
      </c>
      <c r="C632" s="1300" t="str">
        <f t="shared" si="28"/>
        <v>Alameda Affordable Housing Trust Fund/AAHC</v>
      </c>
      <c r="D632" s="1300"/>
      <c r="E632" s="1300"/>
      <c r="F632" s="1300"/>
      <c r="G632" s="1300"/>
      <c r="H632" s="1300"/>
      <c r="I632" s="1300"/>
      <c r="J632" s="1300"/>
      <c r="K632" s="1300"/>
      <c r="L632" s="1300"/>
      <c r="M632" s="1384" t="s">
        <v>2165</v>
      </c>
      <c r="N632" s="1384"/>
      <c r="O632" s="1384"/>
      <c r="P632" s="1384"/>
      <c r="Q632" s="1432">
        <v>660</v>
      </c>
      <c r="R632" s="1433"/>
      <c r="S632" s="1434"/>
      <c r="T632" s="1385">
        <v>0</v>
      </c>
      <c r="U632" s="1386"/>
      <c r="V632" s="1387"/>
      <c r="W632" s="1381">
        <v>0.03</v>
      </c>
      <c r="X632" s="1382"/>
      <c r="Y632" s="1383"/>
      <c r="Z632" s="1423" t="s">
        <v>788</v>
      </c>
      <c r="AA632" s="1424"/>
      <c r="AB632" s="1425"/>
      <c r="AC632" s="1345">
        <v>3</v>
      </c>
      <c r="AD632" s="1346"/>
      <c r="AE632" s="1347"/>
      <c r="AF632" s="1108"/>
      <c r="AG632" s="1109"/>
      <c r="AH632" s="1109"/>
      <c r="AI632" s="1109"/>
      <c r="AJ632" s="1110"/>
      <c r="AK632" s="1375"/>
      <c r="AL632" s="1376"/>
      <c r="AM632" s="1376"/>
      <c r="AN632" s="1377"/>
      <c r="AO632" s="1073">
        <f t="shared" si="29"/>
        <v>5000000</v>
      </c>
      <c r="AP632" s="1073"/>
      <c r="AQ632" s="1073"/>
      <c r="AR632" s="1073"/>
      <c r="AS632" s="1073"/>
      <c r="AT632" s="942" t="str">
        <f t="shared" si="27"/>
        <v/>
      </c>
      <c r="AU632" s="43"/>
      <c r="AV632" s="43"/>
      <c r="AW632" s="43"/>
      <c r="AX632" s="43"/>
      <c r="AY632" s="43"/>
      <c r="AZ632" s="43"/>
      <c r="BA632" s="41" t="s">
        <v>2181</v>
      </c>
      <c r="BE632" s="1274">
        <f t="shared" si="17"/>
        <v>0</v>
      </c>
      <c r="BF632" s="1276"/>
      <c r="BG632" s="1265">
        <f t="shared" si="18"/>
        <v>0</v>
      </c>
      <c r="BH632" s="1267"/>
      <c r="BI632" s="1274">
        <f t="shared" si="19"/>
        <v>0</v>
      </c>
      <c r="BJ632" s="1276"/>
      <c r="BK632" s="1265">
        <f t="shared" si="20"/>
        <v>0</v>
      </c>
      <c r="BL632" s="1267"/>
      <c r="BN632" s="1265">
        <f t="shared" si="3"/>
        <v>0</v>
      </c>
      <c r="BO632" s="1266"/>
      <c r="BP632" s="1266"/>
      <c r="BQ632" s="1266"/>
      <c r="BR632" s="1279"/>
      <c r="BS632" s="1265">
        <f t="shared" si="4"/>
        <v>0</v>
      </c>
      <c r="BT632" s="1266"/>
      <c r="BU632" s="1266"/>
      <c r="BV632" s="1266"/>
      <c r="BW632" s="1267"/>
      <c r="BX632" s="1265">
        <f t="shared" si="5"/>
        <v>0</v>
      </c>
      <c r="BY632" s="1266"/>
      <c r="BZ632" s="1266"/>
      <c r="CA632" s="1266"/>
      <c r="CB632" s="1267"/>
      <c r="CC632" s="1265">
        <f t="shared" si="6"/>
        <v>0</v>
      </c>
      <c r="CD632" s="1266"/>
      <c r="CE632" s="1266"/>
      <c r="CF632" s="1266"/>
      <c r="CG632" s="1267"/>
      <c r="CH632" s="1265">
        <f t="shared" si="7"/>
        <v>0</v>
      </c>
      <c r="CI632" s="1266"/>
      <c r="CJ632" s="1266"/>
      <c r="CK632" s="1266"/>
      <c r="CL632" s="1267"/>
      <c r="CM632" s="1277">
        <f t="shared" si="8"/>
        <v>0</v>
      </c>
      <c r="CN632" s="1278"/>
      <c r="CO632" s="1278"/>
      <c r="CP632" s="1278"/>
      <c r="CQ632" s="1279"/>
      <c r="CS632" s="1280">
        <f t="shared" si="21"/>
        <v>0</v>
      </c>
      <c r="CT632" s="1281"/>
      <c r="CU632" s="1281"/>
      <c r="CV632" s="1281"/>
      <c r="CW632" s="1282"/>
      <c r="CX632" s="1280">
        <f t="shared" si="22"/>
        <v>0</v>
      </c>
      <c r="CY632" s="1281"/>
      <c r="CZ632" s="1281"/>
      <c r="DA632" s="1281"/>
      <c r="DB632" s="1282"/>
      <c r="DC632" s="1280">
        <f t="shared" si="23"/>
        <v>0</v>
      </c>
      <c r="DD632" s="1281"/>
      <c r="DE632" s="1281"/>
      <c r="DF632" s="1281"/>
      <c r="DG632" s="1282"/>
      <c r="DH632" s="1280">
        <f t="shared" si="24"/>
        <v>0</v>
      </c>
      <c r="DI632" s="1281"/>
      <c r="DJ632" s="1281"/>
      <c r="DK632" s="1281"/>
      <c r="DL632" s="1282"/>
      <c r="DM632" s="1280">
        <f t="shared" si="25"/>
        <v>0</v>
      </c>
      <c r="DN632" s="1281"/>
      <c r="DO632" s="1281"/>
      <c r="DP632" s="1281"/>
      <c r="DQ632" s="1282"/>
      <c r="DR632" s="1280">
        <f t="shared" si="26"/>
        <v>0</v>
      </c>
      <c r="DS632" s="1281"/>
      <c r="DT632" s="1281"/>
      <c r="DU632" s="1281"/>
      <c r="DV632" s="1282"/>
    </row>
    <row r="633" spans="2:126" ht="12.95" customHeight="1">
      <c r="B633" s="58" t="s">
        <v>171</v>
      </c>
      <c r="C633" s="1300" t="str">
        <f t="shared" si="28"/>
        <v>City of Alameda PLHA</v>
      </c>
      <c r="D633" s="1300"/>
      <c r="E633" s="1300"/>
      <c r="F633" s="1300"/>
      <c r="G633" s="1300"/>
      <c r="H633" s="1300"/>
      <c r="I633" s="1300"/>
      <c r="J633" s="1300"/>
      <c r="K633" s="1300"/>
      <c r="L633" s="1300"/>
      <c r="M633" s="1384" t="s">
        <v>2165</v>
      </c>
      <c r="N633" s="1384"/>
      <c r="O633" s="1384"/>
      <c r="P633" s="1384"/>
      <c r="Q633" s="1432">
        <v>660</v>
      </c>
      <c r="R633" s="1433"/>
      <c r="S633" s="1434"/>
      <c r="T633" s="1385">
        <v>0</v>
      </c>
      <c r="U633" s="1386"/>
      <c r="V633" s="1387"/>
      <c r="W633" s="1381">
        <v>0.03</v>
      </c>
      <c r="X633" s="1382"/>
      <c r="Y633" s="1383"/>
      <c r="Z633" s="1423" t="s">
        <v>788</v>
      </c>
      <c r="AA633" s="1424"/>
      <c r="AB633" s="1425"/>
      <c r="AC633" s="1345">
        <v>4</v>
      </c>
      <c r="AD633" s="1346"/>
      <c r="AE633" s="1347"/>
      <c r="AF633" s="1108"/>
      <c r="AG633" s="1109"/>
      <c r="AH633" s="1109"/>
      <c r="AI633" s="1109"/>
      <c r="AJ633" s="1110"/>
      <c r="AK633" s="1375"/>
      <c r="AL633" s="1376"/>
      <c r="AM633" s="1376"/>
      <c r="AN633" s="1377"/>
      <c r="AO633" s="1073">
        <f t="shared" si="29"/>
        <v>551582</v>
      </c>
      <c r="AP633" s="1073"/>
      <c r="AQ633" s="1073"/>
      <c r="AR633" s="1073"/>
      <c r="AS633" s="1073"/>
      <c r="AT633" s="942" t="str">
        <f t="shared" si="27"/>
        <v/>
      </c>
      <c r="AU633" s="43"/>
      <c r="AV633" s="43"/>
      <c r="AW633" s="43"/>
      <c r="AX633" s="43"/>
      <c r="AY633" s="43"/>
      <c r="AZ633" s="43"/>
      <c r="BA633" s="41" t="s">
        <v>499</v>
      </c>
      <c r="BE633" s="1274">
        <f t="shared" si="17"/>
        <v>0</v>
      </c>
      <c r="BF633" s="1276"/>
      <c r="BG633" s="1265">
        <f t="shared" si="18"/>
        <v>0</v>
      </c>
      <c r="BH633" s="1267"/>
      <c r="BI633" s="1274">
        <f t="shared" si="19"/>
        <v>0</v>
      </c>
      <c r="BJ633" s="1276"/>
      <c r="BK633" s="1265">
        <f t="shared" si="20"/>
        <v>0</v>
      </c>
      <c r="BL633" s="1267"/>
      <c r="BN633" s="1265">
        <f t="shared" si="3"/>
        <v>0</v>
      </c>
      <c r="BO633" s="1266"/>
      <c r="BP633" s="1266"/>
      <c r="BQ633" s="1266"/>
      <c r="BR633" s="1279"/>
      <c r="BS633" s="1265">
        <f t="shared" si="4"/>
        <v>0</v>
      </c>
      <c r="BT633" s="1266"/>
      <c r="BU633" s="1266"/>
      <c r="BV633" s="1266"/>
      <c r="BW633" s="1267"/>
      <c r="BX633" s="1265">
        <f t="shared" si="5"/>
        <v>0</v>
      </c>
      <c r="BY633" s="1266"/>
      <c r="BZ633" s="1266"/>
      <c r="CA633" s="1266"/>
      <c r="CB633" s="1267"/>
      <c r="CC633" s="1265">
        <f t="shared" si="6"/>
        <v>0</v>
      </c>
      <c r="CD633" s="1266"/>
      <c r="CE633" s="1266"/>
      <c r="CF633" s="1266"/>
      <c r="CG633" s="1267"/>
      <c r="CH633" s="1265">
        <f t="shared" si="7"/>
        <v>0</v>
      </c>
      <c r="CI633" s="1266"/>
      <c r="CJ633" s="1266"/>
      <c r="CK633" s="1266"/>
      <c r="CL633" s="1267"/>
      <c r="CM633" s="1277">
        <f t="shared" si="8"/>
        <v>0</v>
      </c>
      <c r="CN633" s="1278"/>
      <c r="CO633" s="1278"/>
      <c r="CP633" s="1278"/>
      <c r="CQ633" s="1279"/>
      <c r="CS633" s="1280">
        <f t="shared" si="21"/>
        <v>0</v>
      </c>
      <c r="CT633" s="1281"/>
      <c r="CU633" s="1281"/>
      <c r="CV633" s="1281"/>
      <c r="CW633" s="1282"/>
      <c r="CX633" s="1280">
        <f t="shared" si="22"/>
        <v>0</v>
      </c>
      <c r="CY633" s="1281"/>
      <c r="CZ633" s="1281"/>
      <c r="DA633" s="1281"/>
      <c r="DB633" s="1282"/>
      <c r="DC633" s="1280">
        <f t="shared" si="23"/>
        <v>0</v>
      </c>
      <c r="DD633" s="1281"/>
      <c r="DE633" s="1281"/>
      <c r="DF633" s="1281"/>
      <c r="DG633" s="1282"/>
      <c r="DH633" s="1280">
        <f t="shared" si="24"/>
        <v>0</v>
      </c>
      <c r="DI633" s="1281"/>
      <c r="DJ633" s="1281"/>
      <c r="DK633" s="1281"/>
      <c r="DL633" s="1282"/>
      <c r="DM633" s="1280">
        <f t="shared" si="25"/>
        <v>0</v>
      </c>
      <c r="DN633" s="1281"/>
      <c r="DO633" s="1281"/>
      <c r="DP633" s="1281"/>
      <c r="DQ633" s="1282"/>
      <c r="DR633" s="1280">
        <f t="shared" si="26"/>
        <v>0</v>
      </c>
      <c r="DS633" s="1281"/>
      <c r="DT633" s="1281"/>
      <c r="DU633" s="1281"/>
      <c r="DV633" s="1282"/>
    </row>
    <row r="634" spans="2:126" ht="12.95" customHeight="1">
      <c r="B634" s="58" t="s">
        <v>434</v>
      </c>
      <c r="C634" s="1300" t="str">
        <f t="shared" si="28"/>
        <v>AHP</v>
      </c>
      <c r="D634" s="1300"/>
      <c r="E634" s="1300"/>
      <c r="F634" s="1300"/>
      <c r="G634" s="1300"/>
      <c r="H634" s="1300"/>
      <c r="I634" s="1300"/>
      <c r="J634" s="1300"/>
      <c r="K634" s="1300"/>
      <c r="L634" s="1300"/>
      <c r="M634" s="1384" t="s">
        <v>2165</v>
      </c>
      <c r="N634" s="1384"/>
      <c r="O634" s="1384"/>
      <c r="P634" s="1384"/>
      <c r="Q634" s="1432">
        <v>660</v>
      </c>
      <c r="R634" s="1433"/>
      <c r="S634" s="1434"/>
      <c r="T634" s="1385">
        <v>0</v>
      </c>
      <c r="U634" s="1386"/>
      <c r="V634" s="1387"/>
      <c r="W634" s="1381">
        <v>0</v>
      </c>
      <c r="X634" s="1382"/>
      <c r="Y634" s="1383"/>
      <c r="Z634" s="1423" t="s">
        <v>789</v>
      </c>
      <c r="AA634" s="1424"/>
      <c r="AB634" s="1425"/>
      <c r="AC634" s="1345">
        <v>5</v>
      </c>
      <c r="AD634" s="1346"/>
      <c r="AE634" s="1347"/>
      <c r="AF634" s="1108"/>
      <c r="AG634" s="1109"/>
      <c r="AH634" s="1109"/>
      <c r="AI634" s="1109"/>
      <c r="AJ634" s="1110"/>
      <c r="AK634" s="1375"/>
      <c r="AL634" s="1376"/>
      <c r="AM634" s="1376"/>
      <c r="AN634" s="1377"/>
      <c r="AO634" s="1073">
        <f t="shared" si="29"/>
        <v>690000</v>
      </c>
      <c r="AP634" s="1073"/>
      <c r="AQ634" s="1073"/>
      <c r="AR634" s="1073"/>
      <c r="AS634" s="1073"/>
      <c r="AT634" s="942" t="str">
        <f t="shared" si="27"/>
        <v/>
      </c>
      <c r="AU634" s="43"/>
      <c r="AV634" s="43"/>
      <c r="AW634" s="43"/>
      <c r="AX634" s="43"/>
      <c r="AY634" s="43"/>
      <c r="AZ634" s="43"/>
      <c r="BE634" s="1274">
        <f>IF(AND(AH737&lt;=0.5,AH737&gt;=0.36),1,0)</f>
        <v>0</v>
      </c>
      <c r="BF634" s="1276"/>
      <c r="BG634" s="1265">
        <f>IF(BE634=1,G737,0)</f>
        <v>0</v>
      </c>
      <c r="BH634" s="1267"/>
      <c r="BI634" s="1274">
        <f>IF(AND(AH737&lt;=0.35,AH737&gt;0),1,0)</f>
        <v>0</v>
      </c>
      <c r="BJ634" s="1276"/>
      <c r="BK634" s="1265">
        <f>IF(BI634=1,G737,0)</f>
        <v>0</v>
      </c>
      <c r="BL634" s="1267"/>
      <c r="BN634" s="1274">
        <f>SUM(BN599:BR633)</f>
        <v>25</v>
      </c>
      <c r="BO634" s="1275"/>
      <c r="BP634" s="1275"/>
      <c r="BQ634" s="1275"/>
      <c r="BR634" s="1276"/>
      <c r="BS634" s="1274">
        <f>SUM(BS599:BW633)</f>
        <v>21</v>
      </c>
      <c r="BT634" s="1275"/>
      <c r="BU634" s="1275"/>
      <c r="BV634" s="1275"/>
      <c r="BW634" s="1276"/>
      <c r="BX634" s="1274">
        <f>SUM(BX599:CB633)</f>
        <v>0</v>
      </c>
      <c r="BY634" s="1275"/>
      <c r="BZ634" s="1275"/>
      <c r="CA634" s="1275"/>
      <c r="CB634" s="1276"/>
      <c r="CC634" s="1274">
        <f>SUM(CC599:CG633)</f>
        <v>0</v>
      </c>
      <c r="CD634" s="1275"/>
      <c r="CE634" s="1275"/>
      <c r="CF634" s="1275"/>
      <c r="CG634" s="1276"/>
      <c r="CH634" s="1274">
        <f>SUM(CH599:CL633)</f>
        <v>0</v>
      </c>
      <c r="CI634" s="1275"/>
      <c r="CJ634" s="1275"/>
      <c r="CK634" s="1275"/>
      <c r="CL634" s="1276"/>
      <c r="CM634" s="1274">
        <f>SUM(CM599:CQ633)</f>
        <v>0</v>
      </c>
      <c r="CN634" s="1275"/>
      <c r="CO634" s="1275"/>
      <c r="CP634" s="1275"/>
      <c r="CQ634" s="1276"/>
      <c r="CS634" s="1280">
        <f>IF(AND(B737="SRO/Studio",AH737&lt;=0.3),G737,0)</f>
        <v>0</v>
      </c>
      <c r="CT634" s="1281"/>
      <c r="CU634" s="1281"/>
      <c r="CV634" s="1281"/>
      <c r="CW634" s="1282"/>
      <c r="CX634" s="1280">
        <f>IF(AND(B737="1 Bedroom",AH737&lt;=0.3),G737,0)</f>
        <v>0</v>
      </c>
      <c r="CY634" s="1281"/>
      <c r="CZ634" s="1281"/>
      <c r="DA634" s="1281"/>
      <c r="DB634" s="1282"/>
      <c r="DC634" s="1280">
        <f>IF(AND(B737="2 Bedrooms",AH737&lt;=0.3),G737,0)</f>
        <v>0</v>
      </c>
      <c r="DD634" s="1281"/>
      <c r="DE634" s="1281"/>
      <c r="DF634" s="1281"/>
      <c r="DG634" s="1282"/>
      <c r="DH634" s="1280">
        <f>IF(AND(B737="3 Bedrooms",AH737&lt;=0.3),G737,0)</f>
        <v>0</v>
      </c>
      <c r="DI634" s="1281"/>
      <c r="DJ634" s="1281"/>
      <c r="DK634" s="1281"/>
      <c r="DL634" s="1282"/>
      <c r="DM634" s="1280">
        <f>IF(AND(B737="4 Bedrooms",AH737&lt;=0.3),G737,0)</f>
        <v>0</v>
      </c>
      <c r="DN634" s="1281"/>
      <c r="DO634" s="1281"/>
      <c r="DP634" s="1281"/>
      <c r="DQ634" s="1282"/>
      <c r="DR634" s="1280">
        <f>IF(AND(B737="5 Bedrooms",AH737&lt;=0.3),G737,0)</f>
        <v>0</v>
      </c>
      <c r="DS634" s="1281"/>
      <c r="DT634" s="1281"/>
      <c r="DU634" s="1281"/>
      <c r="DV634" s="1282"/>
    </row>
    <row r="635" spans="2:126" ht="12.95" customHeight="1" thickBot="1">
      <c r="B635" s="58" t="s">
        <v>742</v>
      </c>
      <c r="C635" s="1300" t="str">
        <f>C563</f>
        <v>Alameda Housing Authority</v>
      </c>
      <c r="D635" s="1300"/>
      <c r="E635" s="1300"/>
      <c r="F635" s="1300"/>
      <c r="G635" s="1300"/>
      <c r="H635" s="1300"/>
      <c r="I635" s="1300"/>
      <c r="J635" s="1300"/>
      <c r="K635" s="1300"/>
      <c r="L635" s="1300"/>
      <c r="M635" s="1384" t="s">
        <v>2165</v>
      </c>
      <c r="N635" s="1384"/>
      <c r="O635" s="1384"/>
      <c r="P635" s="1384"/>
      <c r="Q635" s="1432">
        <v>660</v>
      </c>
      <c r="R635" s="1433"/>
      <c r="S635" s="1434"/>
      <c r="T635" s="1385">
        <v>0</v>
      </c>
      <c r="U635" s="1386"/>
      <c r="V635" s="1387"/>
      <c r="W635" s="1381">
        <v>0.03</v>
      </c>
      <c r="X635" s="1382"/>
      <c r="Y635" s="1383"/>
      <c r="Z635" s="1423" t="s">
        <v>788</v>
      </c>
      <c r="AA635" s="1424"/>
      <c r="AB635" s="1425"/>
      <c r="AC635" s="1345">
        <v>6</v>
      </c>
      <c r="AD635" s="1346"/>
      <c r="AE635" s="1347"/>
      <c r="AF635" s="1108"/>
      <c r="AG635" s="1109"/>
      <c r="AH635" s="1109"/>
      <c r="AI635" s="1109"/>
      <c r="AJ635" s="1110"/>
      <c r="AK635" s="1375"/>
      <c r="AL635" s="1376"/>
      <c r="AM635" s="1376"/>
      <c r="AN635" s="1377"/>
      <c r="AO635" s="1073">
        <f>AM563</f>
        <v>500000</v>
      </c>
      <c r="AP635" s="1073"/>
      <c r="AQ635" s="1073"/>
      <c r="AR635" s="1073"/>
      <c r="AS635" s="1073"/>
      <c r="AT635" s="942" t="str">
        <f t="shared" si="27"/>
        <v/>
      </c>
      <c r="AU635" s="43"/>
      <c r="AV635" s="43"/>
      <c r="AW635" s="43"/>
      <c r="AX635" s="43"/>
      <c r="AY635" s="43"/>
      <c r="AZ635" s="43"/>
      <c r="BE635" s="41"/>
      <c r="BF635" s="41"/>
      <c r="BG635" s="1274">
        <f>SUM(BG600:BH634)</f>
        <v>0</v>
      </c>
      <c r="BH635" s="1276"/>
      <c r="BI635" s="41"/>
      <c r="BJ635" s="41"/>
      <c r="BK635" s="1274">
        <f>SUM(BK600:BL634)</f>
        <v>46</v>
      </c>
      <c r="BL635" s="1276"/>
      <c r="BN635" s="41" t="s">
        <v>1716</v>
      </c>
      <c r="BO635" s="41"/>
      <c r="BP635" s="41"/>
      <c r="BQ635" s="41"/>
      <c r="BR635" s="464">
        <f>BN634*1</f>
        <v>25</v>
      </c>
      <c r="BS635" s="41"/>
      <c r="BT635" s="41"/>
      <c r="BU635" s="41"/>
      <c r="BV635" s="41"/>
      <c r="BW635" s="464">
        <f>BS634*1</f>
        <v>21</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4">
        <f>SUM(CS600:CW634)</f>
        <v>25</v>
      </c>
      <c r="CT635" s="1275"/>
      <c r="CU635" s="1275"/>
      <c r="CV635" s="1275"/>
      <c r="CW635" s="1276"/>
      <c r="CX635" s="1274">
        <f>SUM(CX600:DB634)</f>
        <v>21</v>
      </c>
      <c r="CY635" s="1275"/>
      <c r="CZ635" s="1275"/>
      <c r="DA635" s="1275"/>
      <c r="DB635" s="1276"/>
      <c r="DC635" s="1274">
        <f>SUM(DC600:DG634)</f>
        <v>0</v>
      </c>
      <c r="DD635" s="1275"/>
      <c r="DE635" s="1275"/>
      <c r="DF635" s="1275"/>
      <c r="DG635" s="1276"/>
      <c r="DH635" s="1274">
        <f>SUM(DH600:DL634)</f>
        <v>0</v>
      </c>
      <c r="DI635" s="1275"/>
      <c r="DJ635" s="1275"/>
      <c r="DK635" s="1275"/>
      <c r="DL635" s="1276"/>
      <c r="DM635" s="1274">
        <f>SUM(DM600:DQ634)</f>
        <v>0</v>
      </c>
      <c r="DN635" s="1275"/>
      <c r="DO635" s="1275"/>
      <c r="DP635" s="1275"/>
      <c r="DQ635" s="1276"/>
      <c r="DR635" s="1274">
        <f>SUM(DR600:DV634)</f>
        <v>0</v>
      </c>
      <c r="DS635" s="1275"/>
      <c r="DT635" s="1275"/>
      <c r="DU635" s="1275"/>
      <c r="DV635" s="1276"/>
    </row>
    <row r="636" spans="2:126" ht="12.95" customHeight="1" thickBot="1">
      <c r="B636" s="58" t="s">
        <v>743</v>
      </c>
      <c r="C636" s="1300" t="str">
        <f t="shared" ref="C636" si="30">C564</f>
        <v>City of Alameda HOME</v>
      </c>
      <c r="D636" s="1300"/>
      <c r="E636" s="1300"/>
      <c r="F636" s="1300"/>
      <c r="G636" s="1300"/>
      <c r="H636" s="1300"/>
      <c r="I636" s="1300"/>
      <c r="J636" s="1300"/>
      <c r="K636" s="1300"/>
      <c r="L636" s="1300"/>
      <c r="M636" s="1384" t="s">
        <v>2165</v>
      </c>
      <c r="N636" s="1384"/>
      <c r="O636" s="1384"/>
      <c r="P636" s="1384"/>
      <c r="Q636" s="1432">
        <v>660</v>
      </c>
      <c r="R636" s="1433"/>
      <c r="S636" s="1434"/>
      <c r="T636" s="1385"/>
      <c r="U636" s="1386"/>
      <c r="V636" s="1387"/>
      <c r="W636" s="1381">
        <v>0.03</v>
      </c>
      <c r="X636" s="1382"/>
      <c r="Y636" s="1383"/>
      <c r="Z636" s="1423" t="s">
        <v>788</v>
      </c>
      <c r="AA636" s="1424"/>
      <c r="AB636" s="1425"/>
      <c r="AC636" s="1345">
        <v>7</v>
      </c>
      <c r="AD636" s="1346"/>
      <c r="AE636" s="1347"/>
      <c r="AF636" s="1108"/>
      <c r="AG636" s="1109"/>
      <c r="AH636" s="1109"/>
      <c r="AI636" s="1109"/>
      <c r="AJ636" s="1110"/>
      <c r="AK636" s="1375"/>
      <c r="AL636" s="1376"/>
      <c r="AM636" s="1376"/>
      <c r="AN636" s="1377"/>
      <c r="AO636" s="1073">
        <f t="shared" ref="AO636" si="31">AM564</f>
        <v>89506</v>
      </c>
      <c r="AP636" s="1073"/>
      <c r="AQ636" s="1073"/>
      <c r="AR636" s="1073"/>
      <c r="AS636" s="1073"/>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46</v>
      </c>
      <c r="CR636" s="41"/>
      <c r="CS636" s="41"/>
    </row>
    <row r="637" spans="2:126" ht="12.95" customHeight="1">
      <c r="B637" s="58" t="s">
        <v>546</v>
      </c>
      <c r="C637" s="1300" t="s">
        <v>2433</v>
      </c>
      <c r="D637" s="1300"/>
      <c r="E637" s="1300"/>
      <c r="F637" s="1300"/>
      <c r="G637" s="1300"/>
      <c r="H637" s="1300"/>
      <c r="I637" s="1300"/>
      <c r="J637" s="1300"/>
      <c r="K637" s="1300"/>
      <c r="L637" s="1300"/>
      <c r="M637" s="1384" t="s">
        <v>2159</v>
      </c>
      <c r="N637" s="1384"/>
      <c r="O637" s="1384"/>
      <c r="P637" s="1384"/>
      <c r="Q637" s="1432"/>
      <c r="R637" s="1433"/>
      <c r="S637" s="1434"/>
      <c r="T637" s="1385"/>
      <c r="U637" s="1386"/>
      <c r="V637" s="1387"/>
      <c r="W637" s="1381"/>
      <c r="X637" s="1382"/>
      <c r="Y637" s="1383"/>
      <c r="Z637" s="1423" t="s">
        <v>1965</v>
      </c>
      <c r="AA637" s="1424"/>
      <c r="AB637" s="1425"/>
      <c r="AC637" s="1345"/>
      <c r="AD637" s="1346"/>
      <c r="AE637" s="1347"/>
      <c r="AF637" s="1108"/>
      <c r="AG637" s="1109"/>
      <c r="AH637" s="1109"/>
      <c r="AI637" s="1109"/>
      <c r="AJ637" s="1110"/>
      <c r="AK637" s="1375"/>
      <c r="AL637" s="1376"/>
      <c r="AM637" s="1376"/>
      <c r="AN637" s="1377"/>
      <c r="AO637" s="1065">
        <f>AM566</f>
        <v>100</v>
      </c>
      <c r="AP637" s="1061"/>
      <c r="AQ637" s="1061"/>
      <c r="AR637" s="1061"/>
      <c r="AS637" s="1062"/>
      <c r="AT637" s="942" t="str">
        <f t="shared" si="27"/>
        <v/>
      </c>
      <c r="AU637" s="41"/>
      <c r="AV637" s="41"/>
      <c r="AW637" s="41"/>
      <c r="AX637" s="41"/>
      <c r="AY637" s="41"/>
      <c r="AZ637" s="41"/>
      <c r="BN637" s="1265">
        <f>IF(J760="SRO/Studio",O760,0)</f>
        <v>0</v>
      </c>
      <c r="BO637" s="1266"/>
      <c r="BP637" s="1266"/>
      <c r="BQ637" s="1266"/>
      <c r="BR637" s="1267"/>
      <c r="BS637" s="1265">
        <f>IF(J760="1 Bedroom",O760,0)</f>
        <v>0</v>
      </c>
      <c r="BT637" s="1266"/>
      <c r="BU637" s="1266"/>
      <c r="BV637" s="1266"/>
      <c r="BW637" s="1267"/>
      <c r="BX637" s="1265">
        <f>IF(J760="2 Bedrooms",O760,0)</f>
        <v>0</v>
      </c>
      <c r="BY637" s="1266"/>
      <c r="BZ637" s="1266"/>
      <c r="CA637" s="1266"/>
      <c r="CB637" s="1267"/>
      <c r="CC637" s="1265">
        <f>IF(J760="3 Bedrooms",O760,0)</f>
        <v>0</v>
      </c>
      <c r="CD637" s="1266"/>
      <c r="CE637" s="1266"/>
      <c r="CF637" s="1266"/>
      <c r="CG637" s="1267"/>
      <c r="CH637" s="1265">
        <f>IF(J760="4 Bedrooms",O760,0)</f>
        <v>0</v>
      </c>
      <c r="CI637" s="1266"/>
      <c r="CJ637" s="1266"/>
      <c r="CK637" s="1266"/>
      <c r="CL637" s="1267"/>
      <c r="CM637" s="1277">
        <f>IF(J760="5 Bedrooms",O760,0)</f>
        <v>0</v>
      </c>
      <c r="CN637" s="1278"/>
      <c r="CO637" s="1278"/>
      <c r="CP637" s="1278"/>
      <c r="CQ637" s="1279"/>
      <c r="CR637" s="41"/>
      <c r="CS637" s="41"/>
    </row>
    <row r="638" spans="2:126" ht="12.95" customHeight="1">
      <c r="B638" s="58" t="s">
        <v>174</v>
      </c>
      <c r="C638" s="1300"/>
      <c r="D638" s="1300"/>
      <c r="E638" s="1300"/>
      <c r="F638" s="1300"/>
      <c r="G638" s="1300"/>
      <c r="H638" s="1300"/>
      <c r="I638" s="1300"/>
      <c r="J638" s="1300"/>
      <c r="K638" s="1300"/>
      <c r="L638" s="1300"/>
      <c r="M638" s="1384" t="s">
        <v>1965</v>
      </c>
      <c r="N638" s="1384"/>
      <c r="O638" s="1384"/>
      <c r="P638" s="1384"/>
      <c r="Q638" s="1432"/>
      <c r="R638" s="1433"/>
      <c r="S638" s="1434"/>
      <c r="T638" s="1385"/>
      <c r="U638" s="1386"/>
      <c r="V638" s="1387"/>
      <c r="W638" s="1381"/>
      <c r="X638" s="1382"/>
      <c r="Y638" s="1383"/>
      <c r="Z638" s="1423" t="s">
        <v>1965</v>
      </c>
      <c r="AA638" s="1424"/>
      <c r="AB638" s="1425"/>
      <c r="AC638" s="1345"/>
      <c r="AD638" s="1346"/>
      <c r="AE638" s="1347"/>
      <c r="AF638" s="1108"/>
      <c r="AG638" s="1109"/>
      <c r="AH638" s="1109"/>
      <c r="AI638" s="1109"/>
      <c r="AJ638" s="1110"/>
      <c r="AK638" s="1375"/>
      <c r="AL638" s="1376"/>
      <c r="AM638" s="1376"/>
      <c r="AN638" s="1377"/>
      <c r="AO638" s="1073"/>
      <c r="AP638" s="1073"/>
      <c r="AQ638" s="1073"/>
      <c r="AR638" s="1073"/>
      <c r="AS638" s="1073"/>
      <c r="AT638" s="942" t="str">
        <f t="shared" si="27"/>
        <v/>
      </c>
      <c r="AU638" s="41"/>
      <c r="AV638" s="41"/>
      <c r="AW638" s="41"/>
      <c r="AX638" s="41"/>
      <c r="AY638" s="41"/>
      <c r="AZ638" s="41"/>
      <c r="BN638" s="1265">
        <f>IF(J761="SRO/Studio",O761,0)</f>
        <v>0</v>
      </c>
      <c r="BO638" s="1266"/>
      <c r="BP638" s="1266"/>
      <c r="BQ638" s="1266"/>
      <c r="BR638" s="1267"/>
      <c r="BS638" s="1265">
        <f>IF(J761="1 Bedroom",O761,0)</f>
        <v>0</v>
      </c>
      <c r="BT638" s="1266"/>
      <c r="BU638" s="1266"/>
      <c r="BV638" s="1266"/>
      <c r="BW638" s="1267"/>
      <c r="BX638" s="1265">
        <f>IF(J761="2 Bedrooms",O761,0)</f>
        <v>0</v>
      </c>
      <c r="BY638" s="1266"/>
      <c r="BZ638" s="1266"/>
      <c r="CA638" s="1266"/>
      <c r="CB638" s="1267"/>
      <c r="CC638" s="1265">
        <f>IF(J761="3 Bedrooms",O761,0)</f>
        <v>0</v>
      </c>
      <c r="CD638" s="1266"/>
      <c r="CE638" s="1266"/>
      <c r="CF638" s="1266"/>
      <c r="CG638" s="1267"/>
      <c r="CH638" s="1265">
        <f>IF(J761="4 Bedrooms",O761,0)</f>
        <v>0</v>
      </c>
      <c r="CI638" s="1266"/>
      <c r="CJ638" s="1266"/>
      <c r="CK638" s="1266"/>
      <c r="CL638" s="1267"/>
      <c r="CM638" s="1277">
        <f>IF(J761="5 Bedrooms",O761,0)</f>
        <v>0</v>
      </c>
      <c r="CN638" s="1278"/>
      <c r="CO638" s="1278"/>
      <c r="CP638" s="1278"/>
      <c r="CQ638" s="1279"/>
      <c r="CR638" s="41"/>
      <c r="CS638" s="41"/>
    </row>
    <row r="639" spans="2:126" ht="12.95" customHeight="1">
      <c r="B639" s="58" t="s">
        <v>32</v>
      </c>
      <c r="C639" s="1300"/>
      <c r="D639" s="1300"/>
      <c r="E639" s="1300"/>
      <c r="F639" s="1300"/>
      <c r="G639" s="1300"/>
      <c r="H639" s="1300"/>
      <c r="I639" s="1300"/>
      <c r="J639" s="1300"/>
      <c r="K639" s="1300"/>
      <c r="L639" s="1300"/>
      <c r="M639" s="1384" t="s">
        <v>1965</v>
      </c>
      <c r="N639" s="1384"/>
      <c r="O639" s="1384"/>
      <c r="P639" s="1384"/>
      <c r="Q639" s="1432"/>
      <c r="R639" s="1433"/>
      <c r="S639" s="1434"/>
      <c r="T639" s="1385"/>
      <c r="U639" s="1386"/>
      <c r="V639" s="1387"/>
      <c r="W639" s="1381"/>
      <c r="X639" s="1382"/>
      <c r="Y639" s="1383"/>
      <c r="Z639" s="1423" t="s">
        <v>1965</v>
      </c>
      <c r="AA639" s="1424"/>
      <c r="AB639" s="1425"/>
      <c r="AC639" s="1345"/>
      <c r="AD639" s="1346"/>
      <c r="AE639" s="1347"/>
      <c r="AF639" s="1108"/>
      <c r="AG639" s="1109"/>
      <c r="AH639" s="1109"/>
      <c r="AI639" s="1109"/>
      <c r="AJ639" s="1110"/>
      <c r="AK639" s="1375"/>
      <c r="AL639" s="1376"/>
      <c r="AM639" s="1376"/>
      <c r="AN639" s="1377"/>
      <c r="AO639" s="1073"/>
      <c r="AP639" s="1073"/>
      <c r="AQ639" s="1073"/>
      <c r="AR639" s="1073"/>
      <c r="AS639" s="1073"/>
      <c r="AT639" s="942" t="str">
        <f t="shared" si="27"/>
        <v/>
      </c>
      <c r="AU639" s="41"/>
      <c r="AV639" s="41"/>
      <c r="AW639" s="41"/>
      <c r="AX639" s="41"/>
      <c r="AY639" s="41"/>
      <c r="AZ639" s="41"/>
      <c r="BN639" s="1265">
        <f>IF(J762="SRO/Studio",O762,0)</f>
        <v>0</v>
      </c>
      <c r="BO639" s="1266"/>
      <c r="BP639" s="1266"/>
      <c r="BQ639" s="1266"/>
      <c r="BR639" s="1267"/>
      <c r="BS639" s="1265">
        <f>IF(J762="1 Bedroom",O762,0)</f>
        <v>0</v>
      </c>
      <c r="BT639" s="1266"/>
      <c r="BU639" s="1266"/>
      <c r="BV639" s="1266"/>
      <c r="BW639" s="1267"/>
      <c r="BX639" s="1265">
        <f>IF(J762="2 Bedrooms",O762,0)</f>
        <v>0</v>
      </c>
      <c r="BY639" s="1266"/>
      <c r="BZ639" s="1266"/>
      <c r="CA639" s="1266"/>
      <c r="CB639" s="1267"/>
      <c r="CC639" s="1265">
        <f>IF(J762="3 Bedrooms",O762,0)</f>
        <v>0</v>
      </c>
      <c r="CD639" s="1266"/>
      <c r="CE639" s="1266"/>
      <c r="CF639" s="1266"/>
      <c r="CG639" s="1267"/>
      <c r="CH639" s="1265">
        <f>IF(J762="4 Bedrooms",O762,0)</f>
        <v>0</v>
      </c>
      <c r="CI639" s="1266"/>
      <c r="CJ639" s="1266"/>
      <c r="CK639" s="1266"/>
      <c r="CL639" s="1267"/>
      <c r="CM639" s="1277">
        <f>IF(J762="5 Bedrooms",O762,0)</f>
        <v>0</v>
      </c>
      <c r="CN639" s="1278"/>
      <c r="CO639" s="1278"/>
      <c r="CP639" s="1278"/>
      <c r="CQ639" s="1279"/>
      <c r="CR639" s="41"/>
      <c r="CS639" s="41"/>
    </row>
    <row r="640" spans="2:126" ht="12.95" customHeight="1">
      <c r="B640" s="58" t="s">
        <v>33</v>
      </c>
      <c r="C640" s="1300"/>
      <c r="D640" s="1300"/>
      <c r="E640" s="1300"/>
      <c r="F640" s="1300"/>
      <c r="G640" s="1300"/>
      <c r="H640" s="1300"/>
      <c r="I640" s="1300"/>
      <c r="J640" s="1300"/>
      <c r="K640" s="1300"/>
      <c r="L640" s="1300"/>
      <c r="M640" s="1384" t="s">
        <v>1965</v>
      </c>
      <c r="N640" s="1384"/>
      <c r="O640" s="1384"/>
      <c r="P640" s="1384"/>
      <c r="Q640" s="1432"/>
      <c r="R640" s="1433"/>
      <c r="S640" s="1434"/>
      <c r="T640" s="1385"/>
      <c r="U640" s="1386"/>
      <c r="V640" s="1387"/>
      <c r="W640" s="1381"/>
      <c r="X640" s="1382"/>
      <c r="Y640" s="1383"/>
      <c r="Z640" s="1423" t="s">
        <v>1965</v>
      </c>
      <c r="AA640" s="1424"/>
      <c r="AB640" s="1425"/>
      <c r="AC640" s="1345"/>
      <c r="AD640" s="1346"/>
      <c r="AE640" s="1347"/>
      <c r="AF640" s="1108"/>
      <c r="AG640" s="1109"/>
      <c r="AH640" s="1109"/>
      <c r="AI640" s="1109"/>
      <c r="AJ640" s="1110"/>
      <c r="AK640" s="1375"/>
      <c r="AL640" s="1376"/>
      <c r="AM640" s="1376"/>
      <c r="AN640" s="1377"/>
      <c r="AO640" s="1073"/>
      <c r="AP640" s="1073"/>
      <c r="AQ640" s="1073"/>
      <c r="AR640" s="1073"/>
      <c r="AS640" s="1073"/>
      <c r="AT640" s="942" t="str">
        <f t="shared" si="27"/>
        <v/>
      </c>
      <c r="AU640" s="43"/>
      <c r="AV640" s="43"/>
      <c r="AW640" s="43"/>
      <c r="AX640" s="43"/>
      <c r="AY640" s="43"/>
      <c r="AZ640" s="43"/>
      <c r="BN640" s="1265">
        <f>IF(J763="SRO/Studio",O763,0)</f>
        <v>0</v>
      </c>
      <c r="BO640" s="1266"/>
      <c r="BP640" s="1266"/>
      <c r="BQ640" s="1266"/>
      <c r="BR640" s="1267"/>
      <c r="BS640" s="1265">
        <f>IF(J763="1 Bedroom",O763,0)</f>
        <v>0</v>
      </c>
      <c r="BT640" s="1266"/>
      <c r="BU640" s="1266"/>
      <c r="BV640" s="1266"/>
      <c r="BW640" s="1267"/>
      <c r="BX640" s="1265">
        <f>IF(J763="2 Bedrooms",O763,0)</f>
        <v>0</v>
      </c>
      <c r="BY640" s="1266"/>
      <c r="BZ640" s="1266"/>
      <c r="CA640" s="1266"/>
      <c r="CB640" s="1267"/>
      <c r="CC640" s="1265">
        <f>IF(J763="3 Bedrooms",O763,0)</f>
        <v>0</v>
      </c>
      <c r="CD640" s="1266"/>
      <c r="CE640" s="1266"/>
      <c r="CF640" s="1266"/>
      <c r="CG640" s="1267"/>
      <c r="CH640" s="1265">
        <f>IF(J763="4 Bedrooms",O763,0)</f>
        <v>0</v>
      </c>
      <c r="CI640" s="1266"/>
      <c r="CJ640" s="1266"/>
      <c r="CK640" s="1266"/>
      <c r="CL640" s="1267"/>
      <c r="CM640" s="1277">
        <f>IF(J763="5 Bedrooms",O763,0)</f>
        <v>0</v>
      </c>
      <c r="CN640" s="1278"/>
      <c r="CO640" s="1278"/>
      <c r="CP640" s="1278"/>
      <c r="CQ640" s="1279"/>
      <c r="CR640" s="41"/>
      <c r="CS640" s="41"/>
    </row>
    <row r="641" spans="1:99" ht="12.95" customHeight="1">
      <c r="B641" s="1087" t="s">
        <v>358</v>
      </c>
      <c r="C641" s="1088"/>
      <c r="D641" s="1088"/>
      <c r="E641" s="1088"/>
      <c r="F641" s="1088"/>
      <c r="G641" s="1088"/>
      <c r="H641" s="1088"/>
      <c r="I641" s="1088"/>
      <c r="J641" s="1088"/>
      <c r="K641" s="1088"/>
      <c r="L641" s="1088"/>
      <c r="M641" s="1088"/>
      <c r="N641" s="1088"/>
      <c r="O641" s="1088"/>
      <c r="P641" s="1088"/>
      <c r="Q641" s="1088"/>
      <c r="R641" s="1088"/>
      <c r="S641" s="1088"/>
      <c r="T641" s="1088"/>
      <c r="U641" s="1088"/>
      <c r="V641" s="1088"/>
      <c r="W641" s="1088"/>
      <c r="X641" s="1088"/>
      <c r="Y641" s="1088"/>
      <c r="Z641" s="1088"/>
      <c r="AA641" s="1088"/>
      <c r="AB641" s="1088"/>
      <c r="AC641" s="1088"/>
      <c r="AD641" s="1088"/>
      <c r="AE641" s="1088"/>
      <c r="AF641" s="1088"/>
      <c r="AG641" s="1088"/>
      <c r="AH641" s="1088"/>
      <c r="AI641" s="1088"/>
      <c r="AJ641" s="1088"/>
      <c r="AK641" s="1088"/>
      <c r="AL641" s="1088"/>
      <c r="AM641" s="1088"/>
      <c r="AN641" s="1089"/>
      <c r="AO641" s="1214">
        <f>SUM(AO629:AS640)</f>
        <v>19298003</v>
      </c>
      <c r="AP641" s="1215"/>
      <c r="AQ641" s="1215"/>
      <c r="AR641" s="1215"/>
      <c r="AS641" s="1216"/>
      <c r="AT641" s="43"/>
      <c r="AU641" s="43"/>
      <c r="AV641" s="43"/>
      <c r="AW641" s="43"/>
      <c r="AX641" s="43"/>
      <c r="AY641" s="43"/>
      <c r="AZ641" s="43"/>
      <c r="BN641" s="1271">
        <f>SUM(BN637:BR640)</f>
        <v>0</v>
      </c>
      <c r="BO641" s="1272"/>
      <c r="BP641" s="1272"/>
      <c r="BQ641" s="1272"/>
      <c r="BR641" s="1273"/>
      <c r="BS641" s="1271">
        <f>SUM(BS637:BW640)</f>
        <v>0</v>
      </c>
      <c r="BT641" s="1272"/>
      <c r="BU641" s="1272"/>
      <c r="BV641" s="1272"/>
      <c r="BW641" s="1273"/>
      <c r="BX641" s="1271">
        <f>SUM(BX637:CB640)</f>
        <v>0</v>
      </c>
      <c r="BY641" s="1272"/>
      <c r="BZ641" s="1272"/>
      <c r="CA641" s="1272"/>
      <c r="CB641" s="1273"/>
      <c r="CC641" s="1271">
        <f>SUM(CC637:CG640)</f>
        <v>0</v>
      </c>
      <c r="CD641" s="1272"/>
      <c r="CE641" s="1272"/>
      <c r="CF641" s="1272"/>
      <c r="CG641" s="1273"/>
      <c r="CH641" s="1271">
        <f>SUM(CH637:CL640)</f>
        <v>0</v>
      </c>
      <c r="CI641" s="1272"/>
      <c r="CJ641" s="1272"/>
      <c r="CK641" s="1272"/>
      <c r="CL641" s="1273"/>
      <c r="CM641" s="1271">
        <f>SUM(CM637:CQ640)</f>
        <v>0</v>
      </c>
      <c r="CN641" s="1272"/>
      <c r="CO641" s="1272"/>
      <c r="CP641" s="1272"/>
      <c r="CQ641" s="1273"/>
      <c r="CS641" s="464">
        <f>BN641+BS641+BX641+CC641+CH641+CM641</f>
        <v>0</v>
      </c>
      <c r="CT641" s="63" t="s">
        <v>1969</v>
      </c>
      <c r="CU641" s="41"/>
    </row>
    <row r="642" spans="1:99" ht="12.95" customHeight="1">
      <c r="B642" s="1087" t="s">
        <v>359</v>
      </c>
      <c r="C642" s="1088"/>
      <c r="D642" s="1088"/>
      <c r="E642" s="1088"/>
      <c r="F642" s="1088"/>
      <c r="G642" s="1088"/>
      <c r="H642" s="1088"/>
      <c r="I642" s="1088"/>
      <c r="J642" s="1088"/>
      <c r="K642" s="1088"/>
      <c r="L642" s="1088"/>
      <c r="M642" s="1088"/>
      <c r="N642" s="1088"/>
      <c r="O642" s="1088"/>
      <c r="P642" s="1088"/>
      <c r="Q642" s="1088"/>
      <c r="R642" s="1088"/>
      <c r="S642" s="1088"/>
      <c r="T642" s="1088"/>
      <c r="U642" s="1088"/>
      <c r="V642" s="1088"/>
      <c r="W642" s="1088"/>
      <c r="X642" s="1088"/>
      <c r="Y642" s="1088"/>
      <c r="Z642" s="1088"/>
      <c r="AA642" s="1088"/>
      <c r="AB642" s="1088"/>
      <c r="AC642" s="1088"/>
      <c r="AD642" s="1088"/>
      <c r="AE642" s="1088"/>
      <c r="AF642" s="1088"/>
      <c r="AG642" s="1088"/>
      <c r="AH642" s="1088"/>
      <c r="AI642" s="1088"/>
      <c r="AJ642" s="1088"/>
      <c r="AK642" s="1088"/>
      <c r="AL642" s="1088"/>
      <c r="AM642" s="1088"/>
      <c r="AN642" s="1089"/>
      <c r="AO642" s="1065">
        <f>[2]budgets!$C$17-[2]budgets!$C$119</f>
        <v>22385497</v>
      </c>
      <c r="AP642" s="1061"/>
      <c r="AQ642" s="1061"/>
      <c r="AR642" s="1061"/>
      <c r="AS642" s="1062"/>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44" t="s">
        <v>940</v>
      </c>
      <c r="C643" s="1413"/>
      <c r="D643" s="1413"/>
      <c r="E643" s="1413"/>
      <c r="F643" s="1413"/>
      <c r="G643" s="1413"/>
      <c r="H643" s="1413"/>
      <c r="I643" s="1413"/>
      <c r="J643" s="1413"/>
      <c r="K643" s="1413"/>
      <c r="L643" s="1413"/>
      <c r="M643" s="1413"/>
      <c r="N643" s="1413"/>
      <c r="O643" s="1413"/>
      <c r="P643" s="1413"/>
      <c r="Q643" s="1413"/>
      <c r="R643" s="1413"/>
      <c r="S643" s="1413"/>
      <c r="T643" s="1413"/>
      <c r="U643" s="1413"/>
      <c r="V643" s="1413"/>
      <c r="W643" s="1413"/>
      <c r="X643" s="1413"/>
      <c r="Y643" s="1413"/>
      <c r="Z643" s="1413"/>
      <c r="AA643" s="1413"/>
      <c r="AB643" s="1413"/>
      <c r="AC643" s="1413"/>
      <c r="AD643" s="1413"/>
      <c r="AE643" s="1413"/>
      <c r="AF643" s="1413"/>
      <c r="AG643" s="1413"/>
      <c r="AH643" s="1413"/>
      <c r="AI643" s="1413"/>
      <c r="AJ643" s="1413"/>
      <c r="AK643" s="1413"/>
      <c r="AL643" s="1413"/>
      <c r="AM643" s="1413"/>
      <c r="AN643" s="1445"/>
      <c r="AO643" s="1214">
        <f>AO641+AO642</f>
        <v>41683500</v>
      </c>
      <c r="AP643" s="1215"/>
      <c r="AQ643" s="1215"/>
      <c r="AR643" s="1215"/>
      <c r="AS643" s="1216"/>
      <c r="AT643" s="43"/>
      <c r="AU643" s="43"/>
      <c r="AV643" s="43"/>
      <c r="AW643" s="43"/>
      <c r="AX643" s="43"/>
      <c r="AY643" s="43"/>
      <c r="AZ643" s="43"/>
      <c r="BN643" s="1265">
        <f t="shared" ref="BN643:BN652" si="32">IF(J774="SRO/Studio",O774,0)</f>
        <v>0</v>
      </c>
      <c r="BO643" s="1266"/>
      <c r="BP643" s="1266"/>
      <c r="BQ643" s="1266"/>
      <c r="BR643" s="1267"/>
      <c r="BS643" s="1265">
        <f t="shared" ref="BS643:BS652" si="33">IF(J774="1 Bedroom",O774,0)</f>
        <v>0</v>
      </c>
      <c r="BT643" s="1266"/>
      <c r="BU643" s="1266"/>
      <c r="BV643" s="1266"/>
      <c r="BW643" s="1267"/>
      <c r="BX643" s="1265">
        <f t="shared" ref="BX643:BX652" si="34">IF(J774="2 Bedrooms",O774,0)</f>
        <v>0</v>
      </c>
      <c r="BY643" s="1266"/>
      <c r="BZ643" s="1266"/>
      <c r="CA643" s="1266"/>
      <c r="CB643" s="1267"/>
      <c r="CC643" s="1265">
        <f t="shared" ref="CC643:CC652" si="35">IF(J774="3 Bedrooms",O774,0)</f>
        <v>0</v>
      </c>
      <c r="CD643" s="1266"/>
      <c r="CE643" s="1266"/>
      <c r="CF643" s="1266"/>
      <c r="CG643" s="1267"/>
      <c r="CH643" s="1265">
        <f t="shared" ref="CH643:CH652" si="36">IF(J774="4 Bedrooms",O774,0)</f>
        <v>0</v>
      </c>
      <c r="CI643" s="1266"/>
      <c r="CJ643" s="1266"/>
      <c r="CK643" s="1266"/>
      <c r="CL643" s="1267"/>
      <c r="CM643" s="1265">
        <f t="shared" ref="CM643:CM652" si="37">IF(J774="5 Bedrooms",O774,0)</f>
        <v>0</v>
      </c>
      <c r="CN643" s="1266"/>
      <c r="CO643" s="1266"/>
      <c r="CP643" s="1266"/>
      <c r="CQ643" s="1267"/>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5">
        <f t="shared" si="32"/>
        <v>0</v>
      </c>
      <c r="BO644" s="1266"/>
      <c r="BP644" s="1266"/>
      <c r="BQ644" s="1266"/>
      <c r="BR644" s="1267"/>
      <c r="BS644" s="1265">
        <f t="shared" si="33"/>
        <v>0</v>
      </c>
      <c r="BT644" s="1266"/>
      <c r="BU644" s="1266"/>
      <c r="BV644" s="1266"/>
      <c r="BW644" s="1267"/>
      <c r="BX644" s="1265">
        <f t="shared" si="34"/>
        <v>0</v>
      </c>
      <c r="BY644" s="1266"/>
      <c r="BZ644" s="1266"/>
      <c r="CA644" s="1266"/>
      <c r="CB644" s="1267"/>
      <c r="CC644" s="1265">
        <f t="shared" si="35"/>
        <v>0</v>
      </c>
      <c r="CD644" s="1266"/>
      <c r="CE644" s="1266"/>
      <c r="CF644" s="1266"/>
      <c r="CG644" s="1267"/>
      <c r="CH644" s="1265">
        <f t="shared" si="36"/>
        <v>0</v>
      </c>
      <c r="CI644" s="1266"/>
      <c r="CJ644" s="1266"/>
      <c r="CK644" s="1266"/>
      <c r="CL644" s="1267"/>
      <c r="CM644" s="1265">
        <f t="shared" si="37"/>
        <v>0</v>
      </c>
      <c r="CN644" s="1266"/>
      <c r="CO644" s="1266"/>
      <c r="CP644" s="1266"/>
      <c r="CQ644" s="1267"/>
      <c r="CR644" s="41"/>
      <c r="CS644" s="41"/>
    </row>
    <row r="645" spans="1:99" ht="12.95" customHeight="1">
      <c r="A645" s="61" t="s">
        <v>900</v>
      </c>
      <c r="B645" t="s">
        <v>82</v>
      </c>
      <c r="C645"/>
      <c r="G645" s="1263" t="str">
        <f>C629</f>
        <v>Perm loan</v>
      </c>
      <c r="H645" s="1263"/>
      <c r="I645" s="1263"/>
      <c r="J645" s="1263"/>
      <c r="K645" s="1263"/>
      <c r="L645" s="1263"/>
      <c r="M645" s="1263"/>
      <c r="N645" s="1263"/>
      <c r="O645" s="1263"/>
      <c r="P645" s="1263"/>
      <c r="Q645" s="1263"/>
      <c r="R645" s="1263"/>
      <c r="S645" s="12"/>
      <c r="T645" s="61" t="s">
        <v>901</v>
      </c>
      <c r="U645" t="s">
        <v>82</v>
      </c>
      <c r="Z645" s="1263" t="str">
        <f>C630</f>
        <v>Land donation via lease</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N645" s="1265">
        <f t="shared" si="32"/>
        <v>0</v>
      </c>
      <c r="BO645" s="1266"/>
      <c r="BP645" s="1266"/>
      <c r="BQ645" s="1266"/>
      <c r="BR645" s="1267"/>
      <c r="BS645" s="1265">
        <f t="shared" si="33"/>
        <v>0</v>
      </c>
      <c r="BT645" s="1266"/>
      <c r="BU645" s="1266"/>
      <c r="BV645" s="1266"/>
      <c r="BW645" s="1267"/>
      <c r="BX645" s="1265">
        <f t="shared" si="34"/>
        <v>0</v>
      </c>
      <c r="BY645" s="1266"/>
      <c r="BZ645" s="1266"/>
      <c r="CA645" s="1266"/>
      <c r="CB645" s="1267"/>
      <c r="CC645" s="1265">
        <f t="shared" si="35"/>
        <v>0</v>
      </c>
      <c r="CD645" s="1266"/>
      <c r="CE645" s="1266"/>
      <c r="CF645" s="1266"/>
      <c r="CG645" s="1267"/>
      <c r="CH645" s="1265">
        <f t="shared" si="36"/>
        <v>0</v>
      </c>
      <c r="CI645" s="1266"/>
      <c r="CJ645" s="1266"/>
      <c r="CK645" s="1266"/>
      <c r="CL645" s="1267"/>
      <c r="CM645" s="1265">
        <f t="shared" si="37"/>
        <v>0</v>
      </c>
      <c r="CN645" s="1266"/>
      <c r="CO645" s="1266"/>
      <c r="CP645" s="1266"/>
      <c r="CQ645" s="1267"/>
      <c r="CR645" s="41"/>
      <c r="CS645" s="41"/>
    </row>
    <row r="646" spans="1:99" ht="12.95" customHeight="1">
      <c r="A646" s="4"/>
      <c r="B646" t="s">
        <v>372</v>
      </c>
      <c r="C646"/>
      <c r="G646" s="1150" t="str">
        <f>G572</f>
        <v>1307 Washington Ave</v>
      </c>
      <c r="H646" s="1150"/>
      <c r="I646" s="1150"/>
      <c r="J646" s="1150"/>
      <c r="K646" s="1150"/>
      <c r="L646" s="1150"/>
      <c r="M646" s="1150"/>
      <c r="N646" s="1150"/>
      <c r="O646" s="1150"/>
      <c r="P646" s="1150"/>
      <c r="Q646" s="1150"/>
      <c r="R646" s="1150"/>
      <c r="S646" s="12"/>
      <c r="T646" s="4"/>
      <c r="U646" t="s">
        <v>372</v>
      </c>
      <c r="Z646" s="1150" t="str">
        <f>Z572</f>
        <v>701 Atlantic Avenue</v>
      </c>
      <c r="AA646" s="1150"/>
      <c r="AB646" s="1150"/>
      <c r="AC646" s="1150"/>
      <c r="AD646" s="1150"/>
      <c r="AE646" s="1150"/>
      <c r="AF646" s="1150"/>
      <c r="AG646" s="1150"/>
      <c r="AH646" s="1150"/>
      <c r="AI646" s="1150"/>
      <c r="AJ646" s="1150"/>
      <c r="AK646" s="1150"/>
      <c r="AM646" s="43"/>
      <c r="AN646" s="43"/>
      <c r="AO646" s="43"/>
      <c r="AP646" s="43"/>
      <c r="AQ646" s="43"/>
      <c r="AR646" s="43"/>
      <c r="AS646" s="43"/>
      <c r="AT646" s="43"/>
      <c r="AU646" s="43"/>
      <c r="AV646" s="43"/>
      <c r="AW646" s="43"/>
      <c r="AX646" s="43"/>
      <c r="AY646" s="43"/>
      <c r="AZ646" s="43"/>
      <c r="BN646" s="1265">
        <f t="shared" si="32"/>
        <v>0</v>
      </c>
      <c r="BO646" s="1266"/>
      <c r="BP646" s="1266"/>
      <c r="BQ646" s="1266"/>
      <c r="BR646" s="1267"/>
      <c r="BS646" s="1265">
        <f t="shared" si="33"/>
        <v>0</v>
      </c>
      <c r="BT646" s="1266"/>
      <c r="BU646" s="1266"/>
      <c r="BV646" s="1266"/>
      <c r="BW646" s="1267"/>
      <c r="BX646" s="1265">
        <f t="shared" si="34"/>
        <v>0</v>
      </c>
      <c r="BY646" s="1266"/>
      <c r="BZ646" s="1266"/>
      <c r="CA646" s="1266"/>
      <c r="CB646" s="1267"/>
      <c r="CC646" s="1265">
        <f t="shared" si="35"/>
        <v>0</v>
      </c>
      <c r="CD646" s="1266"/>
      <c r="CE646" s="1266"/>
      <c r="CF646" s="1266"/>
      <c r="CG646" s="1267"/>
      <c r="CH646" s="1265">
        <f t="shared" si="36"/>
        <v>0</v>
      </c>
      <c r="CI646" s="1266"/>
      <c r="CJ646" s="1266"/>
      <c r="CK646" s="1266"/>
      <c r="CL646" s="1267"/>
      <c r="CM646" s="1265">
        <f t="shared" si="37"/>
        <v>0</v>
      </c>
      <c r="CN646" s="1266"/>
      <c r="CO646" s="1266"/>
      <c r="CP646" s="1266"/>
      <c r="CQ646" s="1267"/>
      <c r="CR646" s="41"/>
      <c r="CS646" s="41"/>
    </row>
    <row r="647" spans="1:99" ht="12.95" customHeight="1">
      <c r="A647" s="4"/>
      <c r="B647" t="s">
        <v>430</v>
      </c>
      <c r="C647"/>
      <c r="G647" s="1150" t="str">
        <f t="shared" ref="G647:G648" si="38">G573</f>
        <v>St. Louis Missouri</v>
      </c>
      <c r="H647" s="1150"/>
      <c r="I647" s="1150"/>
      <c r="J647" s="1150"/>
      <c r="K647" s="1150"/>
      <c r="L647" s="1150"/>
      <c r="M647" s="1150"/>
      <c r="N647" s="1150"/>
      <c r="O647" s="1150"/>
      <c r="P647" s="1150"/>
      <c r="Q647" s="1150"/>
      <c r="R647" s="1150"/>
      <c r="T647" s="4"/>
      <c r="U647" t="s">
        <v>430</v>
      </c>
      <c r="Z647" s="1261" t="str">
        <f t="shared" ref="Z647:Z648" si="39">Z573</f>
        <v>Alameda</v>
      </c>
      <c r="AA647" s="1261"/>
      <c r="AB647" s="1261"/>
      <c r="AC647" s="1261"/>
      <c r="AD647" s="1261"/>
      <c r="AE647" s="1261"/>
      <c r="AF647" s="1261"/>
      <c r="AG647" s="1261"/>
      <c r="AH647" s="1261"/>
      <c r="AI647" s="1261"/>
      <c r="AJ647" s="1261"/>
      <c r="AK647" s="1261"/>
      <c r="AM647" s="43"/>
      <c r="AN647" s="43"/>
      <c r="AO647" s="43"/>
      <c r="AP647" s="43"/>
      <c r="AQ647" s="43"/>
      <c r="AR647" s="43"/>
      <c r="AS647" s="43"/>
      <c r="AT647" s="43"/>
      <c r="AU647" s="43"/>
      <c r="AV647" s="43"/>
      <c r="AW647" s="43"/>
      <c r="AX647" s="43"/>
      <c r="AY647" s="43"/>
      <c r="AZ647" s="43"/>
      <c r="BN647" s="1265">
        <f t="shared" si="32"/>
        <v>0</v>
      </c>
      <c r="BO647" s="1266"/>
      <c r="BP647" s="1266"/>
      <c r="BQ647" s="1266"/>
      <c r="BR647" s="1267"/>
      <c r="BS647" s="1265">
        <f t="shared" si="33"/>
        <v>0</v>
      </c>
      <c r="BT647" s="1266"/>
      <c r="BU647" s="1266"/>
      <c r="BV647" s="1266"/>
      <c r="BW647" s="1267"/>
      <c r="BX647" s="1265">
        <f t="shared" si="34"/>
        <v>0</v>
      </c>
      <c r="BY647" s="1266"/>
      <c r="BZ647" s="1266"/>
      <c r="CA647" s="1266"/>
      <c r="CB647" s="1267"/>
      <c r="CC647" s="1265">
        <f t="shared" si="35"/>
        <v>0</v>
      </c>
      <c r="CD647" s="1266"/>
      <c r="CE647" s="1266"/>
      <c r="CF647" s="1266"/>
      <c r="CG647" s="1267"/>
      <c r="CH647" s="1265">
        <f t="shared" si="36"/>
        <v>0</v>
      </c>
      <c r="CI647" s="1266"/>
      <c r="CJ647" s="1266"/>
      <c r="CK647" s="1266"/>
      <c r="CL647" s="1267"/>
      <c r="CM647" s="1265">
        <f t="shared" si="37"/>
        <v>0</v>
      </c>
      <c r="CN647" s="1266"/>
      <c r="CO647" s="1266"/>
      <c r="CP647" s="1266"/>
      <c r="CQ647" s="1267"/>
      <c r="CR647" s="41"/>
      <c r="CS647" s="41"/>
    </row>
    <row r="648" spans="1:99" ht="12.95" customHeight="1">
      <c r="A648" s="4"/>
      <c r="B648" t="s">
        <v>833</v>
      </c>
      <c r="C648"/>
      <c r="G648" s="1150" t="str">
        <f t="shared" si="38"/>
        <v>Joshua Evju</v>
      </c>
      <c r="H648" s="1150"/>
      <c r="I648" s="1150"/>
      <c r="J648" s="1150"/>
      <c r="K648" s="1150"/>
      <c r="L648" s="1150"/>
      <c r="M648" s="1150"/>
      <c r="N648" s="1150"/>
      <c r="O648" s="1150"/>
      <c r="P648" s="1150"/>
      <c r="Q648" s="1150"/>
      <c r="R648" s="1150"/>
      <c r="S648" s="12"/>
      <c r="T648" s="4"/>
      <c r="U648" t="s">
        <v>833</v>
      </c>
      <c r="Z648" s="1261" t="str">
        <f t="shared" si="39"/>
        <v>Vanessa Cooper</v>
      </c>
      <c r="AA648" s="1261"/>
      <c r="AB648" s="1261"/>
      <c r="AC648" s="1261"/>
      <c r="AD648" s="1261"/>
      <c r="AE648" s="1261"/>
      <c r="AF648" s="1261"/>
      <c r="AG648" s="1261"/>
      <c r="AH648" s="1261"/>
      <c r="AI648" s="1261"/>
      <c r="AJ648" s="1261"/>
      <c r="AK648" s="1261"/>
      <c r="AM648" s="43"/>
      <c r="AN648" s="43"/>
      <c r="AO648" s="43"/>
      <c r="AP648" s="43"/>
      <c r="AQ648" s="43"/>
      <c r="AR648" s="43"/>
      <c r="AS648" s="43"/>
      <c r="AT648" s="43"/>
      <c r="AU648" s="43"/>
      <c r="AV648" s="43"/>
      <c r="AW648" s="43"/>
      <c r="AX648" s="43"/>
      <c r="AY648" s="43"/>
      <c r="AZ648" s="43"/>
      <c r="BN648" s="1265">
        <f t="shared" si="32"/>
        <v>0</v>
      </c>
      <c r="BO648" s="1266"/>
      <c r="BP648" s="1266"/>
      <c r="BQ648" s="1266"/>
      <c r="BR648" s="1267"/>
      <c r="BS648" s="1265">
        <f t="shared" si="33"/>
        <v>0</v>
      </c>
      <c r="BT648" s="1266"/>
      <c r="BU648" s="1266"/>
      <c r="BV648" s="1266"/>
      <c r="BW648" s="1267"/>
      <c r="BX648" s="1265">
        <f t="shared" si="34"/>
        <v>0</v>
      </c>
      <c r="BY648" s="1266"/>
      <c r="BZ648" s="1266"/>
      <c r="CA648" s="1266"/>
      <c r="CB648" s="1267"/>
      <c r="CC648" s="1265">
        <f t="shared" si="35"/>
        <v>0</v>
      </c>
      <c r="CD648" s="1266"/>
      <c r="CE648" s="1266"/>
      <c r="CF648" s="1266"/>
      <c r="CG648" s="1267"/>
      <c r="CH648" s="1265">
        <f t="shared" si="36"/>
        <v>0</v>
      </c>
      <c r="CI648" s="1266"/>
      <c r="CJ648" s="1266"/>
      <c r="CK648" s="1266"/>
      <c r="CL648" s="1267"/>
      <c r="CM648" s="1265">
        <f t="shared" si="37"/>
        <v>0</v>
      </c>
      <c r="CN648" s="1266"/>
      <c r="CO648" s="1266"/>
      <c r="CP648" s="1266"/>
      <c r="CQ648" s="1267"/>
      <c r="CR648" s="41"/>
      <c r="CS648" s="41"/>
    </row>
    <row r="649" spans="1:99" ht="12.95" customHeight="1">
      <c r="A649" s="4"/>
      <c r="B649" t="s">
        <v>650</v>
      </c>
      <c r="C649"/>
      <c r="G649" s="1264" t="str">
        <f>G575</f>
        <v>314-662-7533</v>
      </c>
      <c r="H649" s="1264"/>
      <c r="I649" s="1264"/>
      <c r="J649" s="1264"/>
      <c r="K649" s="1264"/>
      <c r="L649" s="1264"/>
      <c r="O649" s="42" t="s">
        <v>818</v>
      </c>
      <c r="P649" s="1262"/>
      <c r="Q649" s="1262"/>
      <c r="R649" s="1262"/>
      <c r="S649" s="14"/>
      <c r="T649" s="4"/>
      <c r="U649" t="s">
        <v>650</v>
      </c>
      <c r="Z649" s="1264" t="str">
        <f>Z575</f>
        <v>510-747-4300</v>
      </c>
      <c r="AA649" s="1264"/>
      <c r="AB649" s="1264"/>
      <c r="AC649" s="1264"/>
      <c r="AD649" s="1264"/>
      <c r="AE649" s="1264"/>
      <c r="AH649" s="42" t="s">
        <v>818</v>
      </c>
      <c r="AI649" s="1262"/>
      <c r="AJ649" s="1262"/>
      <c r="AK649" s="1262"/>
      <c r="AM649" s="43"/>
      <c r="AN649" s="43"/>
      <c r="AO649" s="43"/>
      <c r="AP649" s="43"/>
      <c r="AQ649" s="43"/>
      <c r="AR649" s="43"/>
      <c r="AS649" s="43"/>
      <c r="AT649" s="43"/>
      <c r="AU649" s="43"/>
      <c r="AV649" s="43"/>
      <c r="AW649" s="43"/>
      <c r="AX649" s="43"/>
      <c r="AY649" s="43"/>
      <c r="AZ649" s="43"/>
      <c r="BN649" s="1265">
        <f t="shared" si="32"/>
        <v>0</v>
      </c>
      <c r="BO649" s="1266"/>
      <c r="BP649" s="1266"/>
      <c r="BQ649" s="1266"/>
      <c r="BR649" s="1267"/>
      <c r="BS649" s="1265">
        <f t="shared" si="33"/>
        <v>0</v>
      </c>
      <c r="BT649" s="1266"/>
      <c r="BU649" s="1266"/>
      <c r="BV649" s="1266"/>
      <c r="BW649" s="1267"/>
      <c r="BX649" s="1265">
        <f t="shared" si="34"/>
        <v>0</v>
      </c>
      <c r="BY649" s="1266"/>
      <c r="BZ649" s="1266"/>
      <c r="CA649" s="1266"/>
      <c r="CB649" s="1267"/>
      <c r="CC649" s="1265">
        <f t="shared" si="35"/>
        <v>0</v>
      </c>
      <c r="CD649" s="1266"/>
      <c r="CE649" s="1266"/>
      <c r="CF649" s="1266"/>
      <c r="CG649" s="1267"/>
      <c r="CH649" s="1265">
        <f t="shared" si="36"/>
        <v>0</v>
      </c>
      <c r="CI649" s="1266"/>
      <c r="CJ649" s="1266"/>
      <c r="CK649" s="1266"/>
      <c r="CL649" s="1267"/>
      <c r="CM649" s="1265">
        <f t="shared" si="37"/>
        <v>0</v>
      </c>
      <c r="CN649" s="1266"/>
      <c r="CO649" s="1266"/>
      <c r="CP649" s="1266"/>
      <c r="CQ649" s="1267"/>
      <c r="CR649" s="41"/>
      <c r="CS649" s="41"/>
    </row>
    <row r="650" spans="1:99" ht="12.95" customHeight="1">
      <c r="A650" s="4"/>
      <c r="B650" t="s">
        <v>834</v>
      </c>
      <c r="C650"/>
      <c r="H650" s="1150" t="s">
        <v>2454</v>
      </c>
      <c r="I650" s="1150"/>
      <c r="J650" s="1150"/>
      <c r="K650" s="1150"/>
      <c r="L650" s="1150"/>
      <c r="M650" s="1150"/>
      <c r="N650" s="1150"/>
      <c r="O650" s="1150"/>
      <c r="P650" s="1150"/>
      <c r="Q650" s="1150"/>
      <c r="R650" s="1150"/>
      <c r="S650" s="12"/>
      <c r="T650" s="4"/>
      <c r="U650" t="s">
        <v>834</v>
      </c>
      <c r="AA650" s="1150" t="s">
        <v>2455</v>
      </c>
      <c r="AB650" s="1150"/>
      <c r="AC650" s="1150"/>
      <c r="AD650" s="1150"/>
      <c r="AE650" s="1150"/>
      <c r="AF650" s="1150"/>
      <c r="AG650" s="1150"/>
      <c r="AH650" s="1150"/>
      <c r="AI650" s="1150"/>
      <c r="AJ650" s="1150"/>
      <c r="AK650" s="1150"/>
      <c r="AM650" s="43"/>
      <c r="AN650" s="43"/>
      <c r="AO650" s="43"/>
      <c r="AP650" s="43"/>
      <c r="AQ650" s="43"/>
      <c r="AR650" s="43"/>
      <c r="AS650" s="43"/>
      <c r="AT650" s="43"/>
      <c r="AU650" s="43"/>
      <c r="AV650" s="43"/>
      <c r="AW650" s="43"/>
      <c r="AX650" s="43"/>
      <c r="AY650" s="43"/>
      <c r="AZ650" s="43"/>
      <c r="BN650" s="1265">
        <f t="shared" si="32"/>
        <v>0</v>
      </c>
      <c r="BO650" s="1266"/>
      <c r="BP650" s="1266"/>
      <c r="BQ650" s="1266"/>
      <c r="BR650" s="1267"/>
      <c r="BS650" s="1265">
        <f t="shared" si="33"/>
        <v>0</v>
      </c>
      <c r="BT650" s="1266"/>
      <c r="BU650" s="1266"/>
      <c r="BV650" s="1266"/>
      <c r="BW650" s="1267"/>
      <c r="BX650" s="1265">
        <f t="shared" si="34"/>
        <v>0</v>
      </c>
      <c r="BY650" s="1266"/>
      <c r="BZ650" s="1266"/>
      <c r="CA650" s="1266"/>
      <c r="CB650" s="1267"/>
      <c r="CC650" s="1265">
        <f t="shared" si="35"/>
        <v>0</v>
      </c>
      <c r="CD650" s="1266"/>
      <c r="CE650" s="1266"/>
      <c r="CF650" s="1266"/>
      <c r="CG650" s="1267"/>
      <c r="CH650" s="1265">
        <f t="shared" si="36"/>
        <v>0</v>
      </c>
      <c r="CI650" s="1266"/>
      <c r="CJ650" s="1266"/>
      <c r="CK650" s="1266"/>
      <c r="CL650" s="1267"/>
      <c r="CM650" s="1265">
        <f t="shared" si="37"/>
        <v>0</v>
      </c>
      <c r="CN650" s="1266"/>
      <c r="CO650" s="1266"/>
      <c r="CP650" s="1266"/>
      <c r="CQ650" s="1267"/>
      <c r="CR650" s="41"/>
      <c r="CS650" s="41"/>
    </row>
    <row r="651" spans="1:99" ht="12.95" customHeight="1">
      <c r="A651" s="5"/>
      <c r="B651" t="s">
        <v>836</v>
      </c>
      <c r="C651"/>
      <c r="N651" s="1141" t="s">
        <v>108</v>
      </c>
      <c r="O651" s="1141"/>
      <c r="T651" s="4"/>
      <c r="U651" t="s">
        <v>836</v>
      </c>
      <c r="AG651" s="1141" t="s">
        <v>108</v>
      </c>
      <c r="AH651" s="1141"/>
      <c r="AM651" s="43"/>
      <c r="AN651" s="43"/>
      <c r="AO651" s="43"/>
      <c r="AP651" s="43"/>
      <c r="AQ651" s="43"/>
      <c r="AR651" s="43"/>
      <c r="AS651" s="43"/>
      <c r="AT651" s="43"/>
      <c r="AU651" s="43"/>
      <c r="AV651" s="43"/>
      <c r="AW651" s="43"/>
      <c r="AX651" s="43"/>
      <c r="AY651" s="43"/>
      <c r="AZ651" s="43"/>
      <c r="BA651" s="43"/>
      <c r="BB651" s="41"/>
      <c r="BC651" s="41"/>
      <c r="BD651" s="41"/>
      <c r="BN651" s="1265">
        <f t="shared" si="32"/>
        <v>0</v>
      </c>
      <c r="BO651" s="1266"/>
      <c r="BP651" s="1266"/>
      <c r="BQ651" s="1266"/>
      <c r="BR651" s="1267"/>
      <c r="BS651" s="1265">
        <f t="shared" si="33"/>
        <v>0</v>
      </c>
      <c r="BT651" s="1266"/>
      <c r="BU651" s="1266"/>
      <c r="BV651" s="1266"/>
      <c r="BW651" s="1267"/>
      <c r="BX651" s="1265">
        <f t="shared" si="34"/>
        <v>0</v>
      </c>
      <c r="BY651" s="1266"/>
      <c r="BZ651" s="1266"/>
      <c r="CA651" s="1266"/>
      <c r="CB651" s="1267"/>
      <c r="CC651" s="1265">
        <f t="shared" si="35"/>
        <v>0</v>
      </c>
      <c r="CD651" s="1266"/>
      <c r="CE651" s="1266"/>
      <c r="CF651" s="1266"/>
      <c r="CG651" s="1267"/>
      <c r="CH651" s="1265">
        <f t="shared" si="36"/>
        <v>0</v>
      </c>
      <c r="CI651" s="1266"/>
      <c r="CJ651" s="1266"/>
      <c r="CK651" s="1266"/>
      <c r="CL651" s="1267"/>
      <c r="CM651" s="1265">
        <f t="shared" si="37"/>
        <v>0</v>
      </c>
      <c r="CN651" s="1266"/>
      <c r="CO651" s="1266"/>
      <c r="CP651" s="1266"/>
      <c r="CQ651" s="1267"/>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5">
        <f t="shared" si="32"/>
        <v>0</v>
      </c>
      <c r="BO652" s="1266"/>
      <c r="BP652" s="1266"/>
      <c r="BQ652" s="1266"/>
      <c r="BR652" s="1267"/>
      <c r="BS652" s="1265">
        <f t="shared" si="33"/>
        <v>0</v>
      </c>
      <c r="BT652" s="1266"/>
      <c r="BU652" s="1266"/>
      <c r="BV652" s="1266"/>
      <c r="BW652" s="1267"/>
      <c r="BX652" s="1265">
        <f t="shared" si="34"/>
        <v>0</v>
      </c>
      <c r="BY652" s="1266"/>
      <c r="BZ652" s="1266"/>
      <c r="CA652" s="1266"/>
      <c r="CB652" s="1267"/>
      <c r="CC652" s="1265">
        <f t="shared" si="35"/>
        <v>0</v>
      </c>
      <c r="CD652" s="1266"/>
      <c r="CE652" s="1266"/>
      <c r="CF652" s="1266"/>
      <c r="CG652" s="1267"/>
      <c r="CH652" s="1265">
        <f t="shared" si="36"/>
        <v>0</v>
      </c>
      <c r="CI652" s="1266"/>
      <c r="CJ652" s="1266"/>
      <c r="CK652" s="1266"/>
      <c r="CL652" s="1267"/>
      <c r="CM652" s="1265">
        <f t="shared" si="37"/>
        <v>0</v>
      </c>
      <c r="CN652" s="1266"/>
      <c r="CO652" s="1266"/>
      <c r="CP652" s="1266"/>
      <c r="CQ652" s="1267"/>
      <c r="CR652" s="41"/>
      <c r="CS652" s="41"/>
    </row>
    <row r="653" spans="1:99" ht="12.95" customHeight="1">
      <c r="A653" s="61" t="s">
        <v>907</v>
      </c>
      <c r="B653" t="s">
        <v>82</v>
      </c>
      <c r="C653"/>
      <c r="G653" s="1263" t="str">
        <f>C631</f>
        <v>HCD- NHTF</v>
      </c>
      <c r="H653" s="1263"/>
      <c r="I653" s="1263"/>
      <c r="J653" s="1263"/>
      <c r="K653" s="1263"/>
      <c r="L653" s="1263"/>
      <c r="M653" s="1263"/>
      <c r="N653" s="1263"/>
      <c r="O653" s="1263"/>
      <c r="P653" s="1263"/>
      <c r="Q653" s="1263"/>
      <c r="R653" s="1263"/>
      <c r="T653" s="61" t="s">
        <v>431</v>
      </c>
      <c r="U653" t="s">
        <v>82</v>
      </c>
      <c r="Z653" s="1263" t="str">
        <f>C632</f>
        <v>Alameda Affordable Housing Trust Fund/AAHC</v>
      </c>
      <c r="AA653" s="1263"/>
      <c r="AB653" s="1263"/>
      <c r="AC653" s="1263"/>
      <c r="AD653" s="1263"/>
      <c r="AE653" s="1263"/>
      <c r="AF653" s="1263"/>
      <c r="AG653" s="1263"/>
      <c r="AH653" s="1263"/>
      <c r="AI653" s="1263"/>
      <c r="AJ653" s="1263"/>
      <c r="AK653" s="1263"/>
      <c r="AM653" s="43"/>
      <c r="AN653" s="43"/>
      <c r="AO653" s="43"/>
      <c r="AP653" s="43"/>
      <c r="AQ653" s="43"/>
      <c r="AR653" s="43"/>
      <c r="AS653" s="43"/>
      <c r="AT653" s="43"/>
      <c r="AU653" s="43"/>
      <c r="AV653" s="43"/>
      <c r="AW653" s="43"/>
      <c r="AX653" s="43"/>
      <c r="AY653" s="43"/>
      <c r="AZ653" s="43"/>
      <c r="BA653" s="43"/>
      <c r="BB653" s="41"/>
      <c r="BC653" s="41"/>
      <c r="BD653" s="41"/>
      <c r="BN653" s="1271">
        <f>SUM(BN643:BR652)</f>
        <v>0</v>
      </c>
      <c r="BO653" s="1272"/>
      <c r="BP653" s="1272"/>
      <c r="BQ653" s="1272"/>
      <c r="BR653" s="1273"/>
      <c r="BS653" s="1271">
        <f>SUM(BS643:BW652)</f>
        <v>0</v>
      </c>
      <c r="BT653" s="1272"/>
      <c r="BU653" s="1272"/>
      <c r="BV653" s="1272"/>
      <c r="BW653" s="1273"/>
      <c r="BX653" s="1271">
        <f>SUM(BX643:CB652)</f>
        <v>0</v>
      </c>
      <c r="BY653" s="1272"/>
      <c r="BZ653" s="1272"/>
      <c r="CA653" s="1272"/>
      <c r="CB653" s="1273"/>
      <c r="CC653" s="1271">
        <f>SUM(CC643:CG652)</f>
        <v>0</v>
      </c>
      <c r="CD653" s="1272"/>
      <c r="CE653" s="1272"/>
      <c r="CF653" s="1272"/>
      <c r="CG653" s="1273"/>
      <c r="CH653" s="1271">
        <f>SUM(CH643:CL652)</f>
        <v>0</v>
      </c>
      <c r="CI653" s="1272"/>
      <c r="CJ653" s="1272"/>
      <c r="CK653" s="1272"/>
      <c r="CL653" s="1273"/>
      <c r="CM653" s="1271">
        <f>SUM(CM643:CQ652)</f>
        <v>0</v>
      </c>
      <c r="CN653" s="1272"/>
      <c r="CO653" s="1272"/>
      <c r="CP653" s="1272"/>
      <c r="CQ653" s="1273"/>
      <c r="CR653" s="41"/>
      <c r="CS653" s="41"/>
    </row>
    <row r="654" spans="1:99" ht="12.95" customHeight="1" thickBot="1">
      <c r="A654" s="4"/>
      <c r="B654" t="s">
        <v>372</v>
      </c>
      <c r="C654"/>
      <c r="G654" s="1150" t="str">
        <f>G580</f>
        <v>2020 W. El Camino Avenue, Suite 200</v>
      </c>
      <c r="H654" s="1150"/>
      <c r="I654" s="1150"/>
      <c r="J654" s="1150"/>
      <c r="K654" s="1150"/>
      <c r="L654" s="1150"/>
      <c r="M654" s="1150"/>
      <c r="N654" s="1150"/>
      <c r="O654" s="1150"/>
      <c r="P654" s="1150"/>
      <c r="Q654" s="1150"/>
      <c r="R654" s="1150"/>
      <c r="T654" s="4"/>
      <c r="U654" t="s">
        <v>372</v>
      </c>
      <c r="Z654" s="1150" t="str">
        <f>Z580</f>
        <v>701 Atlantic Avenue</v>
      </c>
      <c r="AA654" s="1150"/>
      <c r="AB654" s="1150"/>
      <c r="AC654" s="1150"/>
      <c r="AD654" s="1150"/>
      <c r="AE654" s="1150"/>
      <c r="AF654" s="1150"/>
      <c r="AG654" s="1150"/>
      <c r="AH654" s="1150"/>
      <c r="AI654" s="1150"/>
      <c r="AJ654" s="1150"/>
      <c r="AK654" s="1150"/>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1" t="str">
        <f t="shared" ref="G655:G656" si="40">G581</f>
        <v xml:space="preserve">Sacramento, CA </v>
      </c>
      <c r="H655" s="1261"/>
      <c r="I655" s="1261"/>
      <c r="J655" s="1261"/>
      <c r="K655" s="1261"/>
      <c r="L655" s="1261"/>
      <c r="M655" s="1261"/>
      <c r="N655" s="1261"/>
      <c r="O655" s="1261"/>
      <c r="P655" s="1261"/>
      <c r="Q655" s="1261"/>
      <c r="R655" s="1261"/>
      <c r="T655" s="4"/>
      <c r="U655" t="s">
        <v>430</v>
      </c>
      <c r="Z655" s="1261" t="str">
        <f t="shared" ref="Z655:Z656" si="41">Z581</f>
        <v>Alameda</v>
      </c>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1" t="str">
        <f t="shared" si="40"/>
        <v>Anne Nicholls</v>
      </c>
      <c r="H656" s="1261"/>
      <c r="I656" s="1261"/>
      <c r="J656" s="1261"/>
      <c r="K656" s="1261"/>
      <c r="L656" s="1261"/>
      <c r="M656" s="1261"/>
      <c r="N656" s="1261"/>
      <c r="O656" s="1261"/>
      <c r="P656" s="1261"/>
      <c r="Q656" s="1261"/>
      <c r="R656" s="1261"/>
      <c r="T656" s="4"/>
      <c r="U656" t="s">
        <v>833</v>
      </c>
      <c r="Z656" s="1261" t="str">
        <f t="shared" si="41"/>
        <v>Vanessa Cooper</v>
      </c>
      <c r="AA656" s="1261"/>
      <c r="AB656" s="1261"/>
      <c r="AC656" s="1261"/>
      <c r="AD656" s="1261"/>
      <c r="AE656" s="1261"/>
      <c r="AF656" s="1261"/>
      <c r="AG656" s="1261"/>
      <c r="AH656" s="1261"/>
      <c r="AI656" s="1261"/>
      <c r="AJ656" s="1261"/>
      <c r="AK656" s="1261"/>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4" t="str">
        <f>G583</f>
        <v>916-776-7473</v>
      </c>
      <c r="H657" s="1264"/>
      <c r="I657" s="1264"/>
      <c r="J657" s="1264"/>
      <c r="K657" s="1264"/>
      <c r="L657" s="1264"/>
      <c r="O657" s="42" t="s">
        <v>818</v>
      </c>
      <c r="P657" s="1262"/>
      <c r="Q657" s="1262"/>
      <c r="R657" s="1262"/>
      <c r="T657" s="4"/>
      <c r="U657" t="s">
        <v>650</v>
      </c>
      <c r="Z657" s="1264" t="str">
        <f>Z583</f>
        <v>510-747-4300</v>
      </c>
      <c r="AA657" s="1264"/>
      <c r="AB657" s="1264"/>
      <c r="AC657" s="1264"/>
      <c r="AD657" s="1264"/>
      <c r="AE657" s="1264"/>
      <c r="AH657" s="42" t="s">
        <v>818</v>
      </c>
      <c r="AI657" s="1262"/>
      <c r="AJ657" s="1262"/>
      <c r="AK657" s="1262"/>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46</v>
      </c>
      <c r="CR657" s="41"/>
      <c r="CS657" s="41"/>
    </row>
    <row r="658" spans="1:97" ht="12.95" customHeight="1">
      <c r="A658" s="4"/>
      <c r="B658" t="s">
        <v>834</v>
      </c>
      <c r="C658"/>
      <c r="H658" s="1150" t="s">
        <v>2456</v>
      </c>
      <c r="I658" s="1150"/>
      <c r="J658" s="1150"/>
      <c r="K658" s="1150"/>
      <c r="L658" s="1150"/>
      <c r="M658" s="1150"/>
      <c r="N658" s="1150"/>
      <c r="O658" s="1150"/>
      <c r="P658" s="1150"/>
      <c r="Q658" s="1150"/>
      <c r="R658" s="1150"/>
      <c r="T658" s="4"/>
      <c r="U658" t="s">
        <v>834</v>
      </c>
      <c r="AA658" s="1150" t="s">
        <v>2456</v>
      </c>
      <c r="AB658" s="1150"/>
      <c r="AC658" s="1150"/>
      <c r="AD658" s="1150"/>
      <c r="AE658" s="1150"/>
      <c r="AF658" s="1150"/>
      <c r="AG658" s="1150"/>
      <c r="AH658" s="1150"/>
      <c r="AI658" s="1150"/>
      <c r="AJ658" s="1150"/>
      <c r="AK658" s="115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41" t="s">
        <v>108</v>
      </c>
      <c r="O659" s="1141"/>
      <c r="T659" s="4"/>
      <c r="U659" t="s">
        <v>836</v>
      </c>
      <c r="AG659" s="1141" t="s">
        <v>108</v>
      </c>
      <c r="AH659" s="1141"/>
      <c r="AM659" s="41"/>
      <c r="AN659" s="41"/>
      <c r="AO659" s="41"/>
      <c r="AP659" s="41"/>
      <c r="AQ659" s="41"/>
      <c r="AR659" s="41"/>
      <c r="AS659" s="41"/>
      <c r="AT659" s="41"/>
      <c r="AU659" s="41"/>
      <c r="AV659" s="41"/>
      <c r="AW659" s="41"/>
      <c r="AX659" s="41"/>
      <c r="AY659" s="41"/>
      <c r="AZ659" s="41"/>
      <c r="BA659" s="41"/>
      <c r="BB659" s="41"/>
      <c r="BC659" s="41"/>
      <c r="BD659" s="41"/>
      <c r="BN659" s="1271">
        <f>BN634+BN641+BN653</f>
        <v>25</v>
      </c>
      <c r="BO659" s="1272"/>
      <c r="BP659" s="1272"/>
      <c r="BQ659" s="1272"/>
      <c r="BR659" s="1273"/>
      <c r="BS659" s="1271">
        <f>BS634+BS641+BS653</f>
        <v>21</v>
      </c>
      <c r="BT659" s="1272"/>
      <c r="BU659" s="1272"/>
      <c r="BV659" s="1272"/>
      <c r="BW659" s="1273"/>
      <c r="BX659" s="1271">
        <f>BX634+BX641+BX653</f>
        <v>0</v>
      </c>
      <c r="BY659" s="1272"/>
      <c r="BZ659" s="1272"/>
      <c r="CA659" s="1272"/>
      <c r="CB659" s="1273"/>
      <c r="CC659" s="1271">
        <f>CC634+CC641+CC653</f>
        <v>0</v>
      </c>
      <c r="CD659" s="1272"/>
      <c r="CE659" s="1272"/>
      <c r="CF659" s="1272"/>
      <c r="CG659" s="1273"/>
      <c r="CH659" s="1271">
        <f>CH634+CH641+CH653</f>
        <v>0</v>
      </c>
      <c r="CI659" s="1272"/>
      <c r="CJ659" s="1272"/>
      <c r="CK659" s="1272"/>
      <c r="CL659" s="1273"/>
      <c r="CM659" s="1274">
        <f>CM653+CM641+CM634</f>
        <v>0</v>
      </c>
      <c r="CN659" s="1275"/>
      <c r="CO659" s="1275"/>
      <c r="CP659" s="1275"/>
      <c r="CQ659" s="1276"/>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3" t="str">
        <f>C633</f>
        <v>City of Alameda PLHA</v>
      </c>
      <c r="H661" s="1263"/>
      <c r="I661" s="1263"/>
      <c r="J661" s="1263"/>
      <c r="K661" s="1263"/>
      <c r="L661" s="1263"/>
      <c r="M661" s="1263"/>
      <c r="N661" s="1263"/>
      <c r="O661" s="1263"/>
      <c r="P661" s="1263"/>
      <c r="Q661" s="1263"/>
      <c r="R661" s="1263"/>
      <c r="T661" s="61" t="s">
        <v>434</v>
      </c>
      <c r="U661" t="s">
        <v>82</v>
      </c>
      <c r="Z661" s="1263" t="str">
        <f>C634</f>
        <v>AHP</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50" t="str">
        <f>G588</f>
        <v>2263 Santa Clara Avenue, Room 320</v>
      </c>
      <c r="H662" s="1150"/>
      <c r="I662" s="1150"/>
      <c r="J662" s="1150"/>
      <c r="K662" s="1150"/>
      <c r="L662" s="1150"/>
      <c r="M662" s="1150"/>
      <c r="N662" s="1150"/>
      <c r="O662" s="1150"/>
      <c r="P662" s="1150"/>
      <c r="Q662" s="1150"/>
      <c r="R662" s="1150"/>
      <c r="T662" s="4"/>
      <c r="U662" t="s">
        <v>372</v>
      </c>
      <c r="Z662" s="1150" t="str">
        <f>Z588</f>
        <v>333 Bush Street #2700</v>
      </c>
      <c r="AA662" s="1150"/>
      <c r="AB662" s="1150"/>
      <c r="AC662" s="1150"/>
      <c r="AD662" s="1150"/>
      <c r="AE662" s="1150"/>
      <c r="AF662" s="1150"/>
      <c r="AG662" s="1150"/>
      <c r="AH662" s="1150"/>
      <c r="AI662" s="1150"/>
      <c r="AJ662" s="1150"/>
      <c r="AK662" s="115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50" t="str">
        <f t="shared" ref="G663:G664" si="42">G589</f>
        <v>Alameda</v>
      </c>
      <c r="H663" s="1150"/>
      <c r="I663" s="1150"/>
      <c r="J663" s="1150"/>
      <c r="K663" s="1150"/>
      <c r="L663" s="1150"/>
      <c r="M663" s="1150"/>
      <c r="N663" s="1150"/>
      <c r="O663" s="1150"/>
      <c r="P663" s="1150"/>
      <c r="Q663" s="1150"/>
      <c r="R663" s="1150"/>
      <c r="T663" s="4"/>
      <c r="U663" t="s">
        <v>430</v>
      </c>
      <c r="Z663" s="1261" t="str">
        <f t="shared" ref="Z663:Z664" si="43">Z589</f>
        <v>San Francisco</v>
      </c>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50" t="str">
        <f t="shared" si="42"/>
        <v>Amy Wooldridge</v>
      </c>
      <c r="H664" s="1150"/>
      <c r="I664" s="1150"/>
      <c r="J664" s="1150"/>
      <c r="K664" s="1150"/>
      <c r="L664" s="1150"/>
      <c r="M664" s="1150"/>
      <c r="N664" s="1150"/>
      <c r="O664" s="1150"/>
      <c r="P664" s="1150"/>
      <c r="Q664" s="1150"/>
      <c r="R664" s="1150"/>
      <c r="T664" s="4"/>
      <c r="U664" t="s">
        <v>833</v>
      </c>
      <c r="Z664" s="1261" t="str">
        <f t="shared" si="43"/>
        <v>Eric Cicourel</v>
      </c>
      <c r="AA664" s="1261"/>
      <c r="AB664" s="1261"/>
      <c r="AC664" s="1261"/>
      <c r="AD664" s="1261"/>
      <c r="AE664" s="1261"/>
      <c r="AF664" s="1261"/>
      <c r="AG664" s="1261"/>
      <c r="AH664" s="1261"/>
      <c r="AI664" s="1261"/>
      <c r="AJ664" s="1261"/>
      <c r="AK664" s="126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4" t="str">
        <f>G591</f>
        <v>510-747-6890</v>
      </c>
      <c r="H665" s="1264"/>
      <c r="I665" s="1264"/>
      <c r="J665" s="1264"/>
      <c r="K665" s="1264"/>
      <c r="L665" s="1264"/>
      <c r="O665" s="42" t="s">
        <v>818</v>
      </c>
      <c r="P665" s="1262"/>
      <c r="Q665" s="1262"/>
      <c r="R665" s="1262"/>
      <c r="T665" s="4"/>
      <c r="U665" t="s">
        <v>650</v>
      </c>
      <c r="Z665" s="1264" t="str">
        <f>Z591</f>
        <v>415-616-1000</v>
      </c>
      <c r="AA665" s="1264"/>
      <c r="AB665" s="1264"/>
      <c r="AC665" s="1264"/>
      <c r="AD665" s="1264"/>
      <c r="AE665" s="1264"/>
      <c r="AH665" s="42" t="s">
        <v>818</v>
      </c>
      <c r="AI665" s="1262"/>
      <c r="AJ665" s="1262"/>
      <c r="AK665" s="1262"/>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50" t="s">
        <v>2456</v>
      </c>
      <c r="I666" s="1150"/>
      <c r="J666" s="1150"/>
      <c r="K666" s="1150"/>
      <c r="L666" s="1150"/>
      <c r="M666" s="1150"/>
      <c r="N666" s="1150"/>
      <c r="O666" s="1150"/>
      <c r="P666" s="1150"/>
      <c r="Q666" s="1150"/>
      <c r="R666" s="1150"/>
      <c r="T666" s="4"/>
      <c r="U666" t="s">
        <v>834</v>
      </c>
      <c r="AA666" s="1150" t="s">
        <v>2457</v>
      </c>
      <c r="AB666" s="1150"/>
      <c r="AC666" s="1150"/>
      <c r="AD666" s="1150"/>
      <c r="AE666" s="1150"/>
      <c r="AF666" s="1150"/>
      <c r="AG666" s="1150"/>
      <c r="AH666" s="1150"/>
      <c r="AI666" s="1150"/>
      <c r="AJ666" s="1150"/>
      <c r="AK666" s="115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41" t="s">
        <v>108</v>
      </c>
      <c r="O667" s="1141"/>
      <c r="T667" s="4"/>
      <c r="U667" t="s">
        <v>836</v>
      </c>
      <c r="AG667" s="1141" t="s">
        <v>108</v>
      </c>
      <c r="AH667" s="114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3" t="str">
        <f>C635</f>
        <v>Alameda Housing Authority</v>
      </c>
      <c r="H669" s="1263"/>
      <c r="I669" s="1263"/>
      <c r="J669" s="1263"/>
      <c r="K669" s="1263"/>
      <c r="L669" s="1263"/>
      <c r="M669" s="1263"/>
      <c r="N669" s="1263"/>
      <c r="O669" s="1263"/>
      <c r="P669" s="1263"/>
      <c r="Q669" s="1263"/>
      <c r="R669" s="1263"/>
      <c r="T669" s="61" t="s">
        <v>743</v>
      </c>
      <c r="U669" t="s">
        <v>82</v>
      </c>
      <c r="Z669" s="1263" t="str">
        <f>C636</f>
        <v>City of Alameda HOME</v>
      </c>
      <c r="AA669" s="1263"/>
      <c r="AB669" s="1263"/>
      <c r="AC669" s="1263"/>
      <c r="AD669" s="1263"/>
      <c r="AE669" s="1263"/>
      <c r="AF669" s="1263"/>
      <c r="AG669" s="1263"/>
      <c r="AH669" s="1263"/>
      <c r="AI669" s="1263"/>
      <c r="AJ669" s="1263"/>
      <c r="AK669" s="126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50" t="str">
        <f>G596</f>
        <v>701 Atlantic Avenue</v>
      </c>
      <c r="H670" s="1150"/>
      <c r="I670" s="1150"/>
      <c r="J670" s="1150"/>
      <c r="K670" s="1150"/>
      <c r="L670" s="1150"/>
      <c r="M670" s="1150"/>
      <c r="N670" s="1150"/>
      <c r="O670" s="1150"/>
      <c r="P670" s="1150"/>
      <c r="Q670" s="1150"/>
      <c r="R670" s="1150"/>
      <c r="T670" s="4"/>
      <c r="U670" t="s">
        <v>372</v>
      </c>
      <c r="Z670" s="1150" t="str">
        <f>Z596</f>
        <v>2263 Santa Clara Avenue, Room 320</v>
      </c>
      <c r="AA670" s="1150"/>
      <c r="AB670" s="1150"/>
      <c r="AC670" s="1150"/>
      <c r="AD670" s="1150"/>
      <c r="AE670" s="1150"/>
      <c r="AF670" s="1150"/>
      <c r="AG670" s="1150"/>
      <c r="AH670" s="1150"/>
      <c r="AI670" s="1150"/>
      <c r="AJ670" s="1150"/>
      <c r="AK670" s="115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50" t="str">
        <f t="shared" ref="G671:G672" si="44">G597</f>
        <v>Alameda</v>
      </c>
      <c r="H671" s="1150"/>
      <c r="I671" s="1150"/>
      <c r="J671" s="1150"/>
      <c r="K671" s="1150"/>
      <c r="L671" s="1150"/>
      <c r="M671" s="1150"/>
      <c r="N671" s="1150"/>
      <c r="O671" s="1150"/>
      <c r="P671" s="1150"/>
      <c r="Q671" s="1150"/>
      <c r="R671" s="1150"/>
      <c r="T671" s="4"/>
      <c r="U671" t="s">
        <v>430</v>
      </c>
      <c r="Z671" s="1261" t="str">
        <f t="shared" ref="Z671:Z672" si="45">Z597</f>
        <v>Alameda</v>
      </c>
      <c r="AA671" s="1261"/>
      <c r="AB671" s="1261"/>
      <c r="AC671" s="1261"/>
      <c r="AD671" s="1261"/>
      <c r="AE671" s="1261"/>
      <c r="AF671" s="1261"/>
      <c r="AG671" s="1261"/>
      <c r="AH671" s="1261"/>
      <c r="AI671" s="1261"/>
      <c r="AJ671" s="1261"/>
      <c r="AK671" s="126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50" t="str">
        <f t="shared" si="44"/>
        <v>Vanessa Cooper</v>
      </c>
      <c r="H672" s="1150"/>
      <c r="I672" s="1150"/>
      <c r="J672" s="1150"/>
      <c r="K672" s="1150"/>
      <c r="L672" s="1150"/>
      <c r="M672" s="1150"/>
      <c r="N672" s="1150"/>
      <c r="O672" s="1150"/>
      <c r="P672" s="1150"/>
      <c r="Q672" s="1150"/>
      <c r="R672" s="1150"/>
      <c r="T672" s="4"/>
      <c r="U672" t="s">
        <v>833</v>
      </c>
      <c r="Z672" s="1261" t="str">
        <f t="shared" si="45"/>
        <v>Amy Wooldridge</v>
      </c>
      <c r="AA672" s="1261"/>
      <c r="AB672" s="1261"/>
      <c r="AC672" s="1261"/>
      <c r="AD672" s="1261"/>
      <c r="AE672" s="1261"/>
      <c r="AF672" s="1261"/>
      <c r="AG672" s="1261"/>
      <c r="AH672" s="1261"/>
      <c r="AI672" s="1261"/>
      <c r="AJ672" s="1261"/>
      <c r="AK672" s="126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4" t="str">
        <f>G599</f>
        <v>510-747-4300</v>
      </c>
      <c r="H673" s="1264"/>
      <c r="I673" s="1264"/>
      <c r="J673" s="1264"/>
      <c r="K673" s="1264"/>
      <c r="L673" s="1264"/>
      <c r="O673" s="42" t="s">
        <v>818</v>
      </c>
      <c r="P673" s="1262"/>
      <c r="Q673" s="1262"/>
      <c r="R673" s="1262"/>
      <c r="T673" s="4"/>
      <c r="U673" t="s">
        <v>650</v>
      </c>
      <c r="Z673" s="1264" t="str">
        <f>Z599</f>
        <v>510-747-6890</v>
      </c>
      <c r="AA673" s="1264"/>
      <c r="AB673" s="1264"/>
      <c r="AC673" s="1264"/>
      <c r="AD673" s="1264"/>
      <c r="AE673" s="1264"/>
      <c r="AH673" s="42" t="s">
        <v>818</v>
      </c>
      <c r="AI673" s="1262"/>
      <c r="AJ673" s="1262"/>
      <c r="AK673" s="1262"/>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50" t="s">
        <v>2456</v>
      </c>
      <c r="I674" s="1150"/>
      <c r="J674" s="1150"/>
      <c r="K674" s="1150"/>
      <c r="L674" s="1150"/>
      <c r="M674" s="1150"/>
      <c r="N674" s="1150"/>
      <c r="O674" s="1150"/>
      <c r="P674" s="1150"/>
      <c r="Q674" s="1150"/>
      <c r="R674" s="1150"/>
      <c r="T674" s="4"/>
      <c r="U674" t="s">
        <v>834</v>
      </c>
      <c r="AA674" s="1150" t="s">
        <v>2456</v>
      </c>
      <c r="AB674" s="1150"/>
      <c r="AC674" s="1150"/>
      <c r="AD674" s="1150"/>
      <c r="AE674" s="1150"/>
      <c r="AF674" s="1150"/>
      <c r="AG674" s="1150"/>
      <c r="AH674" s="1150"/>
      <c r="AI674" s="1150"/>
      <c r="AJ674" s="1150"/>
      <c r="AK674" s="115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41" t="s">
        <v>108</v>
      </c>
      <c r="O675" s="1141"/>
      <c r="T675" s="4"/>
      <c r="U675" t="s">
        <v>836</v>
      </c>
      <c r="AG675" s="1141" t="s">
        <v>108</v>
      </c>
      <c r="AH675" s="114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3" t="str">
        <f>C637</f>
        <v>GP equity</v>
      </c>
      <c r="H677" s="1263"/>
      <c r="I677" s="1263"/>
      <c r="J677" s="1263"/>
      <c r="K677" s="1263"/>
      <c r="L677" s="1263"/>
      <c r="M677" s="1263"/>
      <c r="N677" s="1263"/>
      <c r="O677" s="1263"/>
      <c r="P677" s="1263"/>
      <c r="Q677" s="1263"/>
      <c r="R677" s="1263"/>
      <c r="T677" s="61" t="s">
        <v>174</v>
      </c>
      <c r="U677" t="s">
        <v>82</v>
      </c>
      <c r="Z677" s="1263">
        <f>C638</f>
        <v>0</v>
      </c>
      <c r="AA677" s="1263"/>
      <c r="AB677" s="1263"/>
      <c r="AC677" s="1263"/>
      <c r="AD677" s="1263"/>
      <c r="AE677" s="1263"/>
      <c r="AF677" s="1263"/>
      <c r="AG677" s="1263"/>
      <c r="AH677" s="1263"/>
      <c r="AI677" s="1263"/>
      <c r="AJ677" s="1263"/>
      <c r="AK677" s="126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50" t="str">
        <f>G670</f>
        <v>701 Atlantic Avenue</v>
      </c>
      <c r="H678" s="1150"/>
      <c r="I678" s="1150"/>
      <c r="J678" s="1150"/>
      <c r="K678" s="1150"/>
      <c r="L678" s="1150"/>
      <c r="M678" s="1150"/>
      <c r="N678" s="1150"/>
      <c r="O678" s="1150"/>
      <c r="P678" s="1150"/>
      <c r="Q678" s="1150"/>
      <c r="R678" s="1150"/>
      <c r="T678" s="4"/>
      <c r="U678" t="s">
        <v>372</v>
      </c>
      <c r="Z678" s="1150"/>
      <c r="AA678" s="1150"/>
      <c r="AB678" s="1150"/>
      <c r="AC678" s="1150"/>
      <c r="AD678" s="1150"/>
      <c r="AE678" s="1150"/>
      <c r="AF678" s="1150"/>
      <c r="AG678" s="1150"/>
      <c r="AH678" s="1150"/>
      <c r="AI678" s="1150"/>
      <c r="AJ678" s="1150"/>
      <c r="AK678" s="115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50" t="str">
        <f t="shared" ref="G679:G680" si="46">G671</f>
        <v>Alameda</v>
      </c>
      <c r="H679" s="1150"/>
      <c r="I679" s="1150"/>
      <c r="J679" s="1150"/>
      <c r="K679" s="1150"/>
      <c r="L679" s="1150"/>
      <c r="M679" s="1150"/>
      <c r="N679" s="1150"/>
      <c r="O679" s="1150"/>
      <c r="P679" s="1150"/>
      <c r="Q679" s="1150"/>
      <c r="R679" s="1150"/>
      <c r="T679" s="4"/>
      <c r="U679" t="s">
        <v>430</v>
      </c>
      <c r="Z679" s="1261"/>
      <c r="AA679" s="1261"/>
      <c r="AB679" s="1261"/>
      <c r="AC679" s="1261"/>
      <c r="AD679" s="1261"/>
      <c r="AE679" s="1261"/>
      <c r="AF679" s="1261"/>
      <c r="AG679" s="1261"/>
      <c r="AH679" s="1261"/>
      <c r="AI679" s="1261"/>
      <c r="AJ679" s="1261"/>
      <c r="AK679" s="1261"/>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50" t="str">
        <f t="shared" si="46"/>
        <v>Vanessa Cooper</v>
      </c>
      <c r="H680" s="1150"/>
      <c r="I680" s="1150"/>
      <c r="J680" s="1150"/>
      <c r="K680" s="1150"/>
      <c r="L680" s="1150"/>
      <c r="M680" s="1150"/>
      <c r="N680" s="1150"/>
      <c r="O680" s="1150"/>
      <c r="P680" s="1150"/>
      <c r="Q680" s="1150"/>
      <c r="R680" s="1150"/>
      <c r="T680" s="4"/>
      <c r="U680" t="s">
        <v>833</v>
      </c>
      <c r="Z680" s="1261"/>
      <c r="AA680" s="1261"/>
      <c r="AB680" s="1261"/>
      <c r="AC680" s="1261"/>
      <c r="AD680" s="1261"/>
      <c r="AE680" s="1261"/>
      <c r="AF680" s="1261"/>
      <c r="AG680" s="1261"/>
      <c r="AH680" s="1261"/>
      <c r="AI680" s="1261"/>
      <c r="AJ680" s="1261"/>
      <c r="AK680" s="1261"/>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4" t="s">
        <v>2347</v>
      </c>
      <c r="H681" s="1264"/>
      <c r="I681" s="1264"/>
      <c r="J681" s="1264"/>
      <c r="K681" s="1264"/>
      <c r="L681" s="1264"/>
      <c r="O681" s="42" t="s">
        <v>818</v>
      </c>
      <c r="P681" s="1262"/>
      <c r="Q681" s="1262"/>
      <c r="R681" s="1262"/>
      <c r="T681" s="4"/>
      <c r="U681" t="s">
        <v>650</v>
      </c>
      <c r="Z681" s="1264"/>
      <c r="AA681" s="1264"/>
      <c r="AB681" s="1264"/>
      <c r="AC681" s="1264"/>
      <c r="AD681" s="1264"/>
      <c r="AE681" s="1264"/>
      <c r="AH681" s="42" t="s">
        <v>818</v>
      </c>
      <c r="AI681" s="1262"/>
      <c r="AJ681" s="1262"/>
      <c r="AK681" s="1262"/>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50" t="s">
        <v>2442</v>
      </c>
      <c r="I682" s="1150"/>
      <c r="J682" s="1150"/>
      <c r="K682" s="1150"/>
      <c r="L682" s="1150"/>
      <c r="M682" s="1150"/>
      <c r="N682" s="1150"/>
      <c r="O682" s="1150"/>
      <c r="P682" s="1150"/>
      <c r="Q682" s="1150"/>
      <c r="R682" s="1150"/>
      <c r="T682" s="4"/>
      <c r="U682" t="s">
        <v>834</v>
      </c>
      <c r="AA682" s="1150"/>
      <c r="AB682" s="1150"/>
      <c r="AC682" s="1150"/>
      <c r="AD682" s="1150"/>
      <c r="AE682" s="1150"/>
      <c r="AF682" s="1150"/>
      <c r="AG682" s="1150"/>
      <c r="AH682" s="1150"/>
      <c r="AI682" s="1150"/>
      <c r="AJ682" s="1150"/>
      <c r="AK682" s="115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41" t="s">
        <v>108</v>
      </c>
      <c r="O683" s="1141"/>
      <c r="T683" s="4"/>
      <c r="U683" t="s">
        <v>836</v>
      </c>
      <c r="AG683" s="1141" t="s">
        <v>482</v>
      </c>
      <c r="AH683" s="114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3">
        <f>C639</f>
        <v>0</v>
      </c>
      <c r="H685" s="1263"/>
      <c r="I685" s="1263"/>
      <c r="J685" s="1263"/>
      <c r="K685" s="1263"/>
      <c r="L685" s="1263"/>
      <c r="M685" s="1263"/>
      <c r="N685" s="1263"/>
      <c r="O685" s="1263"/>
      <c r="P685" s="1263"/>
      <c r="Q685" s="1263"/>
      <c r="R685" s="1263"/>
      <c r="T685" s="61" t="s">
        <v>33</v>
      </c>
      <c r="U685" t="s">
        <v>82</v>
      </c>
      <c r="Z685" s="1263">
        <f>C640</f>
        <v>0</v>
      </c>
      <c r="AA685" s="1263"/>
      <c r="AB685" s="1263"/>
      <c r="AC685" s="1263"/>
      <c r="AD685" s="1263"/>
      <c r="AE685" s="1263"/>
      <c r="AF685" s="1263"/>
      <c r="AG685" s="1263"/>
      <c r="AH685" s="1263"/>
      <c r="AI685" s="1263"/>
      <c r="AJ685" s="1263"/>
      <c r="AK685" s="126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50"/>
      <c r="H686" s="1150"/>
      <c r="I686" s="1150"/>
      <c r="J686" s="1150"/>
      <c r="K686" s="1150"/>
      <c r="L686" s="1150"/>
      <c r="M686" s="1150"/>
      <c r="N686" s="1150"/>
      <c r="O686" s="1150"/>
      <c r="P686" s="1150"/>
      <c r="Q686" s="1150"/>
      <c r="R686" s="1150"/>
      <c r="T686" s="4"/>
      <c r="U686" t="s">
        <v>372</v>
      </c>
      <c r="Z686" s="1150"/>
      <c r="AA686" s="1150"/>
      <c r="AB686" s="1150"/>
      <c r="AC686" s="1150"/>
      <c r="AD686" s="1150"/>
      <c r="AE686" s="1150"/>
      <c r="AF686" s="1150"/>
      <c r="AG686" s="1150"/>
      <c r="AH686" s="1150"/>
      <c r="AI686" s="1150"/>
      <c r="AJ686" s="1150"/>
      <c r="AK686" s="115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50"/>
      <c r="H687" s="1150"/>
      <c r="I687" s="1150"/>
      <c r="J687" s="1150"/>
      <c r="K687" s="1150"/>
      <c r="L687" s="1150"/>
      <c r="M687" s="1150"/>
      <c r="N687" s="1150"/>
      <c r="O687" s="1150"/>
      <c r="P687" s="1150"/>
      <c r="Q687" s="1150"/>
      <c r="R687" s="1150"/>
      <c r="U687" t="s">
        <v>430</v>
      </c>
      <c r="Z687" s="1261"/>
      <c r="AA687" s="1261"/>
      <c r="AB687" s="1261"/>
      <c r="AC687" s="1261"/>
      <c r="AD687" s="1261"/>
      <c r="AE687" s="1261"/>
      <c r="AF687" s="1261"/>
      <c r="AG687" s="1261"/>
      <c r="AH687" s="1261"/>
      <c r="AI687" s="1261"/>
      <c r="AJ687" s="1261"/>
      <c r="AK687" s="1261"/>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50"/>
      <c r="H688" s="1150"/>
      <c r="I688" s="1150"/>
      <c r="J688" s="1150"/>
      <c r="K688" s="1150"/>
      <c r="L688" s="1150"/>
      <c r="M688" s="1150"/>
      <c r="N688" s="1150"/>
      <c r="O688" s="1150"/>
      <c r="P688" s="1150"/>
      <c r="Q688" s="1150"/>
      <c r="R688" s="1150"/>
      <c r="U688" t="s">
        <v>833</v>
      </c>
      <c r="Z688" s="1261"/>
      <c r="AA688" s="1261"/>
      <c r="AB688" s="1261"/>
      <c r="AC688" s="1261"/>
      <c r="AD688" s="1261"/>
      <c r="AE688" s="1261"/>
      <c r="AF688" s="1261"/>
      <c r="AG688" s="1261"/>
      <c r="AH688" s="1261"/>
      <c r="AI688" s="1261"/>
      <c r="AJ688" s="1261"/>
      <c r="AK688" s="1261"/>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4"/>
      <c r="H689" s="1264"/>
      <c r="I689" s="1264"/>
      <c r="J689" s="1264"/>
      <c r="K689" s="1264"/>
      <c r="L689" s="1264"/>
      <c r="O689" s="42" t="s">
        <v>818</v>
      </c>
      <c r="P689" s="1262"/>
      <c r="Q689" s="1262"/>
      <c r="R689" s="1262"/>
      <c r="U689" t="s">
        <v>650</v>
      </c>
      <c r="Z689" s="1264"/>
      <c r="AA689" s="1264"/>
      <c r="AB689" s="1264"/>
      <c r="AC689" s="1264"/>
      <c r="AD689" s="1264"/>
      <c r="AE689" s="1264"/>
      <c r="AH689" s="42" t="s">
        <v>818</v>
      </c>
      <c r="AI689" s="1262"/>
      <c r="AJ689" s="1262"/>
      <c r="AK689" s="1262"/>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50"/>
      <c r="I690" s="1150"/>
      <c r="J690" s="1150"/>
      <c r="K690" s="1150"/>
      <c r="L690" s="1150"/>
      <c r="M690" s="1150"/>
      <c r="N690" s="1150"/>
      <c r="O690" s="1150"/>
      <c r="P690" s="1150"/>
      <c r="Q690" s="1150"/>
      <c r="R690" s="1150"/>
      <c r="U690" t="s">
        <v>834</v>
      </c>
      <c r="AA690" s="1150"/>
      <c r="AB690" s="1150"/>
      <c r="AC690" s="1150"/>
      <c r="AD690" s="1150"/>
      <c r="AE690" s="1150"/>
      <c r="AF690" s="1150"/>
      <c r="AG690" s="1150"/>
      <c r="AH690" s="1150"/>
      <c r="AI690" s="1150"/>
      <c r="AJ690" s="1150"/>
      <c r="AK690" s="115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41" t="s">
        <v>482</v>
      </c>
      <c r="O691" s="1141"/>
      <c r="U691" t="s">
        <v>836</v>
      </c>
      <c r="AG691" s="1141" t="s">
        <v>482</v>
      </c>
      <c r="AH691" s="114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26" t="s">
        <v>127</v>
      </c>
      <c r="B694" s="1126"/>
      <c r="C694" s="1126"/>
      <c r="D694" s="1126"/>
      <c r="E694" s="1126"/>
      <c r="F694" s="1126"/>
      <c r="G694" s="1126"/>
      <c r="H694" s="1126"/>
      <c r="I694" s="1126"/>
      <c r="J694" s="1126"/>
      <c r="K694" s="1126"/>
      <c r="L694" s="1126"/>
      <c r="M694" s="1126"/>
      <c r="N694" s="1126"/>
      <c r="O694" s="1126"/>
      <c r="P694" s="1126"/>
      <c r="Q694" s="1126"/>
      <c r="R694" s="1126"/>
      <c r="S694" s="1126"/>
      <c r="T694" s="1126"/>
      <c r="U694" s="1126"/>
      <c r="V694" s="1126"/>
      <c r="W694" s="1126"/>
      <c r="X694" s="1126"/>
      <c r="Y694" s="1126"/>
      <c r="Z694" s="1126"/>
      <c r="AA694" s="1126"/>
      <c r="AB694" s="1126"/>
      <c r="AC694" s="1126"/>
      <c r="AD694" s="1126"/>
      <c r="AE694" s="1126"/>
      <c r="AF694" s="1126"/>
      <c r="AG694" s="1126"/>
      <c r="AH694" s="1126"/>
      <c r="AI694" s="1126"/>
      <c r="AJ694" s="1126"/>
      <c r="AK694" s="1126"/>
      <c r="AL694" s="1126"/>
      <c r="AM694" s="1126"/>
      <c r="AN694" s="1126"/>
      <c r="AO694" s="1126"/>
      <c r="AP694" s="1126"/>
      <c r="AQ694" s="1126"/>
      <c r="AR694" s="1126"/>
      <c r="AS694" s="1126"/>
      <c r="AT694" s="112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26"/>
      <c r="B695" s="1126"/>
      <c r="C695" s="1126"/>
      <c r="D695" s="1126"/>
      <c r="E695" s="1126"/>
      <c r="F695" s="1126"/>
      <c r="G695" s="1126"/>
      <c r="H695" s="1126"/>
      <c r="I695" s="1126"/>
      <c r="J695" s="1126"/>
      <c r="K695" s="1126"/>
      <c r="L695" s="1126"/>
      <c r="M695" s="1126"/>
      <c r="N695" s="1126"/>
      <c r="O695" s="1126"/>
      <c r="P695" s="1126"/>
      <c r="Q695" s="1126"/>
      <c r="R695" s="1126"/>
      <c r="S695" s="1126"/>
      <c r="T695" s="1126"/>
      <c r="U695" s="1126"/>
      <c r="V695" s="1126"/>
      <c r="W695" s="1126"/>
      <c r="X695" s="1126"/>
      <c r="Y695" s="1126"/>
      <c r="Z695" s="1126"/>
      <c r="AA695" s="1126"/>
      <c r="AB695" s="1126"/>
      <c r="AC695" s="1126"/>
      <c r="AD695" s="1126"/>
      <c r="AE695" s="1126"/>
      <c r="AF695" s="1126"/>
      <c r="AG695" s="1126"/>
      <c r="AH695" s="1126"/>
      <c r="AI695" s="1126"/>
      <c r="AJ695" s="1126"/>
      <c r="AK695" s="1126"/>
      <c r="AL695" s="1126"/>
      <c r="AM695" s="1126"/>
      <c r="AN695" s="1126"/>
      <c r="AO695" s="1126"/>
      <c r="AP695" s="1126"/>
      <c r="AQ695" s="1126"/>
      <c r="AR695" s="1126"/>
      <c r="AS695" s="1126"/>
      <c r="AT695" s="1126"/>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26"/>
      <c r="B696" s="1126"/>
      <c r="C696" s="1126"/>
      <c r="D696" s="1126"/>
      <c r="E696" s="1126"/>
      <c r="F696" s="1126"/>
      <c r="G696" s="1126"/>
      <c r="H696" s="1126"/>
      <c r="I696" s="1126"/>
      <c r="J696" s="1126"/>
      <c r="K696" s="1126"/>
      <c r="L696" s="1126"/>
      <c r="M696" s="1126"/>
      <c r="N696" s="1126"/>
      <c r="O696" s="1126"/>
      <c r="P696" s="1126"/>
      <c r="Q696" s="1126"/>
      <c r="R696" s="1126"/>
      <c r="S696" s="1126"/>
      <c r="T696" s="1126"/>
      <c r="U696" s="1126"/>
      <c r="V696" s="1126"/>
      <c r="W696" s="1126"/>
      <c r="X696" s="1126"/>
      <c r="Y696" s="1126"/>
      <c r="Z696" s="1126"/>
      <c r="AA696" s="1126"/>
      <c r="AB696" s="1126"/>
      <c r="AC696" s="1126"/>
      <c r="AD696" s="1126"/>
      <c r="AE696" s="1126"/>
      <c r="AF696" s="1126"/>
      <c r="AG696" s="1126"/>
      <c r="AH696" s="1126"/>
      <c r="AI696" s="1126"/>
      <c r="AJ696" s="1126"/>
      <c r="AK696" s="1126"/>
      <c r="AL696" s="1126"/>
      <c r="AM696" s="1126"/>
      <c r="AN696" s="1126"/>
      <c r="AO696" s="1126"/>
      <c r="AP696" s="1126"/>
      <c r="AQ696" s="1126"/>
      <c r="AR696" s="1126"/>
      <c r="AS696" s="1126"/>
      <c r="AT696" s="1126"/>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099" t="s">
        <v>54</v>
      </c>
      <c r="C699" s="1100"/>
      <c r="D699" s="1100"/>
      <c r="E699" s="1100"/>
      <c r="F699" s="1101"/>
      <c r="G699" s="1099" t="s">
        <v>256</v>
      </c>
      <c r="H699" s="1100"/>
      <c r="I699" s="1100"/>
      <c r="J699" s="1101"/>
      <c r="K699" s="1090" t="s">
        <v>1981</v>
      </c>
      <c r="L699" s="1091"/>
      <c r="M699" s="1091"/>
      <c r="N699" s="1092"/>
      <c r="O699" s="1099" t="s">
        <v>589</v>
      </c>
      <c r="P699" s="1100"/>
      <c r="Q699" s="1100"/>
      <c r="R699" s="1100"/>
      <c r="S699" s="1101"/>
      <c r="T699" s="1099" t="s">
        <v>257</v>
      </c>
      <c r="U699" s="1100"/>
      <c r="V699" s="1100"/>
      <c r="W699" s="1100"/>
      <c r="X699" s="1101"/>
      <c r="Y699" s="1099" t="s">
        <v>258</v>
      </c>
      <c r="Z699" s="1100"/>
      <c r="AA699" s="1100"/>
      <c r="AB699" s="1101"/>
      <c r="AC699" s="1099" t="s">
        <v>259</v>
      </c>
      <c r="AD699" s="1100"/>
      <c r="AE699" s="1100"/>
      <c r="AF699" s="1100"/>
      <c r="AG699" s="1101"/>
      <c r="AH699" s="1099" t="s">
        <v>1982</v>
      </c>
      <c r="AI699" s="1100"/>
      <c r="AJ699" s="1100"/>
      <c r="AK699" s="1100"/>
      <c r="AL699" s="1101"/>
      <c r="AM699" s="1099" t="s">
        <v>1983</v>
      </c>
      <c r="AN699" s="1100"/>
      <c r="AO699" s="1101"/>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02"/>
      <c r="C700" s="1103"/>
      <c r="D700" s="1103"/>
      <c r="E700" s="1103"/>
      <c r="F700" s="1104"/>
      <c r="G700" s="1102"/>
      <c r="H700" s="1103"/>
      <c r="I700" s="1103"/>
      <c r="J700" s="1104"/>
      <c r="K700" s="1093"/>
      <c r="L700" s="1094"/>
      <c r="M700" s="1094"/>
      <c r="N700" s="1095"/>
      <c r="O700" s="1102"/>
      <c r="P700" s="1103"/>
      <c r="Q700" s="1103"/>
      <c r="R700" s="1103"/>
      <c r="S700" s="1104"/>
      <c r="T700" s="1102"/>
      <c r="U700" s="1103"/>
      <c r="V700" s="1103"/>
      <c r="W700" s="1103"/>
      <c r="X700" s="1104"/>
      <c r="Y700" s="1102"/>
      <c r="Z700" s="1103"/>
      <c r="AA700" s="1103"/>
      <c r="AB700" s="1104"/>
      <c r="AC700" s="1102"/>
      <c r="AD700" s="1103"/>
      <c r="AE700" s="1103"/>
      <c r="AF700" s="1103"/>
      <c r="AG700" s="1104"/>
      <c r="AH700" s="1102"/>
      <c r="AI700" s="1103"/>
      <c r="AJ700" s="1103"/>
      <c r="AK700" s="1103"/>
      <c r="AL700" s="1104"/>
      <c r="AM700" s="1102"/>
      <c r="AN700" s="1103"/>
      <c r="AO700" s="1104"/>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02"/>
      <c r="C701" s="1103"/>
      <c r="D701" s="1103"/>
      <c r="E701" s="1103"/>
      <c r="F701" s="1104"/>
      <c r="G701" s="1102"/>
      <c r="H701" s="1103"/>
      <c r="I701" s="1103"/>
      <c r="J701" s="1104"/>
      <c r="K701" s="1093"/>
      <c r="L701" s="1094"/>
      <c r="M701" s="1094"/>
      <c r="N701" s="1095"/>
      <c r="O701" s="1102"/>
      <c r="P701" s="1103"/>
      <c r="Q701" s="1103"/>
      <c r="R701" s="1103"/>
      <c r="S701" s="1104"/>
      <c r="T701" s="1102"/>
      <c r="U701" s="1103"/>
      <c r="V701" s="1103"/>
      <c r="W701" s="1103"/>
      <c r="X701" s="1104"/>
      <c r="Y701" s="1102"/>
      <c r="Z701" s="1103"/>
      <c r="AA701" s="1103"/>
      <c r="AB701" s="1104"/>
      <c r="AC701" s="1102"/>
      <c r="AD701" s="1103"/>
      <c r="AE701" s="1103"/>
      <c r="AF701" s="1103"/>
      <c r="AG701" s="1104"/>
      <c r="AH701" s="1102"/>
      <c r="AI701" s="1103"/>
      <c r="AJ701" s="1103"/>
      <c r="AK701" s="1103"/>
      <c r="AL701" s="1104"/>
      <c r="AM701" s="1102"/>
      <c r="AN701" s="1103"/>
      <c r="AO701" s="1104"/>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05"/>
      <c r="C702" s="1106"/>
      <c r="D702" s="1106"/>
      <c r="E702" s="1106"/>
      <c r="F702" s="1107"/>
      <c r="G702" s="1105"/>
      <c r="H702" s="1106"/>
      <c r="I702" s="1106"/>
      <c r="J702" s="1107"/>
      <c r="K702" s="1093"/>
      <c r="L702" s="1094"/>
      <c r="M702" s="1094"/>
      <c r="N702" s="1095"/>
      <c r="O702" s="1105"/>
      <c r="P702" s="1106"/>
      <c r="Q702" s="1106"/>
      <c r="R702" s="1106"/>
      <c r="S702" s="1107"/>
      <c r="T702" s="1105"/>
      <c r="U702" s="1106"/>
      <c r="V702" s="1106"/>
      <c r="W702" s="1106"/>
      <c r="X702" s="1107"/>
      <c r="Y702" s="1105"/>
      <c r="Z702" s="1106"/>
      <c r="AA702" s="1106"/>
      <c r="AB702" s="1107"/>
      <c r="AC702" s="1105"/>
      <c r="AD702" s="1106"/>
      <c r="AE702" s="1106"/>
      <c r="AF702" s="1106"/>
      <c r="AG702" s="1107"/>
      <c r="AH702" s="1105"/>
      <c r="AI702" s="1106"/>
      <c r="AJ702" s="1106"/>
      <c r="AK702" s="1106"/>
      <c r="AL702" s="1107"/>
      <c r="AM702" s="1105"/>
      <c r="AN702" s="1106"/>
      <c r="AO702" s="1107"/>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31" t="s">
        <v>441</v>
      </c>
      <c r="C703" s="1332"/>
      <c r="D703" s="1332"/>
      <c r="E703" s="1332"/>
      <c r="F703" s="1333"/>
      <c r="G703" s="1268">
        <v>20</v>
      </c>
      <c r="H703" s="1269"/>
      <c r="I703" s="1269"/>
      <c r="J703" s="1270"/>
      <c r="K703" s="1074">
        <v>408</v>
      </c>
      <c r="L703" s="1075"/>
      <c r="M703" s="1075"/>
      <c r="N703" s="1076"/>
      <c r="O703" s="1084">
        <v>777</v>
      </c>
      <c r="P703" s="1085"/>
      <c r="Q703" s="1085"/>
      <c r="R703" s="1085"/>
      <c r="S703" s="1086"/>
      <c r="T703" s="1081">
        <f t="shared" ref="T703:T737" si="47">G703*O703</f>
        <v>15540</v>
      </c>
      <c r="U703" s="1082"/>
      <c r="V703" s="1082"/>
      <c r="W703" s="1082"/>
      <c r="X703" s="1083"/>
      <c r="Y703" s="1084">
        <v>62</v>
      </c>
      <c r="Z703" s="1085"/>
      <c r="AA703" s="1085"/>
      <c r="AB703" s="1086"/>
      <c r="AC703" s="1081">
        <f t="shared" ref="AC703:AC737" si="48">O703+Y703</f>
        <v>839</v>
      </c>
      <c r="AD703" s="1082"/>
      <c r="AE703" s="1082"/>
      <c r="AF703" s="1082"/>
      <c r="AG703" s="1083"/>
      <c r="AH703" s="1378">
        <v>0.3</v>
      </c>
      <c r="AI703" s="1379"/>
      <c r="AJ703" s="1379"/>
      <c r="AK703" s="1379"/>
      <c r="AL703" s="1380"/>
      <c r="AM703" s="1244">
        <f>IF($AH703&gt;0,($AC703/$AV703),"")</f>
        <v>0.30007153075822601</v>
      </c>
      <c r="AN703" s="1245"/>
      <c r="AO703" s="1246"/>
      <c r="AV703" s="43">
        <f t="shared" ref="AV703:AV737" si="49">IF($G703=0,"N/A",VLOOKUP($T$189,TC_Rent,(MATCH($B703,bedrooms,FALSE))))</f>
        <v>2796</v>
      </c>
      <c r="AX703" s="43"/>
      <c r="AY703" s="442">
        <f t="shared" ref="AY703:AY726" si="50">G703</f>
        <v>20</v>
      </c>
      <c r="AZ703" s="449">
        <f t="shared" ref="AZ703:AZ726" si="51">IF($AY$738=0,"",AY703/$AY$738)</f>
        <v>0.43478260869565216</v>
      </c>
      <c r="BA703" s="450">
        <f t="shared" ref="BA703:BA726" si="52">IF(AZ703="","",AZ703*AH703)</f>
        <v>0.13043478260869565</v>
      </c>
      <c r="BB703" s="41"/>
      <c r="BC703" s="41"/>
      <c r="BD703" s="41"/>
      <c r="BE703" s="848">
        <f t="shared" ref="BE703:BE726" si="53">G703</f>
        <v>20</v>
      </c>
      <c r="BF703" s="852">
        <f t="shared" ref="BF703:BF726" si="54">IF(BE703=0,"",BE703/$BE$738)</f>
        <v>0.43478260869565216</v>
      </c>
      <c r="BG703" s="853">
        <f t="shared" ref="BG703:BG726" si="55">IF(BF703="","",BF703*AM703)</f>
        <v>0.13046588293835915</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31" t="s">
        <v>441</v>
      </c>
      <c r="C704" s="1332"/>
      <c r="D704" s="1332"/>
      <c r="E704" s="1332"/>
      <c r="F704" s="1333"/>
      <c r="G704" s="1268">
        <v>5</v>
      </c>
      <c r="H704" s="1269"/>
      <c r="I704" s="1269"/>
      <c r="J704" s="1270"/>
      <c r="K704" s="1074">
        <v>408</v>
      </c>
      <c r="L704" s="1075"/>
      <c r="M704" s="1075"/>
      <c r="N704" s="1076"/>
      <c r="O704" s="1084">
        <v>300</v>
      </c>
      <c r="P704" s="1085"/>
      <c r="Q704" s="1085"/>
      <c r="R704" s="1085"/>
      <c r="S704" s="1086"/>
      <c r="T704" s="1081">
        <f t="shared" si="47"/>
        <v>1500</v>
      </c>
      <c r="U704" s="1082"/>
      <c r="V704" s="1082"/>
      <c r="W704" s="1082"/>
      <c r="X704" s="1083"/>
      <c r="Y704" s="1084">
        <v>62</v>
      </c>
      <c r="Z704" s="1085"/>
      <c r="AA704" s="1085"/>
      <c r="AB704" s="1086"/>
      <c r="AC704" s="1081">
        <f t="shared" si="48"/>
        <v>362</v>
      </c>
      <c r="AD704" s="1082"/>
      <c r="AE704" s="1082"/>
      <c r="AF704" s="1082"/>
      <c r="AG704" s="1083"/>
      <c r="AH704" s="1251">
        <v>0.3</v>
      </c>
      <c r="AI704" s="1252"/>
      <c r="AJ704" s="1252"/>
      <c r="AK704" s="1252"/>
      <c r="AL704" s="1253"/>
      <c r="AM704" s="1244">
        <f t="shared" ref="AM704:AM726" si="56">IF($AH704&gt;0,($AC704/$AV704), "")</f>
        <v>0.12947067238912732</v>
      </c>
      <c r="AN704" s="1245"/>
      <c r="AO704" s="1246"/>
      <c r="AV704" s="43">
        <f t="shared" si="49"/>
        <v>2796</v>
      </c>
      <c r="AX704" s="43"/>
      <c r="AY704" s="443">
        <f t="shared" si="50"/>
        <v>5</v>
      </c>
      <c r="AZ704" s="449">
        <f t="shared" si="51"/>
        <v>0.10869565217391304</v>
      </c>
      <c r="BA704" s="450">
        <f t="shared" si="52"/>
        <v>3.2608695652173912E-2</v>
      </c>
      <c r="BB704" s="41"/>
      <c r="BC704" s="41"/>
      <c r="BD704" s="41"/>
      <c r="BE704" s="848">
        <f t="shared" si="53"/>
        <v>5</v>
      </c>
      <c r="BF704" s="852">
        <f t="shared" si="54"/>
        <v>0.10869565217391304</v>
      </c>
      <c r="BG704" s="853">
        <f t="shared" si="55"/>
        <v>1.407289917273123E-2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31" t="s">
        <v>442</v>
      </c>
      <c r="C705" s="1332"/>
      <c r="D705" s="1332"/>
      <c r="E705" s="1332"/>
      <c r="F705" s="1333"/>
      <c r="G705" s="1268">
        <v>20</v>
      </c>
      <c r="H705" s="1269"/>
      <c r="I705" s="1269"/>
      <c r="J705" s="1270"/>
      <c r="K705" s="1074">
        <v>594</v>
      </c>
      <c r="L705" s="1075"/>
      <c r="M705" s="1075"/>
      <c r="N705" s="1076"/>
      <c r="O705" s="1084">
        <v>830</v>
      </c>
      <c r="P705" s="1085"/>
      <c r="Q705" s="1085"/>
      <c r="R705" s="1085"/>
      <c r="S705" s="1086"/>
      <c r="T705" s="1081">
        <f t="shared" si="47"/>
        <v>16600</v>
      </c>
      <c r="U705" s="1082"/>
      <c r="V705" s="1082"/>
      <c r="W705" s="1082"/>
      <c r="X705" s="1083"/>
      <c r="Y705" s="1084">
        <v>69</v>
      </c>
      <c r="Z705" s="1085"/>
      <c r="AA705" s="1085"/>
      <c r="AB705" s="1086"/>
      <c r="AC705" s="1081">
        <f t="shared" si="48"/>
        <v>899</v>
      </c>
      <c r="AD705" s="1082"/>
      <c r="AE705" s="1082"/>
      <c r="AF705" s="1082"/>
      <c r="AG705" s="1083"/>
      <c r="AH705" s="1251">
        <v>0.3</v>
      </c>
      <c r="AI705" s="1252"/>
      <c r="AJ705" s="1252"/>
      <c r="AK705" s="1252"/>
      <c r="AL705" s="1253"/>
      <c r="AM705" s="1244">
        <f t="shared" si="56"/>
        <v>0.3000667556742323</v>
      </c>
      <c r="AN705" s="1245"/>
      <c r="AO705" s="1246"/>
      <c r="AV705" s="43">
        <f t="shared" si="49"/>
        <v>2996</v>
      </c>
      <c r="AX705" s="41"/>
      <c r="AY705" s="443">
        <f t="shared" si="50"/>
        <v>20</v>
      </c>
      <c r="AZ705" s="449">
        <f t="shared" si="51"/>
        <v>0.43478260869565216</v>
      </c>
      <c r="BA705" s="450">
        <f t="shared" si="52"/>
        <v>0.13043478260869565</v>
      </c>
      <c r="BB705" s="41"/>
      <c r="BC705" s="41"/>
      <c r="BD705" s="41"/>
      <c r="BE705" s="848">
        <f t="shared" si="53"/>
        <v>20</v>
      </c>
      <c r="BF705" s="852">
        <f t="shared" si="54"/>
        <v>0.43478260869565216</v>
      </c>
      <c r="BG705" s="853">
        <f t="shared" si="55"/>
        <v>0.13046380681488359</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31" t="s">
        <v>442</v>
      </c>
      <c r="C706" s="1332"/>
      <c r="D706" s="1332"/>
      <c r="E706" s="1332"/>
      <c r="F706" s="1333"/>
      <c r="G706" s="1268">
        <v>1</v>
      </c>
      <c r="H706" s="1269"/>
      <c r="I706" s="1269"/>
      <c r="J706" s="1270"/>
      <c r="K706" s="1074">
        <v>594</v>
      </c>
      <c r="L706" s="1075"/>
      <c r="M706" s="1075"/>
      <c r="N706" s="1076"/>
      <c r="O706" s="1084">
        <v>300</v>
      </c>
      <c r="P706" s="1085"/>
      <c r="Q706" s="1085"/>
      <c r="R706" s="1085"/>
      <c r="S706" s="1086"/>
      <c r="T706" s="1081">
        <f t="shared" si="47"/>
        <v>300</v>
      </c>
      <c r="U706" s="1082"/>
      <c r="V706" s="1082"/>
      <c r="W706" s="1082"/>
      <c r="X706" s="1083"/>
      <c r="Y706" s="1084">
        <v>69</v>
      </c>
      <c r="Z706" s="1085"/>
      <c r="AA706" s="1085"/>
      <c r="AB706" s="1086"/>
      <c r="AC706" s="1081">
        <f t="shared" si="48"/>
        <v>369</v>
      </c>
      <c r="AD706" s="1082"/>
      <c r="AE706" s="1082"/>
      <c r="AF706" s="1082"/>
      <c r="AG706" s="1083"/>
      <c r="AH706" s="1251">
        <v>0.3</v>
      </c>
      <c r="AI706" s="1252"/>
      <c r="AJ706" s="1252"/>
      <c r="AK706" s="1252"/>
      <c r="AL706" s="1253"/>
      <c r="AM706" s="1244">
        <f t="shared" si="56"/>
        <v>0.12316421895861149</v>
      </c>
      <c r="AN706" s="1245"/>
      <c r="AO706" s="1246"/>
      <c r="AV706" s="43">
        <f t="shared" si="49"/>
        <v>2996</v>
      </c>
      <c r="AX706" s="41"/>
      <c r="AY706" s="443">
        <f t="shared" si="50"/>
        <v>1</v>
      </c>
      <c r="AZ706" s="449">
        <f t="shared" si="51"/>
        <v>2.1739130434782608E-2</v>
      </c>
      <c r="BA706" s="450">
        <f t="shared" si="52"/>
        <v>6.5217391304347823E-3</v>
      </c>
      <c r="BB706" s="41"/>
      <c r="BC706" s="41"/>
      <c r="BD706" s="41"/>
      <c r="BE706" s="848">
        <f t="shared" si="53"/>
        <v>1</v>
      </c>
      <c r="BF706" s="852">
        <f t="shared" si="54"/>
        <v>2.1739130434782608E-2</v>
      </c>
      <c r="BG706" s="853">
        <f t="shared" si="55"/>
        <v>2.6774830208393802E-3</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31"/>
      <c r="C707" s="1332"/>
      <c r="D707" s="1332"/>
      <c r="E707" s="1332"/>
      <c r="F707" s="1333"/>
      <c r="G707" s="1268"/>
      <c r="H707" s="1269"/>
      <c r="I707" s="1269"/>
      <c r="J707" s="1270"/>
      <c r="K707" s="1074"/>
      <c r="L707" s="1075"/>
      <c r="M707" s="1075"/>
      <c r="N707" s="1076"/>
      <c r="O707" s="1084"/>
      <c r="P707" s="1085"/>
      <c r="Q707" s="1085"/>
      <c r="R707" s="1085"/>
      <c r="S707" s="1086"/>
      <c r="T707" s="1081">
        <f t="shared" si="47"/>
        <v>0</v>
      </c>
      <c r="U707" s="1082"/>
      <c r="V707" s="1082"/>
      <c r="W707" s="1082"/>
      <c r="X707" s="1083"/>
      <c r="Y707" s="1084"/>
      <c r="Z707" s="1085"/>
      <c r="AA707" s="1085"/>
      <c r="AB707" s="1086"/>
      <c r="AC707" s="1081">
        <f t="shared" si="48"/>
        <v>0</v>
      </c>
      <c r="AD707" s="1082"/>
      <c r="AE707" s="1082"/>
      <c r="AF707" s="1082"/>
      <c r="AG707" s="1083"/>
      <c r="AH707" s="1251"/>
      <c r="AI707" s="1252"/>
      <c r="AJ707" s="1252"/>
      <c r="AK707" s="1252"/>
      <c r="AL707" s="1253"/>
      <c r="AM707" s="1244" t="str">
        <f t="shared" si="56"/>
        <v/>
      </c>
      <c r="AN707" s="1245"/>
      <c r="AO707" s="1246"/>
      <c r="AV707" s="43" t="str">
        <f t="shared" si="49"/>
        <v>N/A</v>
      </c>
      <c r="AX707" s="41"/>
      <c r="AY707" s="443">
        <f t="shared" si="50"/>
        <v>0</v>
      </c>
      <c r="AZ707" s="449">
        <f t="shared" si="51"/>
        <v>0</v>
      </c>
      <c r="BA707" s="450">
        <f t="shared" si="52"/>
        <v>0</v>
      </c>
      <c r="BB707" s="41"/>
      <c r="BC707" s="41"/>
      <c r="BD707" s="41"/>
      <c r="BE707" s="848">
        <f t="shared" si="53"/>
        <v>0</v>
      </c>
      <c r="BF707" s="852" t="str">
        <f t="shared" si="54"/>
        <v/>
      </c>
      <c r="BG707" s="853" t="str">
        <f t="shared" si="55"/>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31"/>
      <c r="C708" s="1332"/>
      <c r="D708" s="1332"/>
      <c r="E708" s="1332"/>
      <c r="F708" s="1333"/>
      <c r="G708" s="1268"/>
      <c r="H708" s="1269"/>
      <c r="I708" s="1269"/>
      <c r="J708" s="1270"/>
      <c r="K708" s="1074"/>
      <c r="L708" s="1075"/>
      <c r="M708" s="1075"/>
      <c r="N708" s="1076"/>
      <c r="O708" s="1084"/>
      <c r="P708" s="1085"/>
      <c r="Q708" s="1085"/>
      <c r="R708" s="1085"/>
      <c r="S708" s="1086"/>
      <c r="T708" s="1081">
        <f t="shared" si="47"/>
        <v>0</v>
      </c>
      <c r="U708" s="1082"/>
      <c r="V708" s="1082"/>
      <c r="W708" s="1082"/>
      <c r="X708" s="1083"/>
      <c r="Y708" s="1084"/>
      <c r="Z708" s="1085"/>
      <c r="AA708" s="1085"/>
      <c r="AB708" s="1086"/>
      <c r="AC708" s="1081">
        <f t="shared" si="48"/>
        <v>0</v>
      </c>
      <c r="AD708" s="1082"/>
      <c r="AE708" s="1082"/>
      <c r="AF708" s="1082"/>
      <c r="AG708" s="1083"/>
      <c r="AH708" s="1251"/>
      <c r="AI708" s="1252"/>
      <c r="AJ708" s="1252"/>
      <c r="AK708" s="1252"/>
      <c r="AL708" s="1253"/>
      <c r="AM708" s="1244" t="str">
        <f t="shared" si="56"/>
        <v/>
      </c>
      <c r="AN708" s="1245"/>
      <c r="AO708" s="1246"/>
      <c r="AV708" s="43" t="str">
        <f t="shared" si="49"/>
        <v>N/A</v>
      </c>
      <c r="AX708" s="41"/>
      <c r="AY708" s="443">
        <f t="shared" si="50"/>
        <v>0</v>
      </c>
      <c r="AZ708" s="449">
        <f t="shared" si="51"/>
        <v>0</v>
      </c>
      <c r="BA708" s="450">
        <f t="shared" si="52"/>
        <v>0</v>
      </c>
      <c r="BB708" s="41"/>
      <c r="BC708" s="41"/>
      <c r="BD708" s="41"/>
      <c r="BE708" s="848">
        <f t="shared" si="53"/>
        <v>0</v>
      </c>
      <c r="BF708" s="852" t="str">
        <f t="shared" si="54"/>
        <v/>
      </c>
      <c r="BG708" s="853" t="str">
        <f t="shared" si="55"/>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31"/>
      <c r="C709" s="1332"/>
      <c r="D709" s="1332"/>
      <c r="E709" s="1332"/>
      <c r="F709" s="1333"/>
      <c r="G709" s="1268"/>
      <c r="H709" s="1269"/>
      <c r="I709" s="1269"/>
      <c r="J709" s="1270"/>
      <c r="K709" s="1074"/>
      <c r="L709" s="1075"/>
      <c r="M709" s="1075"/>
      <c r="N709" s="1076"/>
      <c r="O709" s="1084"/>
      <c r="P709" s="1085"/>
      <c r="Q709" s="1085"/>
      <c r="R709" s="1085"/>
      <c r="S709" s="1086"/>
      <c r="T709" s="1081">
        <f t="shared" si="47"/>
        <v>0</v>
      </c>
      <c r="U709" s="1082"/>
      <c r="V709" s="1082"/>
      <c r="W709" s="1082"/>
      <c r="X709" s="1083"/>
      <c r="Y709" s="1084"/>
      <c r="Z709" s="1085"/>
      <c r="AA709" s="1085"/>
      <c r="AB709" s="1086"/>
      <c r="AC709" s="1081">
        <f t="shared" si="48"/>
        <v>0</v>
      </c>
      <c r="AD709" s="1082"/>
      <c r="AE709" s="1082"/>
      <c r="AF709" s="1082"/>
      <c r="AG709" s="1083"/>
      <c r="AH709" s="1251"/>
      <c r="AI709" s="1252"/>
      <c r="AJ709" s="1252"/>
      <c r="AK709" s="1252"/>
      <c r="AL709" s="1253"/>
      <c r="AM709" s="1244" t="str">
        <f t="shared" si="56"/>
        <v/>
      </c>
      <c r="AN709" s="1245"/>
      <c r="AO709" s="1246"/>
      <c r="AV709" s="43" t="str">
        <f t="shared" si="49"/>
        <v>N/A</v>
      </c>
      <c r="AX709" s="41"/>
      <c r="AY709" s="443">
        <f t="shared" si="50"/>
        <v>0</v>
      </c>
      <c r="AZ709" s="449">
        <f t="shared" si="51"/>
        <v>0</v>
      </c>
      <c r="BA709" s="450">
        <f t="shared" si="52"/>
        <v>0</v>
      </c>
      <c r="BB709" s="41"/>
      <c r="BC709" s="41"/>
      <c r="BD709" s="41"/>
      <c r="BE709" s="848">
        <f t="shared" si="53"/>
        <v>0</v>
      </c>
      <c r="BF709" s="852" t="str">
        <f t="shared" si="54"/>
        <v/>
      </c>
      <c r="BG709" s="853" t="str">
        <f t="shared" si="55"/>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31"/>
      <c r="C710" s="1332"/>
      <c r="D710" s="1332"/>
      <c r="E710" s="1332"/>
      <c r="F710" s="1333"/>
      <c r="G710" s="1268"/>
      <c r="H710" s="1269"/>
      <c r="I710" s="1269"/>
      <c r="J710" s="1270"/>
      <c r="K710" s="1074"/>
      <c r="L710" s="1075"/>
      <c r="M710" s="1075"/>
      <c r="N710" s="1076"/>
      <c r="O710" s="1084"/>
      <c r="P710" s="1085"/>
      <c r="Q710" s="1085"/>
      <c r="R710" s="1085"/>
      <c r="S710" s="1086"/>
      <c r="T710" s="1081">
        <f t="shared" si="47"/>
        <v>0</v>
      </c>
      <c r="U710" s="1082"/>
      <c r="V710" s="1082"/>
      <c r="W710" s="1082"/>
      <c r="X710" s="1083"/>
      <c r="Y710" s="1084"/>
      <c r="Z710" s="1085"/>
      <c r="AA710" s="1085"/>
      <c r="AB710" s="1086"/>
      <c r="AC710" s="1081">
        <f t="shared" si="48"/>
        <v>0</v>
      </c>
      <c r="AD710" s="1082"/>
      <c r="AE710" s="1082"/>
      <c r="AF710" s="1082"/>
      <c r="AG710" s="1083"/>
      <c r="AH710" s="1251"/>
      <c r="AI710" s="1252"/>
      <c r="AJ710" s="1252"/>
      <c r="AK710" s="1252"/>
      <c r="AL710" s="1253"/>
      <c r="AM710" s="1244" t="str">
        <f t="shared" si="56"/>
        <v/>
      </c>
      <c r="AN710" s="1245"/>
      <c r="AO710" s="1246"/>
      <c r="AV710" s="43" t="str">
        <f t="shared" si="49"/>
        <v>N/A</v>
      </c>
      <c r="AX710" s="41"/>
      <c r="AY710" s="443">
        <f t="shared" si="50"/>
        <v>0</v>
      </c>
      <c r="AZ710" s="449">
        <f t="shared" si="51"/>
        <v>0</v>
      </c>
      <c r="BA710" s="450">
        <f t="shared" si="52"/>
        <v>0</v>
      </c>
      <c r="BB710" s="41"/>
      <c r="BC710" s="41"/>
      <c r="BD710" s="41"/>
      <c r="BE710" s="848">
        <f t="shared" si="53"/>
        <v>0</v>
      </c>
      <c r="BF710" s="852" t="str">
        <f t="shared" si="54"/>
        <v/>
      </c>
      <c r="BG710" s="853" t="str">
        <f t="shared" si="55"/>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31"/>
      <c r="C711" s="1332"/>
      <c r="D711" s="1332"/>
      <c r="E711" s="1332"/>
      <c r="F711" s="1333"/>
      <c r="G711" s="1268"/>
      <c r="H711" s="1269"/>
      <c r="I711" s="1269"/>
      <c r="J711" s="1270"/>
      <c r="K711" s="1074"/>
      <c r="L711" s="1075"/>
      <c r="M711" s="1075"/>
      <c r="N711" s="1076"/>
      <c r="O711" s="1084"/>
      <c r="P711" s="1085"/>
      <c r="Q711" s="1085"/>
      <c r="R711" s="1085"/>
      <c r="S711" s="1086"/>
      <c r="T711" s="1081">
        <f t="shared" si="47"/>
        <v>0</v>
      </c>
      <c r="U711" s="1082"/>
      <c r="V711" s="1082"/>
      <c r="W711" s="1082"/>
      <c r="X711" s="1083"/>
      <c r="Y711" s="1084"/>
      <c r="Z711" s="1085"/>
      <c r="AA711" s="1085"/>
      <c r="AB711" s="1086"/>
      <c r="AC711" s="1081">
        <f t="shared" si="48"/>
        <v>0</v>
      </c>
      <c r="AD711" s="1082"/>
      <c r="AE711" s="1082"/>
      <c r="AF711" s="1082"/>
      <c r="AG711" s="1083"/>
      <c r="AH711" s="1251"/>
      <c r="AI711" s="1252"/>
      <c r="AJ711" s="1252"/>
      <c r="AK711" s="1252"/>
      <c r="AL711" s="1253"/>
      <c r="AM711" s="1244" t="str">
        <f t="shared" si="56"/>
        <v/>
      </c>
      <c r="AN711" s="1245"/>
      <c r="AO711" s="1246"/>
      <c r="AV711" s="43" t="str">
        <f t="shared" si="49"/>
        <v>N/A</v>
      </c>
      <c r="AX711" s="41"/>
      <c r="AY711" s="443">
        <f t="shared" si="50"/>
        <v>0</v>
      </c>
      <c r="AZ711" s="449">
        <f t="shared" si="51"/>
        <v>0</v>
      </c>
      <c r="BA711" s="450">
        <f t="shared" si="52"/>
        <v>0</v>
      </c>
      <c r="BB711" s="41"/>
      <c r="BC711" s="41"/>
      <c r="BD711" s="41"/>
      <c r="BE711" s="848">
        <f t="shared" si="53"/>
        <v>0</v>
      </c>
      <c r="BF711" s="852" t="str">
        <f t="shared" si="54"/>
        <v/>
      </c>
      <c r="BG711" s="853" t="str">
        <f t="shared" si="55"/>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31"/>
      <c r="C712" s="1332"/>
      <c r="D712" s="1332"/>
      <c r="E712" s="1332"/>
      <c r="F712" s="1333"/>
      <c r="G712" s="1268"/>
      <c r="H712" s="1269"/>
      <c r="I712" s="1269"/>
      <c r="J712" s="1270"/>
      <c r="K712" s="1074"/>
      <c r="L712" s="1075"/>
      <c r="M712" s="1075"/>
      <c r="N712" s="1076"/>
      <c r="O712" s="1084"/>
      <c r="P712" s="1085"/>
      <c r="Q712" s="1085"/>
      <c r="R712" s="1085"/>
      <c r="S712" s="1086"/>
      <c r="T712" s="1081">
        <f t="shared" si="47"/>
        <v>0</v>
      </c>
      <c r="U712" s="1082"/>
      <c r="V712" s="1082"/>
      <c r="W712" s="1082"/>
      <c r="X712" s="1083"/>
      <c r="Y712" s="1084"/>
      <c r="Z712" s="1085"/>
      <c r="AA712" s="1085"/>
      <c r="AB712" s="1086"/>
      <c r="AC712" s="1081">
        <f t="shared" si="48"/>
        <v>0</v>
      </c>
      <c r="AD712" s="1082"/>
      <c r="AE712" s="1082"/>
      <c r="AF712" s="1082"/>
      <c r="AG712" s="1083"/>
      <c r="AH712" s="1251"/>
      <c r="AI712" s="1252"/>
      <c r="AJ712" s="1252"/>
      <c r="AK712" s="1252"/>
      <c r="AL712" s="1253"/>
      <c r="AM712" s="1244" t="str">
        <f t="shared" si="56"/>
        <v/>
      </c>
      <c r="AN712" s="1245"/>
      <c r="AO712" s="1246"/>
      <c r="AV712" s="43" t="str">
        <f t="shared" si="49"/>
        <v>N/A</v>
      </c>
      <c r="AX712" s="41"/>
      <c r="AY712" s="443">
        <f t="shared" si="50"/>
        <v>0</v>
      </c>
      <c r="AZ712" s="449">
        <f t="shared" si="51"/>
        <v>0</v>
      </c>
      <c r="BA712" s="450">
        <f t="shared" si="52"/>
        <v>0</v>
      </c>
      <c r="BB712" s="41"/>
      <c r="BC712" s="41"/>
      <c r="BD712" s="41"/>
      <c r="BE712" s="848">
        <f t="shared" si="53"/>
        <v>0</v>
      </c>
      <c r="BF712" s="852" t="str">
        <f t="shared" si="54"/>
        <v/>
      </c>
      <c r="BG712" s="853" t="str">
        <f t="shared" si="55"/>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31"/>
      <c r="C713" s="1332"/>
      <c r="D713" s="1332"/>
      <c r="E713" s="1332"/>
      <c r="F713" s="1333"/>
      <c r="G713" s="1268"/>
      <c r="H713" s="1269"/>
      <c r="I713" s="1269"/>
      <c r="J713" s="1270"/>
      <c r="K713" s="1074"/>
      <c r="L713" s="1075"/>
      <c r="M713" s="1075"/>
      <c r="N713" s="1076"/>
      <c r="O713" s="1084"/>
      <c r="P713" s="1085"/>
      <c r="Q713" s="1085"/>
      <c r="R713" s="1085"/>
      <c r="S713" s="1086"/>
      <c r="T713" s="1081">
        <f t="shared" si="47"/>
        <v>0</v>
      </c>
      <c r="U713" s="1082"/>
      <c r="V713" s="1082"/>
      <c r="W713" s="1082"/>
      <c r="X713" s="1083"/>
      <c r="Y713" s="1084"/>
      <c r="Z713" s="1085"/>
      <c r="AA713" s="1085"/>
      <c r="AB713" s="1086"/>
      <c r="AC713" s="1081">
        <f t="shared" si="48"/>
        <v>0</v>
      </c>
      <c r="AD713" s="1082"/>
      <c r="AE713" s="1082"/>
      <c r="AF713" s="1082"/>
      <c r="AG713" s="1083"/>
      <c r="AH713" s="1251"/>
      <c r="AI713" s="1252"/>
      <c r="AJ713" s="1252"/>
      <c r="AK713" s="1252"/>
      <c r="AL713" s="1253"/>
      <c r="AM713" s="1244" t="str">
        <f t="shared" si="56"/>
        <v/>
      </c>
      <c r="AN713" s="1245"/>
      <c r="AO713" s="1246"/>
      <c r="AV713" s="43" t="str">
        <f t="shared" si="49"/>
        <v>N/A</v>
      </c>
      <c r="AX713" s="41"/>
      <c r="AY713" s="443">
        <f t="shared" si="50"/>
        <v>0</v>
      </c>
      <c r="AZ713" s="449">
        <f t="shared" si="51"/>
        <v>0</v>
      </c>
      <c r="BA713" s="450">
        <f t="shared" si="52"/>
        <v>0</v>
      </c>
      <c r="BB713" s="41"/>
      <c r="BC713" s="41"/>
      <c r="BD713" s="41"/>
      <c r="BE713" s="848">
        <f t="shared" si="53"/>
        <v>0</v>
      </c>
      <c r="BF713" s="852" t="str">
        <f t="shared" si="54"/>
        <v/>
      </c>
      <c r="BG713" s="853" t="str">
        <f t="shared" si="55"/>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31"/>
      <c r="C714" s="1332"/>
      <c r="D714" s="1332"/>
      <c r="E714" s="1332"/>
      <c r="F714" s="1333"/>
      <c r="G714" s="1268"/>
      <c r="H714" s="1269"/>
      <c r="I714" s="1269"/>
      <c r="J714" s="1270"/>
      <c r="K714" s="1074"/>
      <c r="L714" s="1075"/>
      <c r="M714" s="1075"/>
      <c r="N714" s="1076"/>
      <c r="O714" s="1084"/>
      <c r="P714" s="1085"/>
      <c r="Q714" s="1085"/>
      <c r="R714" s="1085"/>
      <c r="S714" s="1086"/>
      <c r="T714" s="1081">
        <f t="shared" si="47"/>
        <v>0</v>
      </c>
      <c r="U714" s="1082"/>
      <c r="V714" s="1082"/>
      <c r="W714" s="1082"/>
      <c r="X714" s="1083"/>
      <c r="Y714" s="1084"/>
      <c r="Z714" s="1085"/>
      <c r="AA714" s="1085"/>
      <c r="AB714" s="1086"/>
      <c r="AC714" s="1081">
        <f t="shared" si="48"/>
        <v>0</v>
      </c>
      <c r="AD714" s="1082"/>
      <c r="AE714" s="1082"/>
      <c r="AF714" s="1082"/>
      <c r="AG714" s="1083"/>
      <c r="AH714" s="1251"/>
      <c r="AI714" s="1252"/>
      <c r="AJ714" s="1252"/>
      <c r="AK714" s="1252"/>
      <c r="AL714" s="1253"/>
      <c r="AM714" s="1244" t="str">
        <f t="shared" si="56"/>
        <v/>
      </c>
      <c r="AN714" s="1245"/>
      <c r="AO714" s="1246"/>
      <c r="AV714" s="43" t="str">
        <f t="shared" si="49"/>
        <v>N/A</v>
      </c>
      <c r="AX714" s="41"/>
      <c r="AY714" s="443">
        <f t="shared" si="50"/>
        <v>0</v>
      </c>
      <c r="AZ714" s="449">
        <f t="shared" si="51"/>
        <v>0</v>
      </c>
      <c r="BA714" s="450">
        <f t="shared" si="52"/>
        <v>0</v>
      </c>
      <c r="BB714" s="41"/>
      <c r="BC714" s="41"/>
      <c r="BD714" s="41"/>
      <c r="BE714" s="848">
        <f t="shared" si="53"/>
        <v>0</v>
      </c>
      <c r="BF714" s="852" t="str">
        <f t="shared" si="54"/>
        <v/>
      </c>
      <c r="BG714" s="853" t="str">
        <f t="shared" si="55"/>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31"/>
      <c r="C715" s="1332"/>
      <c r="D715" s="1332"/>
      <c r="E715" s="1332"/>
      <c r="F715" s="1333"/>
      <c r="G715" s="1268"/>
      <c r="H715" s="1269"/>
      <c r="I715" s="1269"/>
      <c r="J715" s="1270"/>
      <c r="K715" s="1074"/>
      <c r="L715" s="1075"/>
      <c r="M715" s="1075"/>
      <c r="N715" s="1076"/>
      <c r="O715" s="1084"/>
      <c r="P715" s="1085"/>
      <c r="Q715" s="1085"/>
      <c r="R715" s="1085"/>
      <c r="S715" s="1086"/>
      <c r="T715" s="1081">
        <f t="shared" si="47"/>
        <v>0</v>
      </c>
      <c r="U715" s="1082"/>
      <c r="V715" s="1082"/>
      <c r="W715" s="1082"/>
      <c r="X715" s="1083"/>
      <c r="Y715" s="1084"/>
      <c r="Z715" s="1085"/>
      <c r="AA715" s="1085"/>
      <c r="AB715" s="1086"/>
      <c r="AC715" s="1081">
        <f t="shared" si="48"/>
        <v>0</v>
      </c>
      <c r="AD715" s="1082"/>
      <c r="AE715" s="1082"/>
      <c r="AF715" s="1082"/>
      <c r="AG715" s="1083"/>
      <c r="AH715" s="1251"/>
      <c r="AI715" s="1252"/>
      <c r="AJ715" s="1252"/>
      <c r="AK715" s="1252"/>
      <c r="AL715" s="1253"/>
      <c r="AM715" s="1244" t="str">
        <f t="shared" si="56"/>
        <v/>
      </c>
      <c r="AN715" s="1245"/>
      <c r="AO715" s="1246"/>
      <c r="AV715" s="43" t="str">
        <f t="shared" si="49"/>
        <v>N/A</v>
      </c>
      <c r="AX715" s="41"/>
      <c r="AY715" s="443">
        <f t="shared" si="50"/>
        <v>0</v>
      </c>
      <c r="AZ715" s="449">
        <f t="shared" si="51"/>
        <v>0</v>
      </c>
      <c r="BA715" s="450">
        <f t="shared" si="52"/>
        <v>0</v>
      </c>
      <c r="BB715" s="41"/>
      <c r="BC715" s="41"/>
      <c r="BD715" s="41"/>
      <c r="BE715" s="848">
        <f t="shared" si="53"/>
        <v>0</v>
      </c>
      <c r="BF715" s="852" t="str">
        <f t="shared" si="54"/>
        <v/>
      </c>
      <c r="BG715" s="853" t="str">
        <f t="shared" si="55"/>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31"/>
      <c r="C716" s="1332"/>
      <c r="D716" s="1332"/>
      <c r="E716" s="1332"/>
      <c r="F716" s="1333"/>
      <c r="G716" s="1268"/>
      <c r="H716" s="1269"/>
      <c r="I716" s="1269"/>
      <c r="J716" s="1270"/>
      <c r="K716" s="1074"/>
      <c r="L716" s="1075"/>
      <c r="M716" s="1075"/>
      <c r="N716" s="1076"/>
      <c r="O716" s="1084"/>
      <c r="P716" s="1085"/>
      <c r="Q716" s="1085"/>
      <c r="R716" s="1085"/>
      <c r="S716" s="1086"/>
      <c r="T716" s="1081">
        <f t="shared" si="47"/>
        <v>0</v>
      </c>
      <c r="U716" s="1082"/>
      <c r="V716" s="1082"/>
      <c r="W716" s="1082"/>
      <c r="X716" s="1083"/>
      <c r="Y716" s="1084"/>
      <c r="Z716" s="1085"/>
      <c r="AA716" s="1085"/>
      <c r="AB716" s="1086"/>
      <c r="AC716" s="1081">
        <f t="shared" si="48"/>
        <v>0</v>
      </c>
      <c r="AD716" s="1082"/>
      <c r="AE716" s="1082"/>
      <c r="AF716" s="1082"/>
      <c r="AG716" s="1083"/>
      <c r="AH716" s="1251"/>
      <c r="AI716" s="1252"/>
      <c r="AJ716" s="1252"/>
      <c r="AK716" s="1252"/>
      <c r="AL716" s="1253"/>
      <c r="AM716" s="1244" t="str">
        <f t="shared" si="56"/>
        <v/>
      </c>
      <c r="AN716" s="1245"/>
      <c r="AO716" s="1246"/>
      <c r="AV716" s="43" t="str">
        <f t="shared" si="49"/>
        <v>N/A</v>
      </c>
      <c r="AX716" s="41"/>
      <c r="AY716" s="443">
        <f t="shared" si="50"/>
        <v>0</v>
      </c>
      <c r="AZ716" s="449">
        <f t="shared" si="51"/>
        <v>0</v>
      </c>
      <c r="BA716" s="450">
        <f t="shared" si="52"/>
        <v>0</v>
      </c>
      <c r="BB716" s="41"/>
      <c r="BC716" s="41"/>
      <c r="BD716" s="41"/>
      <c r="BE716" s="848">
        <f t="shared" si="53"/>
        <v>0</v>
      </c>
      <c r="BF716" s="852" t="str">
        <f t="shared" si="54"/>
        <v/>
      </c>
      <c r="BG716" s="853" t="str">
        <f t="shared" si="55"/>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31"/>
      <c r="C717" s="1332"/>
      <c r="D717" s="1332"/>
      <c r="E717" s="1332"/>
      <c r="F717" s="1333"/>
      <c r="G717" s="1268"/>
      <c r="H717" s="1269"/>
      <c r="I717" s="1269"/>
      <c r="J717" s="1270"/>
      <c r="K717" s="1074"/>
      <c r="L717" s="1075"/>
      <c r="M717" s="1075"/>
      <c r="N717" s="1076"/>
      <c r="O717" s="1084"/>
      <c r="P717" s="1085"/>
      <c r="Q717" s="1085"/>
      <c r="R717" s="1085"/>
      <c r="S717" s="1086"/>
      <c r="T717" s="1081">
        <f t="shared" si="47"/>
        <v>0</v>
      </c>
      <c r="U717" s="1082"/>
      <c r="V717" s="1082"/>
      <c r="W717" s="1082"/>
      <c r="X717" s="1083"/>
      <c r="Y717" s="1084"/>
      <c r="Z717" s="1085"/>
      <c r="AA717" s="1085"/>
      <c r="AB717" s="1086"/>
      <c r="AC717" s="1081">
        <f t="shared" si="48"/>
        <v>0</v>
      </c>
      <c r="AD717" s="1082"/>
      <c r="AE717" s="1082"/>
      <c r="AF717" s="1082"/>
      <c r="AG717" s="1083"/>
      <c r="AH717" s="1251"/>
      <c r="AI717" s="1252"/>
      <c r="AJ717" s="1252"/>
      <c r="AK717" s="1252"/>
      <c r="AL717" s="1253"/>
      <c r="AM717" s="1244" t="str">
        <f t="shared" si="56"/>
        <v/>
      </c>
      <c r="AN717" s="1245"/>
      <c r="AO717" s="1246"/>
      <c r="AV717" s="43" t="str">
        <f t="shared" si="49"/>
        <v>N/A</v>
      </c>
      <c r="AX717" s="41"/>
      <c r="AY717" s="443">
        <f t="shared" si="50"/>
        <v>0</v>
      </c>
      <c r="AZ717" s="449">
        <f t="shared" si="51"/>
        <v>0</v>
      </c>
      <c r="BA717" s="450">
        <f t="shared" si="52"/>
        <v>0</v>
      </c>
      <c r="BB717" s="41"/>
      <c r="BC717" s="41"/>
      <c r="BD717" s="41"/>
      <c r="BE717" s="848">
        <f t="shared" si="53"/>
        <v>0</v>
      </c>
      <c r="BF717" s="852" t="str">
        <f t="shared" si="54"/>
        <v/>
      </c>
      <c r="BG717" s="853" t="str">
        <f t="shared" si="55"/>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31"/>
      <c r="C718" s="1332"/>
      <c r="D718" s="1332"/>
      <c r="E718" s="1332"/>
      <c r="F718" s="1333"/>
      <c r="G718" s="1268"/>
      <c r="H718" s="1269"/>
      <c r="I718" s="1269"/>
      <c r="J718" s="1270"/>
      <c r="K718" s="1074"/>
      <c r="L718" s="1075"/>
      <c r="M718" s="1075"/>
      <c r="N718" s="1076"/>
      <c r="O718" s="1084"/>
      <c r="P718" s="1085"/>
      <c r="Q718" s="1085"/>
      <c r="R718" s="1085"/>
      <c r="S718" s="1086"/>
      <c r="T718" s="1081">
        <f t="shared" si="47"/>
        <v>0</v>
      </c>
      <c r="U718" s="1082"/>
      <c r="V718" s="1082"/>
      <c r="W718" s="1082"/>
      <c r="X718" s="1083"/>
      <c r="Y718" s="1084"/>
      <c r="Z718" s="1085"/>
      <c r="AA718" s="1085"/>
      <c r="AB718" s="1086"/>
      <c r="AC718" s="1081">
        <f t="shared" si="48"/>
        <v>0</v>
      </c>
      <c r="AD718" s="1082"/>
      <c r="AE718" s="1082"/>
      <c r="AF718" s="1082"/>
      <c r="AG718" s="1083"/>
      <c r="AH718" s="1251"/>
      <c r="AI718" s="1252"/>
      <c r="AJ718" s="1252"/>
      <c r="AK718" s="1252"/>
      <c r="AL718" s="1253"/>
      <c r="AM718" s="1244" t="str">
        <f t="shared" si="56"/>
        <v/>
      </c>
      <c r="AN718" s="1245"/>
      <c r="AO718" s="1246"/>
      <c r="AV718" s="43" t="str">
        <f t="shared" si="49"/>
        <v>N/A</v>
      </c>
      <c r="AX718" s="41"/>
      <c r="AY718" s="443">
        <f t="shared" si="50"/>
        <v>0</v>
      </c>
      <c r="AZ718" s="449">
        <f t="shared" si="51"/>
        <v>0</v>
      </c>
      <c r="BA718" s="450">
        <f t="shared" si="52"/>
        <v>0</v>
      </c>
      <c r="BB718" s="41"/>
      <c r="BC718" s="41"/>
      <c r="BD718" s="41"/>
      <c r="BE718" s="848">
        <f t="shared" si="53"/>
        <v>0</v>
      </c>
      <c r="BF718" s="852" t="str">
        <f t="shared" si="54"/>
        <v/>
      </c>
      <c r="BG718" s="853" t="str">
        <f t="shared" si="55"/>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31"/>
      <c r="C719" s="1332"/>
      <c r="D719" s="1332"/>
      <c r="E719" s="1332"/>
      <c r="F719" s="1333"/>
      <c r="G719" s="1268"/>
      <c r="H719" s="1269"/>
      <c r="I719" s="1269"/>
      <c r="J719" s="1270"/>
      <c r="K719" s="1074"/>
      <c r="L719" s="1075"/>
      <c r="M719" s="1075"/>
      <c r="N719" s="1076"/>
      <c r="O719" s="1084"/>
      <c r="P719" s="1085"/>
      <c r="Q719" s="1085"/>
      <c r="R719" s="1085"/>
      <c r="S719" s="1086"/>
      <c r="T719" s="1081">
        <f t="shared" si="47"/>
        <v>0</v>
      </c>
      <c r="U719" s="1082"/>
      <c r="V719" s="1082"/>
      <c r="W719" s="1082"/>
      <c r="X719" s="1083"/>
      <c r="Y719" s="1084"/>
      <c r="Z719" s="1085"/>
      <c r="AA719" s="1085"/>
      <c r="AB719" s="1086"/>
      <c r="AC719" s="1081">
        <f t="shared" si="48"/>
        <v>0</v>
      </c>
      <c r="AD719" s="1082"/>
      <c r="AE719" s="1082"/>
      <c r="AF719" s="1082"/>
      <c r="AG719" s="1083"/>
      <c r="AH719" s="1251"/>
      <c r="AI719" s="1252"/>
      <c r="AJ719" s="1252"/>
      <c r="AK719" s="1252"/>
      <c r="AL719" s="1253"/>
      <c r="AM719" s="1244" t="str">
        <f t="shared" si="56"/>
        <v/>
      </c>
      <c r="AN719" s="1245"/>
      <c r="AO719" s="1246"/>
      <c r="AV719" s="43" t="str">
        <f t="shared" si="49"/>
        <v>N/A</v>
      </c>
      <c r="AX719" s="41"/>
      <c r="AY719" s="443">
        <f t="shared" si="50"/>
        <v>0</v>
      </c>
      <c r="AZ719" s="449">
        <f t="shared" si="51"/>
        <v>0</v>
      </c>
      <c r="BA719" s="450">
        <f t="shared" si="52"/>
        <v>0</v>
      </c>
      <c r="BB719" s="41"/>
      <c r="BC719" s="41"/>
      <c r="BD719" s="41"/>
      <c r="BE719" s="848">
        <f t="shared" si="53"/>
        <v>0</v>
      </c>
      <c r="BF719" s="852" t="str">
        <f t="shared" si="54"/>
        <v/>
      </c>
      <c r="BG719" s="853" t="str">
        <f t="shared" si="55"/>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31"/>
      <c r="C720" s="1332"/>
      <c r="D720" s="1332"/>
      <c r="E720" s="1332"/>
      <c r="F720" s="1333"/>
      <c r="G720" s="1268"/>
      <c r="H720" s="1269"/>
      <c r="I720" s="1269"/>
      <c r="J720" s="1270"/>
      <c r="K720" s="1074"/>
      <c r="L720" s="1075"/>
      <c r="M720" s="1075"/>
      <c r="N720" s="1076"/>
      <c r="O720" s="1084"/>
      <c r="P720" s="1085"/>
      <c r="Q720" s="1085"/>
      <c r="R720" s="1085"/>
      <c r="S720" s="1086"/>
      <c r="T720" s="1081">
        <f t="shared" si="47"/>
        <v>0</v>
      </c>
      <c r="U720" s="1082"/>
      <c r="V720" s="1082"/>
      <c r="W720" s="1082"/>
      <c r="X720" s="1083"/>
      <c r="Y720" s="1084"/>
      <c r="Z720" s="1085"/>
      <c r="AA720" s="1085"/>
      <c r="AB720" s="1086"/>
      <c r="AC720" s="1081">
        <f t="shared" si="48"/>
        <v>0</v>
      </c>
      <c r="AD720" s="1082"/>
      <c r="AE720" s="1082"/>
      <c r="AF720" s="1082"/>
      <c r="AG720" s="1083"/>
      <c r="AH720" s="1251"/>
      <c r="AI720" s="1252"/>
      <c r="AJ720" s="1252"/>
      <c r="AK720" s="1252"/>
      <c r="AL720" s="1253"/>
      <c r="AM720" s="1244" t="str">
        <f t="shared" si="56"/>
        <v/>
      </c>
      <c r="AN720" s="1245"/>
      <c r="AO720" s="1246"/>
      <c r="AV720" s="43" t="str">
        <f t="shared" si="49"/>
        <v>N/A</v>
      </c>
      <c r="AX720" s="41"/>
      <c r="AY720" s="443">
        <f t="shared" si="50"/>
        <v>0</v>
      </c>
      <c r="AZ720" s="449">
        <f t="shared" si="51"/>
        <v>0</v>
      </c>
      <c r="BA720" s="450">
        <f t="shared" si="52"/>
        <v>0</v>
      </c>
      <c r="BB720" s="43"/>
      <c r="BC720" s="43"/>
      <c r="BD720" s="43"/>
      <c r="BE720" s="848">
        <f t="shared" si="53"/>
        <v>0</v>
      </c>
      <c r="BF720" s="852" t="str">
        <f t="shared" si="54"/>
        <v/>
      </c>
      <c r="BG720" s="853" t="str">
        <f t="shared" si="55"/>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31"/>
      <c r="C721" s="1332"/>
      <c r="D721" s="1332"/>
      <c r="E721" s="1332"/>
      <c r="F721" s="1333"/>
      <c r="G721" s="1268"/>
      <c r="H721" s="1269"/>
      <c r="I721" s="1269"/>
      <c r="J721" s="1270"/>
      <c r="K721" s="1074"/>
      <c r="L721" s="1075"/>
      <c r="M721" s="1075"/>
      <c r="N721" s="1076"/>
      <c r="O721" s="1084"/>
      <c r="P721" s="1085"/>
      <c r="Q721" s="1085"/>
      <c r="R721" s="1085"/>
      <c r="S721" s="1086"/>
      <c r="T721" s="1081">
        <f t="shared" si="47"/>
        <v>0</v>
      </c>
      <c r="U721" s="1082"/>
      <c r="V721" s="1082"/>
      <c r="W721" s="1082"/>
      <c r="X721" s="1083"/>
      <c r="Y721" s="1084"/>
      <c r="Z721" s="1085"/>
      <c r="AA721" s="1085"/>
      <c r="AB721" s="1086"/>
      <c r="AC721" s="1081">
        <f t="shared" si="48"/>
        <v>0</v>
      </c>
      <c r="AD721" s="1082"/>
      <c r="AE721" s="1082"/>
      <c r="AF721" s="1082"/>
      <c r="AG721" s="1083"/>
      <c r="AH721" s="1251"/>
      <c r="AI721" s="1252"/>
      <c r="AJ721" s="1252"/>
      <c r="AK721" s="1252"/>
      <c r="AL721" s="1253"/>
      <c r="AM721" s="1244" t="str">
        <f t="shared" si="56"/>
        <v/>
      </c>
      <c r="AN721" s="1245"/>
      <c r="AO721" s="1246"/>
      <c r="AV721" s="43" t="str">
        <f t="shared" si="49"/>
        <v>N/A</v>
      </c>
      <c r="AX721" s="41"/>
      <c r="AY721" s="443">
        <f t="shared" si="50"/>
        <v>0</v>
      </c>
      <c r="AZ721" s="449">
        <f t="shared" si="51"/>
        <v>0</v>
      </c>
      <c r="BA721" s="450">
        <f t="shared" si="52"/>
        <v>0</v>
      </c>
      <c r="BB721" s="43"/>
      <c r="BC721" s="43"/>
      <c r="BD721" s="43"/>
      <c r="BE721" s="848">
        <f t="shared" si="53"/>
        <v>0</v>
      </c>
      <c r="BF721" s="852" t="str">
        <f t="shared" si="54"/>
        <v/>
      </c>
      <c r="BG721" s="853" t="str">
        <f t="shared" si="55"/>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31"/>
      <c r="C722" s="1332"/>
      <c r="D722" s="1332"/>
      <c r="E722" s="1332"/>
      <c r="F722" s="1333"/>
      <c r="G722" s="1268"/>
      <c r="H722" s="1269"/>
      <c r="I722" s="1269"/>
      <c r="J722" s="1270"/>
      <c r="K722" s="1074"/>
      <c r="L722" s="1075"/>
      <c r="M722" s="1075"/>
      <c r="N722" s="1076"/>
      <c r="O722" s="1084"/>
      <c r="P722" s="1085"/>
      <c r="Q722" s="1085"/>
      <c r="R722" s="1085"/>
      <c r="S722" s="1086"/>
      <c r="T722" s="1081">
        <f t="shared" si="47"/>
        <v>0</v>
      </c>
      <c r="U722" s="1082"/>
      <c r="V722" s="1082"/>
      <c r="W722" s="1082"/>
      <c r="X722" s="1083"/>
      <c r="Y722" s="1084"/>
      <c r="Z722" s="1085"/>
      <c r="AA722" s="1085"/>
      <c r="AB722" s="1086"/>
      <c r="AC722" s="1081">
        <f t="shared" si="48"/>
        <v>0</v>
      </c>
      <c r="AD722" s="1082"/>
      <c r="AE722" s="1082"/>
      <c r="AF722" s="1082"/>
      <c r="AG722" s="1083"/>
      <c r="AH722" s="1251"/>
      <c r="AI722" s="1252"/>
      <c r="AJ722" s="1252"/>
      <c r="AK722" s="1252"/>
      <c r="AL722" s="1253"/>
      <c r="AM722" s="1244" t="str">
        <f t="shared" si="56"/>
        <v/>
      </c>
      <c r="AN722" s="1245"/>
      <c r="AO722" s="1246"/>
      <c r="AV722" s="43" t="str">
        <f t="shared" si="49"/>
        <v>N/A</v>
      </c>
      <c r="AX722" s="41"/>
      <c r="AY722" s="443">
        <f t="shared" si="50"/>
        <v>0</v>
      </c>
      <c r="AZ722" s="449">
        <f t="shared" si="51"/>
        <v>0</v>
      </c>
      <c r="BA722" s="450">
        <f t="shared" si="52"/>
        <v>0</v>
      </c>
      <c r="BB722" s="43"/>
      <c r="BC722" s="43"/>
      <c r="BD722" s="43"/>
      <c r="BE722" s="848">
        <f t="shared" si="53"/>
        <v>0</v>
      </c>
      <c r="BF722" s="852" t="str">
        <f t="shared" si="54"/>
        <v/>
      </c>
      <c r="BG722" s="853" t="str">
        <f t="shared" si="55"/>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31"/>
      <c r="C723" s="1332"/>
      <c r="D723" s="1332"/>
      <c r="E723" s="1332"/>
      <c r="F723" s="1333"/>
      <c r="G723" s="1268"/>
      <c r="H723" s="1269"/>
      <c r="I723" s="1269"/>
      <c r="J723" s="1270"/>
      <c r="K723" s="1074"/>
      <c r="L723" s="1075"/>
      <c r="M723" s="1075"/>
      <c r="N723" s="1076"/>
      <c r="O723" s="1084"/>
      <c r="P723" s="1085"/>
      <c r="Q723" s="1085"/>
      <c r="R723" s="1085"/>
      <c r="S723" s="1086"/>
      <c r="T723" s="1081">
        <f t="shared" si="47"/>
        <v>0</v>
      </c>
      <c r="U723" s="1082"/>
      <c r="V723" s="1082"/>
      <c r="W723" s="1082"/>
      <c r="X723" s="1083"/>
      <c r="Y723" s="1084"/>
      <c r="Z723" s="1085"/>
      <c r="AA723" s="1085"/>
      <c r="AB723" s="1086"/>
      <c r="AC723" s="1081">
        <f t="shared" si="48"/>
        <v>0</v>
      </c>
      <c r="AD723" s="1082"/>
      <c r="AE723" s="1082"/>
      <c r="AF723" s="1082"/>
      <c r="AG723" s="1083"/>
      <c r="AH723" s="1251"/>
      <c r="AI723" s="1252"/>
      <c r="AJ723" s="1252"/>
      <c r="AK723" s="1252"/>
      <c r="AL723" s="1253"/>
      <c r="AM723" s="1244" t="str">
        <f t="shared" si="56"/>
        <v/>
      </c>
      <c r="AN723" s="1245"/>
      <c r="AO723" s="1246"/>
      <c r="AV723" s="43" t="str">
        <f t="shared" si="49"/>
        <v>N/A</v>
      </c>
      <c r="AX723" s="41"/>
      <c r="AY723" s="443">
        <f t="shared" si="50"/>
        <v>0</v>
      </c>
      <c r="AZ723" s="449">
        <f t="shared" si="51"/>
        <v>0</v>
      </c>
      <c r="BA723" s="450">
        <f t="shared" si="52"/>
        <v>0</v>
      </c>
      <c r="BB723" s="43"/>
      <c r="BC723" s="43"/>
      <c r="BD723" s="43"/>
      <c r="BE723" s="848">
        <f t="shared" si="53"/>
        <v>0</v>
      </c>
      <c r="BF723" s="852" t="str">
        <f t="shared" si="54"/>
        <v/>
      </c>
      <c r="BG723" s="853" t="str">
        <f t="shared" si="55"/>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31"/>
      <c r="C724" s="1332"/>
      <c r="D724" s="1332"/>
      <c r="E724" s="1332"/>
      <c r="F724" s="1333"/>
      <c r="G724" s="1268"/>
      <c r="H724" s="1269"/>
      <c r="I724" s="1269"/>
      <c r="J724" s="1270"/>
      <c r="K724" s="1074"/>
      <c r="L724" s="1075"/>
      <c r="M724" s="1075"/>
      <c r="N724" s="1076"/>
      <c r="O724" s="1084"/>
      <c r="P724" s="1085"/>
      <c r="Q724" s="1085"/>
      <c r="R724" s="1085"/>
      <c r="S724" s="1086"/>
      <c r="T724" s="1081">
        <f t="shared" si="47"/>
        <v>0</v>
      </c>
      <c r="U724" s="1082"/>
      <c r="V724" s="1082"/>
      <c r="W724" s="1082"/>
      <c r="X724" s="1083"/>
      <c r="Y724" s="1084"/>
      <c r="Z724" s="1085"/>
      <c r="AA724" s="1085"/>
      <c r="AB724" s="1086"/>
      <c r="AC724" s="1081">
        <f t="shared" si="48"/>
        <v>0</v>
      </c>
      <c r="AD724" s="1082"/>
      <c r="AE724" s="1082"/>
      <c r="AF724" s="1082"/>
      <c r="AG724" s="1083"/>
      <c r="AH724" s="1251"/>
      <c r="AI724" s="1252"/>
      <c r="AJ724" s="1252"/>
      <c r="AK724" s="1252"/>
      <c r="AL724" s="1253"/>
      <c r="AM724" s="1244" t="str">
        <f t="shared" si="56"/>
        <v/>
      </c>
      <c r="AN724" s="1245"/>
      <c r="AO724" s="1246"/>
      <c r="AV724" s="43" t="str">
        <f t="shared" si="49"/>
        <v>N/A</v>
      </c>
      <c r="AX724" s="41"/>
      <c r="AY724" s="443">
        <f t="shared" si="50"/>
        <v>0</v>
      </c>
      <c r="AZ724" s="449">
        <f t="shared" si="51"/>
        <v>0</v>
      </c>
      <c r="BA724" s="450">
        <f t="shared" si="52"/>
        <v>0</v>
      </c>
      <c r="BB724" s="43"/>
      <c r="BC724" s="43"/>
      <c r="BD724" s="43"/>
      <c r="BE724" s="848">
        <f t="shared" si="53"/>
        <v>0</v>
      </c>
      <c r="BF724" s="852" t="str">
        <f t="shared" si="54"/>
        <v/>
      </c>
      <c r="BG724" s="853" t="str">
        <f t="shared" si="55"/>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31"/>
      <c r="C725" s="1332"/>
      <c r="D725" s="1332"/>
      <c r="E725" s="1332"/>
      <c r="F725" s="1333"/>
      <c r="G725" s="1268"/>
      <c r="H725" s="1269"/>
      <c r="I725" s="1269"/>
      <c r="J725" s="1270"/>
      <c r="K725" s="1074"/>
      <c r="L725" s="1075"/>
      <c r="M725" s="1075"/>
      <c r="N725" s="1076"/>
      <c r="O725" s="1084"/>
      <c r="P725" s="1085"/>
      <c r="Q725" s="1085"/>
      <c r="R725" s="1085"/>
      <c r="S725" s="1086"/>
      <c r="T725" s="1081">
        <f t="shared" si="47"/>
        <v>0</v>
      </c>
      <c r="U725" s="1082"/>
      <c r="V725" s="1082"/>
      <c r="W725" s="1082"/>
      <c r="X725" s="1083"/>
      <c r="Y725" s="1084"/>
      <c r="Z725" s="1085"/>
      <c r="AA725" s="1085"/>
      <c r="AB725" s="1086"/>
      <c r="AC725" s="1081">
        <f t="shared" si="48"/>
        <v>0</v>
      </c>
      <c r="AD725" s="1082"/>
      <c r="AE725" s="1082"/>
      <c r="AF725" s="1082"/>
      <c r="AG725" s="1083"/>
      <c r="AH725" s="1251"/>
      <c r="AI725" s="1252"/>
      <c r="AJ725" s="1252"/>
      <c r="AK725" s="1252"/>
      <c r="AL725" s="1253"/>
      <c r="AM725" s="1244" t="str">
        <f t="shared" si="56"/>
        <v/>
      </c>
      <c r="AN725" s="1245"/>
      <c r="AO725" s="1246"/>
      <c r="AV725" s="43" t="str">
        <f t="shared" si="49"/>
        <v>N/A</v>
      </c>
      <c r="AX725" s="41"/>
      <c r="AY725" s="443">
        <f t="shared" si="50"/>
        <v>0</v>
      </c>
      <c r="AZ725" s="449">
        <f t="shared" si="51"/>
        <v>0</v>
      </c>
      <c r="BA725" s="450">
        <f t="shared" si="52"/>
        <v>0</v>
      </c>
      <c r="BB725" s="41"/>
      <c r="BC725" s="41"/>
      <c r="BD725" s="41"/>
      <c r="BE725" s="848">
        <f t="shared" si="53"/>
        <v>0</v>
      </c>
      <c r="BF725" s="852" t="str">
        <f t="shared" si="54"/>
        <v/>
      </c>
      <c r="BG725" s="853" t="str">
        <f t="shared" si="55"/>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31"/>
      <c r="C726" s="1332"/>
      <c r="D726" s="1332"/>
      <c r="E726" s="1332"/>
      <c r="F726" s="1333"/>
      <c r="G726" s="1268"/>
      <c r="H726" s="1269"/>
      <c r="I726" s="1269"/>
      <c r="J726" s="1270"/>
      <c r="K726" s="1074"/>
      <c r="L726" s="1075"/>
      <c r="M726" s="1075"/>
      <c r="N726" s="1076"/>
      <c r="O726" s="1084"/>
      <c r="P726" s="1085"/>
      <c r="Q726" s="1085"/>
      <c r="R726" s="1085"/>
      <c r="S726" s="1086"/>
      <c r="T726" s="1081">
        <f t="shared" si="47"/>
        <v>0</v>
      </c>
      <c r="U726" s="1082"/>
      <c r="V726" s="1082"/>
      <c r="W726" s="1082"/>
      <c r="X726" s="1083"/>
      <c r="Y726" s="1084"/>
      <c r="Z726" s="1085"/>
      <c r="AA726" s="1085"/>
      <c r="AB726" s="1086"/>
      <c r="AC726" s="1081">
        <f t="shared" si="48"/>
        <v>0</v>
      </c>
      <c r="AD726" s="1082"/>
      <c r="AE726" s="1082"/>
      <c r="AF726" s="1082"/>
      <c r="AG726" s="1083"/>
      <c r="AH726" s="1251"/>
      <c r="AI726" s="1252"/>
      <c r="AJ726" s="1252"/>
      <c r="AK726" s="1252"/>
      <c r="AL726" s="1253"/>
      <c r="AM726" s="1244" t="str">
        <f t="shared" si="56"/>
        <v/>
      </c>
      <c r="AN726" s="1245"/>
      <c r="AO726" s="1246"/>
      <c r="AV726" s="43" t="str">
        <f t="shared" si="49"/>
        <v>N/A</v>
      </c>
      <c r="AX726" s="41"/>
      <c r="AY726" s="443">
        <f t="shared" si="50"/>
        <v>0</v>
      </c>
      <c r="AZ726" s="449">
        <f t="shared" si="51"/>
        <v>0</v>
      </c>
      <c r="BA726" s="450">
        <f t="shared" si="52"/>
        <v>0</v>
      </c>
      <c r="BB726" s="41"/>
      <c r="BC726" s="41"/>
      <c r="BD726" s="41"/>
      <c r="BE726" s="848">
        <f t="shared" si="53"/>
        <v>0</v>
      </c>
      <c r="BF726" s="852" t="str">
        <f t="shared" si="54"/>
        <v/>
      </c>
      <c r="BG726" s="853" t="str">
        <f t="shared" si="55"/>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31"/>
      <c r="C727" s="1332"/>
      <c r="D727" s="1332"/>
      <c r="E727" s="1332"/>
      <c r="F727" s="1333"/>
      <c r="G727" s="1268"/>
      <c r="H727" s="1269"/>
      <c r="I727" s="1269"/>
      <c r="J727" s="1270"/>
      <c r="K727" s="1074"/>
      <c r="L727" s="1075"/>
      <c r="M727" s="1075"/>
      <c r="N727" s="1076"/>
      <c r="O727" s="1084"/>
      <c r="P727" s="1085"/>
      <c r="Q727" s="1085"/>
      <c r="R727" s="1085"/>
      <c r="S727" s="1086"/>
      <c r="T727" s="1081">
        <f t="shared" ref="T727:T736" si="57">G727*O727</f>
        <v>0</v>
      </c>
      <c r="U727" s="1082"/>
      <c r="V727" s="1082"/>
      <c r="W727" s="1082"/>
      <c r="X727" s="1083"/>
      <c r="Y727" s="1084"/>
      <c r="Z727" s="1085"/>
      <c r="AA727" s="1085"/>
      <c r="AB727" s="1086"/>
      <c r="AC727" s="1081">
        <f t="shared" ref="AC727:AC736" si="58">O727+Y727</f>
        <v>0</v>
      </c>
      <c r="AD727" s="1082"/>
      <c r="AE727" s="1082"/>
      <c r="AF727" s="1082"/>
      <c r="AG727" s="1083"/>
      <c r="AH727" s="1251"/>
      <c r="AI727" s="1252"/>
      <c r="AJ727" s="1252"/>
      <c r="AK727" s="1252"/>
      <c r="AL727" s="1253"/>
      <c r="AM727" s="1244" t="str">
        <f t="shared" ref="AM727:AM736" si="59">IF($AH727&gt;0,($AC727/$AV727), "")</f>
        <v/>
      </c>
      <c r="AN727" s="1245"/>
      <c r="AO727" s="1246"/>
      <c r="AV727" s="43" t="str">
        <f t="shared" si="49"/>
        <v>N/A</v>
      </c>
      <c r="AY727" s="443">
        <f t="shared" ref="AY727:AY736" si="60">G727</f>
        <v>0</v>
      </c>
      <c r="AZ727" s="449">
        <f t="shared" ref="AZ727:AZ735" si="61">IF($AY$738=0,"",AY727/$AY$738)</f>
        <v>0</v>
      </c>
      <c r="BA727" s="450">
        <f t="shared" ref="BA727:BA736" si="62">IF(AZ727="","",AZ727*AH727)</f>
        <v>0</v>
      </c>
      <c r="BB727" s="41"/>
      <c r="BC727" s="41"/>
      <c r="BD727" s="41"/>
      <c r="BE727" s="848">
        <f t="shared" ref="BE727:BE736" si="63">G727</f>
        <v>0</v>
      </c>
      <c r="BF727" s="852" t="str">
        <f t="shared" ref="BF727:BF736" si="64">IF(BE727=0,"",BE727/$BE$738)</f>
        <v/>
      </c>
      <c r="BG727" s="853" t="str">
        <f t="shared" ref="BG727:BG736" si="65">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31"/>
      <c r="C728" s="1332"/>
      <c r="D728" s="1332"/>
      <c r="E728" s="1332"/>
      <c r="F728" s="1333"/>
      <c r="G728" s="1268"/>
      <c r="H728" s="1269"/>
      <c r="I728" s="1269"/>
      <c r="J728" s="1270"/>
      <c r="K728" s="1074"/>
      <c r="L728" s="1075"/>
      <c r="M728" s="1075"/>
      <c r="N728" s="1076"/>
      <c r="O728" s="1084"/>
      <c r="P728" s="1085"/>
      <c r="Q728" s="1085"/>
      <c r="R728" s="1085"/>
      <c r="S728" s="1086"/>
      <c r="T728" s="1081">
        <f t="shared" si="57"/>
        <v>0</v>
      </c>
      <c r="U728" s="1082"/>
      <c r="V728" s="1082"/>
      <c r="W728" s="1082"/>
      <c r="X728" s="1083"/>
      <c r="Y728" s="1084"/>
      <c r="Z728" s="1085"/>
      <c r="AA728" s="1085"/>
      <c r="AB728" s="1086"/>
      <c r="AC728" s="1081">
        <f t="shared" si="58"/>
        <v>0</v>
      </c>
      <c r="AD728" s="1082"/>
      <c r="AE728" s="1082"/>
      <c r="AF728" s="1082"/>
      <c r="AG728" s="1083"/>
      <c r="AH728" s="1251"/>
      <c r="AI728" s="1252"/>
      <c r="AJ728" s="1252"/>
      <c r="AK728" s="1252"/>
      <c r="AL728" s="1253"/>
      <c r="AM728" s="1244" t="str">
        <f t="shared" si="59"/>
        <v/>
      </c>
      <c r="AN728" s="1245"/>
      <c r="AO728" s="1246"/>
      <c r="AV728" s="43" t="str">
        <f t="shared" si="49"/>
        <v>N/A</v>
      </c>
      <c r="AY728" s="443">
        <f t="shared" si="60"/>
        <v>0</v>
      </c>
      <c r="AZ728" s="449">
        <f t="shared" si="61"/>
        <v>0</v>
      </c>
      <c r="BA728" s="450">
        <f t="shared" si="62"/>
        <v>0</v>
      </c>
      <c r="BB728" s="41"/>
      <c r="BC728" s="41"/>
      <c r="BD728" s="41"/>
      <c r="BE728" s="848">
        <f t="shared" si="63"/>
        <v>0</v>
      </c>
      <c r="BF728" s="852" t="str">
        <f t="shared" si="64"/>
        <v/>
      </c>
      <c r="BG728" s="853" t="str">
        <f t="shared" si="65"/>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8"/>
      <c r="H729" s="1269"/>
      <c r="I729" s="1269"/>
      <c r="J729" s="1270"/>
      <c r="K729" s="1074"/>
      <c r="L729" s="1075"/>
      <c r="M729" s="1075"/>
      <c r="N729" s="1076"/>
      <c r="O729" s="1084"/>
      <c r="P729" s="1085"/>
      <c r="Q729" s="1085"/>
      <c r="R729" s="1085"/>
      <c r="S729" s="1086"/>
      <c r="T729" s="1081">
        <f t="shared" si="57"/>
        <v>0</v>
      </c>
      <c r="U729" s="1082"/>
      <c r="V729" s="1082"/>
      <c r="W729" s="1082"/>
      <c r="X729" s="1083"/>
      <c r="Y729" s="1084"/>
      <c r="Z729" s="1085"/>
      <c r="AA729" s="1085"/>
      <c r="AB729" s="1086"/>
      <c r="AC729" s="1081">
        <f t="shared" si="58"/>
        <v>0</v>
      </c>
      <c r="AD729" s="1082"/>
      <c r="AE729" s="1082"/>
      <c r="AF729" s="1082"/>
      <c r="AG729" s="1083"/>
      <c r="AH729" s="1251"/>
      <c r="AI729" s="1252"/>
      <c r="AJ729" s="1252"/>
      <c r="AK729" s="1252"/>
      <c r="AL729" s="1253"/>
      <c r="AM729" s="1244" t="str">
        <f t="shared" si="59"/>
        <v/>
      </c>
      <c r="AN729" s="1245"/>
      <c r="AO729" s="1246"/>
      <c r="AV729" s="43" t="str">
        <f t="shared" si="49"/>
        <v>N/A</v>
      </c>
      <c r="AY729" s="443">
        <f t="shared" si="60"/>
        <v>0</v>
      </c>
      <c r="AZ729" s="449">
        <f t="shared" si="61"/>
        <v>0</v>
      </c>
      <c r="BA729" s="450">
        <f t="shared" si="62"/>
        <v>0</v>
      </c>
      <c r="BB729" s="41"/>
      <c r="BC729" s="41"/>
      <c r="BD729" s="41"/>
      <c r="BE729" s="848">
        <f t="shared" si="63"/>
        <v>0</v>
      </c>
      <c r="BF729" s="852" t="str">
        <f t="shared" si="64"/>
        <v/>
      </c>
      <c r="BG729" s="853" t="str">
        <f t="shared" si="65"/>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31"/>
      <c r="C730" s="1332"/>
      <c r="D730" s="1332"/>
      <c r="E730" s="1332"/>
      <c r="F730" s="1333"/>
      <c r="G730" s="1268"/>
      <c r="H730" s="1269"/>
      <c r="I730" s="1269"/>
      <c r="J730" s="1270"/>
      <c r="K730" s="1074"/>
      <c r="L730" s="1075"/>
      <c r="M730" s="1075"/>
      <c r="N730" s="1076"/>
      <c r="O730" s="1084"/>
      <c r="P730" s="1085"/>
      <c r="Q730" s="1085"/>
      <c r="R730" s="1085"/>
      <c r="S730" s="1086"/>
      <c r="T730" s="1081">
        <f t="shared" si="57"/>
        <v>0</v>
      </c>
      <c r="U730" s="1082"/>
      <c r="V730" s="1082"/>
      <c r="W730" s="1082"/>
      <c r="X730" s="1083"/>
      <c r="Y730" s="1084"/>
      <c r="Z730" s="1085"/>
      <c r="AA730" s="1085"/>
      <c r="AB730" s="1086"/>
      <c r="AC730" s="1081">
        <f t="shared" si="58"/>
        <v>0</v>
      </c>
      <c r="AD730" s="1082"/>
      <c r="AE730" s="1082"/>
      <c r="AF730" s="1082"/>
      <c r="AG730" s="1083"/>
      <c r="AH730" s="1251"/>
      <c r="AI730" s="1252"/>
      <c r="AJ730" s="1252"/>
      <c r="AK730" s="1252"/>
      <c r="AL730" s="1253"/>
      <c r="AM730" s="1244" t="str">
        <f t="shared" si="59"/>
        <v/>
      </c>
      <c r="AN730" s="1245"/>
      <c r="AO730" s="1246"/>
      <c r="AV730" s="43" t="str">
        <f t="shared" si="49"/>
        <v>N/A</v>
      </c>
      <c r="AY730" s="443">
        <f t="shared" si="60"/>
        <v>0</v>
      </c>
      <c r="AZ730" s="449">
        <f t="shared" si="61"/>
        <v>0</v>
      </c>
      <c r="BA730" s="450">
        <f t="shared" si="62"/>
        <v>0</v>
      </c>
      <c r="BB730" s="41"/>
      <c r="BC730" s="41"/>
      <c r="BD730" s="41"/>
      <c r="BE730" s="848">
        <f t="shared" si="63"/>
        <v>0</v>
      </c>
      <c r="BF730" s="852" t="str">
        <f t="shared" si="64"/>
        <v/>
      </c>
      <c r="BG730" s="853" t="str">
        <f t="shared" si="65"/>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31"/>
      <c r="C731" s="1332"/>
      <c r="D731" s="1332"/>
      <c r="E731" s="1332"/>
      <c r="F731" s="1333"/>
      <c r="G731" s="1268"/>
      <c r="H731" s="1269"/>
      <c r="I731" s="1269"/>
      <c r="J731" s="1270"/>
      <c r="K731" s="1074"/>
      <c r="L731" s="1075"/>
      <c r="M731" s="1075"/>
      <c r="N731" s="1076"/>
      <c r="O731" s="1084"/>
      <c r="P731" s="1085"/>
      <c r="Q731" s="1085"/>
      <c r="R731" s="1085"/>
      <c r="S731" s="1086"/>
      <c r="T731" s="1081">
        <f t="shared" si="57"/>
        <v>0</v>
      </c>
      <c r="U731" s="1082"/>
      <c r="V731" s="1082"/>
      <c r="W731" s="1082"/>
      <c r="X731" s="1083"/>
      <c r="Y731" s="1084"/>
      <c r="Z731" s="1085"/>
      <c r="AA731" s="1085"/>
      <c r="AB731" s="1086"/>
      <c r="AC731" s="1081">
        <f t="shared" si="58"/>
        <v>0</v>
      </c>
      <c r="AD731" s="1082"/>
      <c r="AE731" s="1082"/>
      <c r="AF731" s="1082"/>
      <c r="AG731" s="1083"/>
      <c r="AH731" s="1251"/>
      <c r="AI731" s="1252"/>
      <c r="AJ731" s="1252"/>
      <c r="AK731" s="1252"/>
      <c r="AL731" s="1253"/>
      <c r="AM731" s="1244" t="str">
        <f t="shared" si="59"/>
        <v/>
      </c>
      <c r="AN731" s="1245"/>
      <c r="AO731" s="1246"/>
      <c r="AV731" s="43" t="str">
        <f t="shared" si="49"/>
        <v>N/A</v>
      </c>
      <c r="AY731" s="443">
        <f t="shared" si="60"/>
        <v>0</v>
      </c>
      <c r="AZ731" s="449">
        <f t="shared" si="61"/>
        <v>0</v>
      </c>
      <c r="BA731" s="450">
        <f t="shared" si="62"/>
        <v>0</v>
      </c>
      <c r="BB731" s="41"/>
      <c r="BC731" s="41"/>
      <c r="BD731" s="41"/>
      <c r="BE731" s="848">
        <f t="shared" si="63"/>
        <v>0</v>
      </c>
      <c r="BF731" s="852" t="str">
        <f t="shared" si="64"/>
        <v/>
      </c>
      <c r="BG731" s="853" t="str">
        <f t="shared" si="65"/>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31"/>
      <c r="C732" s="1332"/>
      <c r="D732" s="1332"/>
      <c r="E732" s="1332"/>
      <c r="F732" s="1333"/>
      <c r="G732" s="1268"/>
      <c r="H732" s="1269"/>
      <c r="I732" s="1269"/>
      <c r="J732" s="1270"/>
      <c r="K732" s="1074"/>
      <c r="L732" s="1075"/>
      <c r="M732" s="1075"/>
      <c r="N732" s="1076"/>
      <c r="O732" s="1084"/>
      <c r="P732" s="1085"/>
      <c r="Q732" s="1085"/>
      <c r="R732" s="1085"/>
      <c r="S732" s="1086"/>
      <c r="T732" s="1081">
        <f t="shared" si="57"/>
        <v>0</v>
      </c>
      <c r="U732" s="1082"/>
      <c r="V732" s="1082"/>
      <c r="W732" s="1082"/>
      <c r="X732" s="1083"/>
      <c r="Y732" s="1084"/>
      <c r="Z732" s="1085"/>
      <c r="AA732" s="1085"/>
      <c r="AB732" s="1086"/>
      <c r="AC732" s="1081">
        <f t="shared" si="58"/>
        <v>0</v>
      </c>
      <c r="AD732" s="1082"/>
      <c r="AE732" s="1082"/>
      <c r="AF732" s="1082"/>
      <c r="AG732" s="1083"/>
      <c r="AH732" s="1251"/>
      <c r="AI732" s="1252"/>
      <c r="AJ732" s="1252"/>
      <c r="AK732" s="1252"/>
      <c r="AL732" s="1253"/>
      <c r="AM732" s="1244" t="str">
        <f t="shared" si="59"/>
        <v/>
      </c>
      <c r="AN732" s="1245"/>
      <c r="AO732" s="1246"/>
      <c r="AV732" s="43" t="str">
        <f t="shared" si="49"/>
        <v>N/A</v>
      </c>
      <c r="AY732" s="443">
        <f t="shared" si="60"/>
        <v>0</v>
      </c>
      <c r="AZ732" s="449">
        <f t="shared" si="61"/>
        <v>0</v>
      </c>
      <c r="BA732" s="450">
        <f t="shared" si="62"/>
        <v>0</v>
      </c>
      <c r="BB732" s="41"/>
      <c r="BC732" s="41"/>
      <c r="BD732" s="41"/>
      <c r="BE732" s="848">
        <f t="shared" si="63"/>
        <v>0</v>
      </c>
      <c r="BF732" s="852" t="str">
        <f t="shared" si="64"/>
        <v/>
      </c>
      <c r="BG732" s="853" t="str">
        <f t="shared" si="65"/>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31"/>
      <c r="C733" s="1332"/>
      <c r="D733" s="1332"/>
      <c r="E733" s="1332"/>
      <c r="F733" s="1333"/>
      <c r="G733" s="1268"/>
      <c r="H733" s="1269"/>
      <c r="I733" s="1269"/>
      <c r="J733" s="1270"/>
      <c r="K733" s="1074"/>
      <c r="L733" s="1075"/>
      <c r="M733" s="1075"/>
      <c r="N733" s="1076"/>
      <c r="O733" s="1084"/>
      <c r="P733" s="1085"/>
      <c r="Q733" s="1085"/>
      <c r="R733" s="1085"/>
      <c r="S733" s="1086"/>
      <c r="T733" s="1081">
        <f t="shared" si="57"/>
        <v>0</v>
      </c>
      <c r="U733" s="1082"/>
      <c r="V733" s="1082"/>
      <c r="W733" s="1082"/>
      <c r="X733" s="1083"/>
      <c r="Y733" s="1084"/>
      <c r="Z733" s="1085"/>
      <c r="AA733" s="1085"/>
      <c r="AB733" s="1086"/>
      <c r="AC733" s="1081">
        <f t="shared" si="58"/>
        <v>0</v>
      </c>
      <c r="AD733" s="1082"/>
      <c r="AE733" s="1082"/>
      <c r="AF733" s="1082"/>
      <c r="AG733" s="1083"/>
      <c r="AH733" s="1251"/>
      <c r="AI733" s="1252"/>
      <c r="AJ733" s="1252"/>
      <c r="AK733" s="1252"/>
      <c r="AL733" s="1253"/>
      <c r="AM733" s="1244" t="str">
        <f t="shared" si="59"/>
        <v/>
      </c>
      <c r="AN733" s="1245"/>
      <c r="AO733" s="1246"/>
      <c r="AV733" s="43" t="str">
        <f t="shared" si="49"/>
        <v>N/A</v>
      </c>
      <c r="AY733" s="443">
        <f t="shared" si="60"/>
        <v>0</v>
      </c>
      <c r="AZ733" s="449">
        <f t="shared" si="61"/>
        <v>0</v>
      </c>
      <c r="BA733" s="450">
        <f t="shared" si="62"/>
        <v>0</v>
      </c>
      <c r="BB733" s="41"/>
      <c r="BC733" s="41"/>
      <c r="BD733" s="41"/>
      <c r="BE733" s="848">
        <f t="shared" si="63"/>
        <v>0</v>
      </c>
      <c r="BF733" s="852" t="str">
        <f t="shared" si="64"/>
        <v/>
      </c>
      <c r="BG733" s="853" t="str">
        <f t="shared" si="65"/>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31"/>
      <c r="C734" s="1332"/>
      <c r="D734" s="1332"/>
      <c r="E734" s="1332"/>
      <c r="F734" s="1333"/>
      <c r="G734" s="1268"/>
      <c r="H734" s="1269"/>
      <c r="I734" s="1269"/>
      <c r="J734" s="1270"/>
      <c r="K734" s="1074"/>
      <c r="L734" s="1075"/>
      <c r="M734" s="1075"/>
      <c r="N734" s="1076"/>
      <c r="O734" s="1084"/>
      <c r="P734" s="1085"/>
      <c r="Q734" s="1085"/>
      <c r="R734" s="1085"/>
      <c r="S734" s="1086"/>
      <c r="T734" s="1081">
        <f t="shared" si="57"/>
        <v>0</v>
      </c>
      <c r="U734" s="1082"/>
      <c r="V734" s="1082"/>
      <c r="W734" s="1082"/>
      <c r="X734" s="1083"/>
      <c r="Y734" s="1084"/>
      <c r="Z734" s="1085"/>
      <c r="AA734" s="1085"/>
      <c r="AB734" s="1086"/>
      <c r="AC734" s="1081">
        <f t="shared" si="58"/>
        <v>0</v>
      </c>
      <c r="AD734" s="1082"/>
      <c r="AE734" s="1082"/>
      <c r="AF734" s="1082"/>
      <c r="AG734" s="1083"/>
      <c r="AH734" s="1251"/>
      <c r="AI734" s="1252"/>
      <c r="AJ734" s="1252"/>
      <c r="AK734" s="1252"/>
      <c r="AL734" s="1253"/>
      <c r="AM734" s="1244" t="str">
        <f t="shared" si="59"/>
        <v/>
      </c>
      <c r="AN734" s="1245"/>
      <c r="AO734" s="1246"/>
      <c r="AV734" s="43" t="str">
        <f t="shared" si="49"/>
        <v>N/A</v>
      </c>
      <c r="AY734" s="443">
        <f t="shared" si="60"/>
        <v>0</v>
      </c>
      <c r="AZ734" s="449">
        <f t="shared" si="61"/>
        <v>0</v>
      </c>
      <c r="BA734" s="450">
        <f t="shared" si="62"/>
        <v>0</v>
      </c>
      <c r="BB734" s="41"/>
      <c r="BC734" s="41"/>
      <c r="BD734" s="41"/>
      <c r="BE734" s="848">
        <f t="shared" si="63"/>
        <v>0</v>
      </c>
      <c r="BF734" s="852" t="str">
        <f t="shared" si="64"/>
        <v/>
      </c>
      <c r="BG734" s="853" t="str">
        <f t="shared" si="65"/>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31"/>
      <c r="C735" s="1332"/>
      <c r="D735" s="1332"/>
      <c r="E735" s="1332"/>
      <c r="F735" s="1333"/>
      <c r="G735" s="1268"/>
      <c r="H735" s="1269"/>
      <c r="I735" s="1269"/>
      <c r="J735" s="1270"/>
      <c r="K735" s="1074"/>
      <c r="L735" s="1075"/>
      <c r="M735" s="1075"/>
      <c r="N735" s="1076"/>
      <c r="O735" s="1084"/>
      <c r="P735" s="1085"/>
      <c r="Q735" s="1085"/>
      <c r="R735" s="1085"/>
      <c r="S735" s="1086"/>
      <c r="T735" s="1081">
        <f t="shared" si="57"/>
        <v>0</v>
      </c>
      <c r="U735" s="1082"/>
      <c r="V735" s="1082"/>
      <c r="W735" s="1082"/>
      <c r="X735" s="1083"/>
      <c r="Y735" s="1084"/>
      <c r="Z735" s="1085"/>
      <c r="AA735" s="1085"/>
      <c r="AB735" s="1086"/>
      <c r="AC735" s="1081">
        <f t="shared" si="58"/>
        <v>0</v>
      </c>
      <c r="AD735" s="1082"/>
      <c r="AE735" s="1082"/>
      <c r="AF735" s="1082"/>
      <c r="AG735" s="1083"/>
      <c r="AH735" s="1251"/>
      <c r="AI735" s="1252"/>
      <c r="AJ735" s="1252"/>
      <c r="AK735" s="1252"/>
      <c r="AL735" s="1253"/>
      <c r="AM735" s="1244" t="str">
        <f t="shared" si="59"/>
        <v/>
      </c>
      <c r="AN735" s="1245"/>
      <c r="AO735" s="1246"/>
      <c r="AV735" s="43" t="str">
        <f t="shared" si="49"/>
        <v>N/A</v>
      </c>
      <c r="AY735" s="443">
        <f t="shared" si="60"/>
        <v>0</v>
      </c>
      <c r="AZ735" s="449">
        <f t="shared" si="61"/>
        <v>0</v>
      </c>
      <c r="BA735" s="450">
        <f t="shared" si="62"/>
        <v>0</v>
      </c>
      <c r="BB735" s="41"/>
      <c r="BC735" s="41"/>
      <c r="BD735" s="41"/>
      <c r="BE735" s="848">
        <f t="shared" si="63"/>
        <v>0</v>
      </c>
      <c r="BF735" s="852" t="str">
        <f t="shared" si="64"/>
        <v/>
      </c>
      <c r="BG735" s="853" t="str">
        <f t="shared" si="65"/>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31"/>
      <c r="C736" s="1332"/>
      <c r="D736" s="1332"/>
      <c r="E736" s="1332"/>
      <c r="F736" s="1333"/>
      <c r="G736" s="1268"/>
      <c r="H736" s="1269"/>
      <c r="I736" s="1269"/>
      <c r="J736" s="1270"/>
      <c r="K736" s="1074"/>
      <c r="L736" s="1075"/>
      <c r="M736" s="1075"/>
      <c r="N736" s="1076"/>
      <c r="O736" s="1084"/>
      <c r="P736" s="1085"/>
      <c r="Q736" s="1085"/>
      <c r="R736" s="1085"/>
      <c r="S736" s="1086"/>
      <c r="T736" s="1081">
        <f t="shared" si="57"/>
        <v>0</v>
      </c>
      <c r="U736" s="1082"/>
      <c r="V736" s="1082"/>
      <c r="W736" s="1082"/>
      <c r="X736" s="1083"/>
      <c r="Y736" s="1084"/>
      <c r="Z736" s="1085"/>
      <c r="AA736" s="1085"/>
      <c r="AB736" s="1086"/>
      <c r="AC736" s="1081">
        <f t="shared" si="58"/>
        <v>0</v>
      </c>
      <c r="AD736" s="1082"/>
      <c r="AE736" s="1082"/>
      <c r="AF736" s="1082"/>
      <c r="AG736" s="1083"/>
      <c r="AH736" s="1251"/>
      <c r="AI736" s="1252"/>
      <c r="AJ736" s="1252"/>
      <c r="AK736" s="1252"/>
      <c r="AL736" s="1253"/>
      <c r="AM736" s="1244" t="str">
        <f t="shared" si="59"/>
        <v/>
      </c>
      <c r="AN736" s="1245"/>
      <c r="AO736" s="1246"/>
      <c r="AV736" s="43" t="str">
        <f t="shared" si="49"/>
        <v>N/A</v>
      </c>
      <c r="AY736" s="443">
        <f t="shared" si="60"/>
        <v>0</v>
      </c>
      <c r="AZ736" s="449">
        <f>IF($AY$738=0,"",AY736/$AY$738)</f>
        <v>0</v>
      </c>
      <c r="BA736" s="450">
        <f t="shared" si="62"/>
        <v>0</v>
      </c>
      <c r="BB736" s="41"/>
      <c r="BC736" s="41"/>
      <c r="BD736" s="41"/>
      <c r="BE736" s="848">
        <f t="shared" si="63"/>
        <v>0</v>
      </c>
      <c r="BF736" s="852" t="str">
        <f t="shared" si="64"/>
        <v/>
      </c>
      <c r="BG736" s="853" t="str">
        <f t="shared" si="65"/>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31"/>
      <c r="C737" s="1332"/>
      <c r="D737" s="1332"/>
      <c r="E737" s="1332"/>
      <c r="F737" s="1333"/>
      <c r="G737" s="1268"/>
      <c r="H737" s="1269"/>
      <c r="I737" s="1269"/>
      <c r="J737" s="1270"/>
      <c r="K737" s="1074"/>
      <c r="L737" s="1075"/>
      <c r="M737" s="1075"/>
      <c r="N737" s="1076"/>
      <c r="O737" s="1084"/>
      <c r="P737" s="1085"/>
      <c r="Q737" s="1085"/>
      <c r="R737" s="1085"/>
      <c r="S737" s="1086"/>
      <c r="T737" s="1081">
        <f t="shared" si="47"/>
        <v>0</v>
      </c>
      <c r="U737" s="1082"/>
      <c r="V737" s="1082"/>
      <c r="W737" s="1082"/>
      <c r="X737" s="1083"/>
      <c r="Y737" s="1084"/>
      <c r="Z737" s="1085"/>
      <c r="AA737" s="1085"/>
      <c r="AB737" s="1086"/>
      <c r="AC737" s="1081">
        <f t="shared" si="48"/>
        <v>0</v>
      </c>
      <c r="AD737" s="1082"/>
      <c r="AE737" s="1082"/>
      <c r="AF737" s="1082"/>
      <c r="AG737" s="1083"/>
      <c r="AH737" s="1251"/>
      <c r="AI737" s="1252"/>
      <c r="AJ737" s="1252"/>
      <c r="AK737" s="1252"/>
      <c r="AL737" s="1253"/>
      <c r="AM737" s="1244" t="str">
        <f>IF($AH737&gt;0,($AC737/$AV737), "")</f>
        <v/>
      </c>
      <c r="AN737" s="1245"/>
      <c r="AO737" s="1246"/>
      <c r="AV737" s="43" t="str">
        <f t="shared" si="49"/>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87" t="s">
        <v>877</v>
      </c>
      <c r="C738" s="1088"/>
      <c r="D738" s="1088"/>
      <c r="E738" s="1088"/>
      <c r="F738" s="1089"/>
      <c r="G738" s="1459">
        <f>SUM(G703:J737)</f>
        <v>46</v>
      </c>
      <c r="H738" s="1460"/>
      <c r="I738" s="1460"/>
      <c r="J738" s="1461"/>
      <c r="O738" s="427" t="s">
        <v>876</v>
      </c>
      <c r="P738" s="166"/>
      <c r="Q738" s="166"/>
      <c r="R738" s="166"/>
      <c r="S738" s="839"/>
      <c r="T738" s="1081">
        <f>SUM(T703:X737)</f>
        <v>33940</v>
      </c>
      <c r="U738" s="1082"/>
      <c r="V738" s="1082"/>
      <c r="W738" s="1082"/>
      <c r="X738" s="1083"/>
      <c r="AC738" s="840" t="s">
        <v>1139</v>
      </c>
      <c r="AD738" s="841"/>
      <c r="AE738" s="841"/>
      <c r="AF738" s="841"/>
      <c r="AG738" s="842"/>
      <c r="AH738" s="1247">
        <f>BA738</f>
        <v>0.3</v>
      </c>
      <c r="AI738" s="1248"/>
      <c r="AJ738" s="1248"/>
      <c r="AK738" s="1248"/>
      <c r="AL738" s="1249"/>
      <c r="AM738" s="1247">
        <f>IFERROR(BG738,0)</f>
        <v>0.27768007194681332</v>
      </c>
      <c r="AN738" s="1248"/>
      <c r="AO738" s="1249"/>
      <c r="AX738" s="62" t="s">
        <v>875</v>
      </c>
      <c r="AY738" s="451">
        <f>SUM(AY703:AY737)</f>
        <v>46</v>
      </c>
      <c r="AZ738" s="452">
        <f>SUM(AZ703:AZ737)</f>
        <v>0.99999999999999989</v>
      </c>
      <c r="BA738" s="452">
        <f>SUM(BA703:BA737)</f>
        <v>0.3</v>
      </c>
      <c r="BB738" s="41"/>
      <c r="BC738" s="41"/>
      <c r="BD738" s="41"/>
      <c r="BE738" s="849">
        <f>SUM(BE703:BE737)</f>
        <v>46</v>
      </c>
      <c r="BF738" s="850">
        <f>SUM(BF703:BF737)</f>
        <v>0.99999999999999989</v>
      </c>
      <c r="BG738" s="850">
        <f>SUM(BG703:BG737)</f>
        <v>0.27768007194681332</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504" t="s">
        <v>2047</v>
      </c>
      <c r="D739" s="1504"/>
      <c r="E739" s="1504"/>
      <c r="F739" s="1504"/>
      <c r="G739" s="1504"/>
      <c r="H739" s="1504"/>
      <c r="I739" s="1504"/>
      <c r="J739" s="1504"/>
      <c r="K739" s="1504"/>
      <c r="L739" s="1504"/>
      <c r="M739" s="1504"/>
      <c r="N739" s="1504"/>
      <c r="O739" s="1504"/>
      <c r="P739" s="1504"/>
      <c r="Q739" s="1504"/>
      <c r="R739" s="1504"/>
      <c r="S739" s="1504"/>
      <c r="T739" s="1504"/>
      <c r="U739" s="1504"/>
      <c r="V739" s="1504"/>
      <c r="W739" s="1504"/>
      <c r="X739" s="1504"/>
      <c r="Y739" s="1504"/>
      <c r="Z739" s="1504"/>
      <c r="AA739" s="1504"/>
      <c r="AB739" s="1504"/>
      <c r="AC739" s="1504"/>
      <c r="AD739" s="1504"/>
      <c r="AE739" s="1504"/>
      <c r="AF739" s="1504"/>
      <c r="AG739" s="1504"/>
      <c r="AH739" s="1504"/>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504"/>
      <c r="D740" s="1504"/>
      <c r="E740" s="1504"/>
      <c r="F740" s="1504"/>
      <c r="G740" s="1504"/>
      <c r="H740" s="1504"/>
      <c r="I740" s="1504"/>
      <c r="J740" s="1504"/>
      <c r="K740" s="1504"/>
      <c r="L740" s="1504"/>
      <c r="M740" s="1504"/>
      <c r="N740" s="1504"/>
      <c r="O740" s="1504"/>
      <c r="P740" s="1504"/>
      <c r="Q740" s="1504"/>
      <c r="R740" s="1504"/>
      <c r="S740" s="1504"/>
      <c r="T740" s="1504"/>
      <c r="U740" s="1504"/>
      <c r="V740" s="1504"/>
      <c r="W740" s="1504"/>
      <c r="X740" s="1504"/>
      <c r="Y740" s="1504"/>
      <c r="Z740" s="1504"/>
      <c r="AA740" s="1504"/>
      <c r="AB740" s="1504"/>
      <c r="AC740" s="1504"/>
      <c r="AD740" s="1504"/>
      <c r="AE740" s="1504"/>
      <c r="AF740" s="1504"/>
      <c r="AG740" s="1504"/>
      <c r="AH740" s="1504"/>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02">
        <f>CQ636</f>
        <v>46</v>
      </c>
      <c r="P741" s="1502"/>
      <c r="Q741" s="1502"/>
      <c r="R741" s="1502"/>
      <c r="S741" s="920"/>
      <c r="T741" s="920"/>
      <c r="U741" s="268" t="s">
        <v>2049</v>
      </c>
      <c r="V741" s="918"/>
      <c r="W741" s="918"/>
      <c r="X741" s="918"/>
      <c r="Y741" s="919"/>
      <c r="Z741" s="919"/>
      <c r="AA741" s="919"/>
      <c r="AB741" s="919"/>
      <c r="AC741" s="918"/>
      <c r="AD741" s="918"/>
      <c r="AE741" s="918"/>
      <c r="AF741" s="918"/>
      <c r="AG741" s="1492">
        <v>46</v>
      </c>
      <c r="AH741" s="1492"/>
      <c r="AI741" s="1492"/>
      <c r="AJ741" s="1492"/>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33" t="str">
        <f>IF(G738&lt;&gt;AG441,"! Total Low-Income Units in the Unit Mix Table above does not match the number of Total Low-Income Units on row #"&amp;TEXT(ROW(AG441),"#"),"")</f>
        <v/>
      </c>
      <c r="D742" s="1133"/>
      <c r="E742" s="1133"/>
      <c r="F742" s="1133"/>
      <c r="G742" s="1133"/>
      <c r="H742" s="1133"/>
      <c r="I742" s="1133"/>
      <c r="J742" s="1133"/>
      <c r="K742" s="1133"/>
      <c r="L742" s="1133"/>
      <c r="M742" s="1133"/>
      <c r="N742" s="1133"/>
      <c r="O742" s="1133"/>
      <c r="P742" s="1133"/>
      <c r="Q742" s="1133"/>
      <c r="R742" s="1133"/>
      <c r="S742" s="1133"/>
      <c r="T742" s="1133"/>
      <c r="U742" s="1133"/>
      <c r="V742" s="1133"/>
      <c r="W742" s="1133"/>
      <c r="X742" s="1133"/>
      <c r="Y742" s="1133"/>
      <c r="Z742" s="1133"/>
      <c r="AA742" s="1133"/>
      <c r="AB742" s="1133"/>
      <c r="AC742" s="1133"/>
      <c r="AD742" s="1133"/>
      <c r="AE742" s="1133"/>
      <c r="AF742" s="1133"/>
      <c r="AG742" s="1133"/>
      <c r="AH742" s="1133"/>
      <c r="AI742" s="1133"/>
      <c r="AJ742" s="1133"/>
      <c r="AK742" s="1133"/>
      <c r="AL742" s="1133"/>
      <c r="AM742" s="1133"/>
      <c r="AN742" s="1133"/>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33"/>
      <c r="D743" s="1133"/>
      <c r="E743" s="1133"/>
      <c r="F743" s="1133"/>
      <c r="G743" s="1133"/>
      <c r="H743" s="1133"/>
      <c r="I743" s="1133"/>
      <c r="J743" s="1133"/>
      <c r="K743" s="1133"/>
      <c r="L743" s="1133"/>
      <c r="M743" s="1133"/>
      <c r="N743" s="1133"/>
      <c r="O743" s="1133"/>
      <c r="P743" s="1133"/>
      <c r="Q743" s="1133"/>
      <c r="R743" s="1133"/>
      <c r="S743" s="1133"/>
      <c r="T743" s="1133"/>
      <c r="U743" s="1133"/>
      <c r="V743" s="1133"/>
      <c r="W743" s="1133"/>
      <c r="X743" s="1133"/>
      <c r="Y743" s="1133"/>
      <c r="Z743" s="1133"/>
      <c r="AA743" s="1133"/>
      <c r="AB743" s="1133"/>
      <c r="AC743" s="1133"/>
      <c r="AD743" s="1133"/>
      <c r="AE743" s="1133"/>
      <c r="AF743" s="1133"/>
      <c r="AG743" s="1133"/>
      <c r="AH743" s="1133"/>
      <c r="AI743" s="1133"/>
      <c r="AJ743" s="1133"/>
      <c r="AK743" s="1133"/>
      <c r="AL743" s="1133"/>
      <c r="AM743" s="1133"/>
      <c r="AN743" s="1133"/>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50" t="s">
        <v>124</v>
      </c>
      <c r="AA744" s="1250"/>
      <c r="AB744" s="1250"/>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099" t="s">
        <v>54</v>
      </c>
      <c r="K756" s="1100"/>
      <c r="L756" s="1100"/>
      <c r="M756" s="1100"/>
      <c r="N756" s="1101"/>
      <c r="O756" s="1491" t="s">
        <v>256</v>
      </c>
      <c r="P756" s="1491"/>
      <c r="Q756" s="1491"/>
      <c r="R756" s="1491"/>
      <c r="S756" s="1491"/>
      <c r="T756" s="1090" t="s">
        <v>1981</v>
      </c>
      <c r="U756" s="1091"/>
      <c r="V756" s="1091"/>
      <c r="W756" s="1092"/>
      <c r="X756" s="1099" t="s">
        <v>589</v>
      </c>
      <c r="Y756" s="1100"/>
      <c r="Z756" s="1100"/>
      <c r="AA756" s="1100"/>
      <c r="AB756" s="1101"/>
      <c r="AC756" s="1099" t="s">
        <v>257</v>
      </c>
      <c r="AD756" s="1100"/>
      <c r="AE756" s="1100"/>
      <c r="AF756" s="1100"/>
      <c r="AG756" s="110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02"/>
      <c r="K757" s="1103"/>
      <c r="L757" s="1103"/>
      <c r="M757" s="1103"/>
      <c r="N757" s="1104"/>
      <c r="O757" s="1491"/>
      <c r="P757" s="1491"/>
      <c r="Q757" s="1491"/>
      <c r="R757" s="1491"/>
      <c r="S757" s="1491"/>
      <c r="T757" s="1093"/>
      <c r="U757" s="1094"/>
      <c r="V757" s="1094"/>
      <c r="W757" s="1095"/>
      <c r="X757" s="1102"/>
      <c r="Y757" s="1103"/>
      <c r="Z757" s="1103"/>
      <c r="AA757" s="1103"/>
      <c r="AB757" s="1104"/>
      <c r="AC757" s="1102"/>
      <c r="AD757" s="1103"/>
      <c r="AE757" s="1103"/>
      <c r="AF757" s="1103"/>
      <c r="AG757" s="110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02"/>
      <c r="K758" s="1103"/>
      <c r="L758" s="1103"/>
      <c r="M758" s="1103"/>
      <c r="N758" s="1104"/>
      <c r="O758" s="1491"/>
      <c r="P758" s="1491"/>
      <c r="Q758" s="1491"/>
      <c r="R758" s="1491"/>
      <c r="S758" s="1491"/>
      <c r="T758" s="1093"/>
      <c r="U758" s="1094"/>
      <c r="V758" s="1094"/>
      <c r="W758" s="1095"/>
      <c r="X758" s="1102"/>
      <c r="Y758" s="1103"/>
      <c r="Z758" s="1103"/>
      <c r="AA758" s="1103"/>
      <c r="AB758" s="1104"/>
      <c r="AC758" s="1102"/>
      <c r="AD758" s="1103"/>
      <c r="AE758" s="1103"/>
      <c r="AF758" s="1103"/>
      <c r="AG758" s="110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105"/>
      <c r="K759" s="1106"/>
      <c r="L759" s="1106"/>
      <c r="M759" s="1106"/>
      <c r="N759" s="1107"/>
      <c r="O759" s="1491"/>
      <c r="P759" s="1491"/>
      <c r="Q759" s="1491"/>
      <c r="R759" s="1491"/>
      <c r="S759" s="1491"/>
      <c r="T759" s="1096"/>
      <c r="U759" s="1097"/>
      <c r="V759" s="1097"/>
      <c r="W759" s="1098"/>
      <c r="X759" s="1105"/>
      <c r="Y759" s="1106"/>
      <c r="Z759" s="1106"/>
      <c r="AA759" s="1106"/>
      <c r="AB759" s="1107"/>
      <c r="AC759" s="1105"/>
      <c r="AD759" s="1106"/>
      <c r="AE759" s="1106"/>
      <c r="AF759" s="1106"/>
      <c r="AG759" s="110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31"/>
      <c r="K760" s="1332"/>
      <c r="L760" s="1332"/>
      <c r="M760" s="1332"/>
      <c r="N760" s="1333"/>
      <c r="O760" s="1391"/>
      <c r="P760" s="1391"/>
      <c r="Q760" s="1391"/>
      <c r="R760" s="1391"/>
      <c r="S760" s="1391"/>
      <c r="T760" s="1074" t="s">
        <v>2458</v>
      </c>
      <c r="U760" s="1075"/>
      <c r="V760" s="1075"/>
      <c r="W760" s="1076"/>
      <c r="X760" s="1084"/>
      <c r="Y760" s="1085"/>
      <c r="Z760" s="1085"/>
      <c r="AA760" s="1085"/>
      <c r="AB760" s="1086"/>
      <c r="AC760" s="1081">
        <f>X760*O760</f>
        <v>0</v>
      </c>
      <c r="AD760" s="1082"/>
      <c r="AE760" s="1082"/>
      <c r="AF760" s="1082"/>
      <c r="AG760" s="108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31"/>
      <c r="K761" s="1332"/>
      <c r="L761" s="1332"/>
      <c r="M761" s="1332"/>
      <c r="N761" s="1333"/>
      <c r="O761" s="1391"/>
      <c r="P761" s="1391"/>
      <c r="Q761" s="1391"/>
      <c r="R761" s="1391"/>
      <c r="S761" s="1391"/>
      <c r="T761" s="1074"/>
      <c r="U761" s="1075"/>
      <c r="V761" s="1075"/>
      <c r="W761" s="1076"/>
      <c r="X761" s="1084"/>
      <c r="Y761" s="1085"/>
      <c r="Z761" s="1085"/>
      <c r="AA761" s="1085"/>
      <c r="AB761" s="1086"/>
      <c r="AC761" s="1081">
        <f>X761*O761</f>
        <v>0</v>
      </c>
      <c r="AD761" s="1082"/>
      <c r="AE761" s="1082"/>
      <c r="AF761" s="1082"/>
      <c r="AG761" s="108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31"/>
      <c r="K762" s="1332"/>
      <c r="L762" s="1332"/>
      <c r="M762" s="1332"/>
      <c r="N762" s="1333"/>
      <c r="O762" s="1391"/>
      <c r="P762" s="1391"/>
      <c r="Q762" s="1391"/>
      <c r="R762" s="1391"/>
      <c r="S762" s="1391"/>
      <c r="T762" s="1074"/>
      <c r="U762" s="1075"/>
      <c r="V762" s="1075"/>
      <c r="W762" s="1076"/>
      <c r="X762" s="1084"/>
      <c r="Y762" s="1085"/>
      <c r="Z762" s="1085"/>
      <c r="AA762" s="1085"/>
      <c r="AB762" s="1086"/>
      <c r="AC762" s="1081">
        <f>X762*O762</f>
        <v>0</v>
      </c>
      <c r="AD762" s="1082"/>
      <c r="AE762" s="1082"/>
      <c r="AF762" s="1082"/>
      <c r="AG762" s="108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31"/>
      <c r="K763" s="1332"/>
      <c r="L763" s="1332"/>
      <c r="M763" s="1332"/>
      <c r="N763" s="1333"/>
      <c r="O763" s="1391"/>
      <c r="P763" s="1391"/>
      <c r="Q763" s="1391"/>
      <c r="R763" s="1391"/>
      <c r="S763" s="1391"/>
      <c r="T763" s="1074"/>
      <c r="U763" s="1075"/>
      <c r="V763" s="1075"/>
      <c r="W763" s="1076"/>
      <c r="X763" s="1084"/>
      <c r="Y763" s="1085"/>
      <c r="Z763" s="1085"/>
      <c r="AA763" s="1085"/>
      <c r="AB763" s="1086"/>
      <c r="AC763" s="1081">
        <f>X763*O763</f>
        <v>0</v>
      </c>
      <c r="AD763" s="1082"/>
      <c r="AE763" s="1082"/>
      <c r="AF763" s="1082"/>
      <c r="AG763" s="108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087" t="s">
        <v>877</v>
      </c>
      <c r="K764" s="1088"/>
      <c r="L764" s="1088"/>
      <c r="M764" s="1088"/>
      <c r="N764" s="1089"/>
      <c r="O764" s="1274">
        <f>SUM(O760:S763)</f>
        <v>0</v>
      </c>
      <c r="P764" s="1275"/>
      <c r="Q764" s="1275"/>
      <c r="R764" s="1275"/>
      <c r="S764" s="1276"/>
      <c r="X764" s="1087" t="s">
        <v>876</v>
      </c>
      <c r="Y764" s="1088"/>
      <c r="Z764" s="1088"/>
      <c r="AA764" s="1088"/>
      <c r="AB764" s="1089"/>
      <c r="AC764" s="1081">
        <f>SUM(AC760:AG763)</f>
        <v>0</v>
      </c>
      <c r="AD764" s="1082"/>
      <c r="AE764" s="1082"/>
      <c r="AF764" s="1082"/>
      <c r="AG764" s="108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44" t="s">
        <v>482</v>
      </c>
      <c r="K766" s="1144"/>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099" t="s">
        <v>54</v>
      </c>
      <c r="K770" s="1100"/>
      <c r="L770" s="1100"/>
      <c r="M770" s="1100"/>
      <c r="N770" s="1101"/>
      <c r="O770" s="1491" t="s">
        <v>256</v>
      </c>
      <c r="P770" s="1491"/>
      <c r="Q770" s="1491"/>
      <c r="R770" s="1491"/>
      <c r="S770" s="1491"/>
      <c r="T770" s="1090" t="s">
        <v>1981</v>
      </c>
      <c r="U770" s="1091"/>
      <c r="V770" s="1091"/>
      <c r="W770" s="1092"/>
      <c r="X770" s="1099" t="s">
        <v>589</v>
      </c>
      <c r="Y770" s="1100"/>
      <c r="Z770" s="1100"/>
      <c r="AA770" s="1100"/>
      <c r="AB770" s="1101"/>
      <c r="AC770" s="1099" t="s">
        <v>257</v>
      </c>
      <c r="AD770" s="1100"/>
      <c r="AE770" s="1100"/>
      <c r="AF770" s="1100"/>
      <c r="AG770" s="110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02"/>
      <c r="K771" s="1103"/>
      <c r="L771" s="1103"/>
      <c r="M771" s="1103"/>
      <c r="N771" s="1104"/>
      <c r="O771" s="1491"/>
      <c r="P771" s="1491"/>
      <c r="Q771" s="1491"/>
      <c r="R771" s="1491"/>
      <c r="S771" s="1491"/>
      <c r="T771" s="1093"/>
      <c r="U771" s="1094"/>
      <c r="V771" s="1094"/>
      <c r="W771" s="1095"/>
      <c r="X771" s="1102"/>
      <c r="Y771" s="1103"/>
      <c r="Z771" s="1103"/>
      <c r="AA771" s="1103"/>
      <c r="AB771" s="1104"/>
      <c r="AC771" s="1102"/>
      <c r="AD771" s="1103"/>
      <c r="AE771" s="1103"/>
      <c r="AF771" s="1103"/>
      <c r="AG771" s="110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02"/>
      <c r="K772" s="1103"/>
      <c r="L772" s="1103"/>
      <c r="M772" s="1103"/>
      <c r="N772" s="1104"/>
      <c r="O772" s="1491"/>
      <c r="P772" s="1491"/>
      <c r="Q772" s="1491"/>
      <c r="R772" s="1491"/>
      <c r="S772" s="1491"/>
      <c r="T772" s="1093"/>
      <c r="U772" s="1094"/>
      <c r="V772" s="1094"/>
      <c r="W772" s="1095"/>
      <c r="X772" s="1102"/>
      <c r="Y772" s="1103"/>
      <c r="Z772" s="1103"/>
      <c r="AA772" s="1103"/>
      <c r="AB772" s="1104"/>
      <c r="AC772" s="1102"/>
      <c r="AD772" s="1103"/>
      <c r="AE772" s="1103"/>
      <c r="AF772" s="1103"/>
      <c r="AG772" s="11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05"/>
      <c r="K773" s="1106"/>
      <c r="L773" s="1106"/>
      <c r="M773" s="1106"/>
      <c r="N773" s="1107"/>
      <c r="O773" s="1491"/>
      <c r="P773" s="1491"/>
      <c r="Q773" s="1491"/>
      <c r="R773" s="1491"/>
      <c r="S773" s="1491"/>
      <c r="T773" s="1096"/>
      <c r="U773" s="1097"/>
      <c r="V773" s="1097"/>
      <c r="W773" s="1098"/>
      <c r="X773" s="1105"/>
      <c r="Y773" s="1106"/>
      <c r="Z773" s="1106"/>
      <c r="AA773" s="1106"/>
      <c r="AB773" s="1107"/>
      <c r="AC773" s="1105"/>
      <c r="AD773" s="1106"/>
      <c r="AE773" s="1106"/>
      <c r="AF773" s="1106"/>
      <c r="AG773" s="110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31"/>
      <c r="K774" s="1332"/>
      <c r="L774" s="1332"/>
      <c r="M774" s="1332"/>
      <c r="N774" s="1333"/>
      <c r="O774" s="1391"/>
      <c r="P774" s="1391"/>
      <c r="Q774" s="1391"/>
      <c r="R774" s="1391"/>
      <c r="S774" s="1391"/>
      <c r="T774" s="1074"/>
      <c r="U774" s="1075"/>
      <c r="V774" s="1075"/>
      <c r="W774" s="1076"/>
      <c r="X774" s="1084"/>
      <c r="Y774" s="1085"/>
      <c r="Z774" s="1085"/>
      <c r="AA774" s="1085"/>
      <c r="AB774" s="1086"/>
      <c r="AC774" s="1081">
        <f t="shared" ref="AC774:AC783" si="66">X774*O774</f>
        <v>0</v>
      </c>
      <c r="AD774" s="1082"/>
      <c r="AE774" s="1082"/>
      <c r="AF774" s="1082"/>
      <c r="AG774" s="108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31"/>
      <c r="K775" s="1332"/>
      <c r="L775" s="1332"/>
      <c r="M775" s="1332"/>
      <c r="N775" s="1333"/>
      <c r="O775" s="1391"/>
      <c r="P775" s="1391"/>
      <c r="Q775" s="1391"/>
      <c r="R775" s="1391"/>
      <c r="S775" s="1391"/>
      <c r="T775" s="1074"/>
      <c r="U775" s="1075"/>
      <c r="V775" s="1075"/>
      <c r="W775" s="1076"/>
      <c r="X775" s="1084"/>
      <c r="Y775" s="1085"/>
      <c r="Z775" s="1085"/>
      <c r="AA775" s="1085"/>
      <c r="AB775" s="1086"/>
      <c r="AC775" s="1081">
        <f t="shared" si="66"/>
        <v>0</v>
      </c>
      <c r="AD775" s="1082"/>
      <c r="AE775" s="1082"/>
      <c r="AF775" s="1082"/>
      <c r="AG775" s="108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31"/>
      <c r="K776" s="1332"/>
      <c r="L776" s="1332"/>
      <c r="M776" s="1332"/>
      <c r="N776" s="1333"/>
      <c r="O776" s="1391"/>
      <c r="P776" s="1391"/>
      <c r="Q776" s="1391"/>
      <c r="R776" s="1391"/>
      <c r="S776" s="1391"/>
      <c r="T776" s="1074"/>
      <c r="U776" s="1075"/>
      <c r="V776" s="1075"/>
      <c r="W776" s="1076"/>
      <c r="X776" s="1084"/>
      <c r="Y776" s="1085"/>
      <c r="Z776" s="1085"/>
      <c r="AA776" s="1085"/>
      <c r="AB776" s="1086"/>
      <c r="AC776" s="1081">
        <f t="shared" si="66"/>
        <v>0</v>
      </c>
      <c r="AD776" s="1082"/>
      <c r="AE776" s="1082"/>
      <c r="AF776" s="1082"/>
      <c r="AG776" s="108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31"/>
      <c r="K777" s="1332"/>
      <c r="L777" s="1332"/>
      <c r="M777" s="1332"/>
      <c r="N777" s="1333"/>
      <c r="O777" s="1391"/>
      <c r="P777" s="1391"/>
      <c r="Q777" s="1391"/>
      <c r="R777" s="1391"/>
      <c r="S777" s="1391"/>
      <c r="T777" s="1074"/>
      <c r="U777" s="1075"/>
      <c r="V777" s="1075"/>
      <c r="W777" s="1076"/>
      <c r="X777" s="1084"/>
      <c r="Y777" s="1085"/>
      <c r="Z777" s="1085"/>
      <c r="AA777" s="1085"/>
      <c r="AB777" s="1086"/>
      <c r="AC777" s="1081">
        <f t="shared" si="66"/>
        <v>0</v>
      </c>
      <c r="AD777" s="1082"/>
      <c r="AE777" s="1082"/>
      <c r="AF777" s="1082"/>
      <c r="AG777" s="108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31"/>
      <c r="K778" s="1332"/>
      <c r="L778" s="1332"/>
      <c r="M778" s="1332"/>
      <c r="N778" s="1333"/>
      <c r="O778" s="1391"/>
      <c r="P778" s="1391"/>
      <c r="Q778" s="1391"/>
      <c r="R778" s="1391"/>
      <c r="S778" s="1391"/>
      <c r="T778" s="1074"/>
      <c r="U778" s="1075"/>
      <c r="V778" s="1075"/>
      <c r="W778" s="1076"/>
      <c r="X778" s="1084"/>
      <c r="Y778" s="1085"/>
      <c r="Z778" s="1085"/>
      <c r="AA778" s="1085"/>
      <c r="AB778" s="1086"/>
      <c r="AC778" s="1081">
        <f t="shared" si="66"/>
        <v>0</v>
      </c>
      <c r="AD778" s="1082"/>
      <c r="AE778" s="1082"/>
      <c r="AF778" s="1082"/>
      <c r="AG778" s="108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31"/>
      <c r="K779" s="1332"/>
      <c r="L779" s="1332"/>
      <c r="M779" s="1332"/>
      <c r="N779" s="1333"/>
      <c r="O779" s="1391"/>
      <c r="P779" s="1391"/>
      <c r="Q779" s="1391"/>
      <c r="R779" s="1391"/>
      <c r="S779" s="1391"/>
      <c r="T779" s="1074"/>
      <c r="U779" s="1075"/>
      <c r="V779" s="1075"/>
      <c r="W779" s="1076"/>
      <c r="X779" s="1084"/>
      <c r="Y779" s="1085"/>
      <c r="Z779" s="1085"/>
      <c r="AA779" s="1085"/>
      <c r="AB779" s="1086"/>
      <c r="AC779" s="1081">
        <f t="shared" si="66"/>
        <v>0</v>
      </c>
      <c r="AD779" s="1082"/>
      <c r="AE779" s="1082"/>
      <c r="AF779" s="1082"/>
      <c r="AG779" s="108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31"/>
      <c r="K780" s="1332"/>
      <c r="L780" s="1332"/>
      <c r="M780" s="1332"/>
      <c r="N780" s="1333"/>
      <c r="O780" s="1391"/>
      <c r="P780" s="1391"/>
      <c r="Q780" s="1391"/>
      <c r="R780" s="1391"/>
      <c r="S780" s="1391"/>
      <c r="T780" s="1074"/>
      <c r="U780" s="1075"/>
      <c r="V780" s="1075"/>
      <c r="W780" s="1076"/>
      <c r="X780" s="1084"/>
      <c r="Y780" s="1085"/>
      <c r="Z780" s="1085"/>
      <c r="AA780" s="1085"/>
      <c r="AB780" s="1086"/>
      <c r="AC780" s="1081">
        <f t="shared" si="66"/>
        <v>0</v>
      </c>
      <c r="AD780" s="1082"/>
      <c r="AE780" s="1082"/>
      <c r="AF780" s="1082"/>
      <c r="AG780" s="108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31"/>
      <c r="K781" s="1332"/>
      <c r="L781" s="1332"/>
      <c r="M781" s="1332"/>
      <c r="N781" s="1333"/>
      <c r="O781" s="1391"/>
      <c r="P781" s="1391"/>
      <c r="Q781" s="1391"/>
      <c r="R781" s="1391"/>
      <c r="S781" s="1391"/>
      <c r="T781" s="1074"/>
      <c r="U781" s="1075"/>
      <c r="V781" s="1075"/>
      <c r="W781" s="1076"/>
      <c r="X781" s="1084"/>
      <c r="Y781" s="1085"/>
      <c r="Z781" s="1085"/>
      <c r="AA781" s="1085"/>
      <c r="AB781" s="1086"/>
      <c r="AC781" s="1081">
        <f t="shared" si="66"/>
        <v>0</v>
      </c>
      <c r="AD781" s="1082"/>
      <c r="AE781" s="1082"/>
      <c r="AF781" s="1082"/>
      <c r="AG781" s="108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31"/>
      <c r="K782" s="1332"/>
      <c r="L782" s="1332"/>
      <c r="M782" s="1332"/>
      <c r="N782" s="1333"/>
      <c r="O782" s="1391"/>
      <c r="P782" s="1391"/>
      <c r="Q782" s="1391"/>
      <c r="R782" s="1391"/>
      <c r="S782" s="1391"/>
      <c r="T782" s="1074"/>
      <c r="U782" s="1075"/>
      <c r="V782" s="1075"/>
      <c r="W782" s="1076"/>
      <c r="X782" s="1084"/>
      <c r="Y782" s="1085"/>
      <c r="Z782" s="1085"/>
      <c r="AA782" s="1085"/>
      <c r="AB782" s="1086"/>
      <c r="AC782" s="1081">
        <f t="shared" si="66"/>
        <v>0</v>
      </c>
      <c r="AD782" s="1082"/>
      <c r="AE782" s="1082"/>
      <c r="AF782" s="1082"/>
      <c r="AG782" s="108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31"/>
      <c r="K783" s="1332"/>
      <c r="L783" s="1332"/>
      <c r="M783" s="1332"/>
      <c r="N783" s="1333"/>
      <c r="O783" s="1391"/>
      <c r="P783" s="1391"/>
      <c r="Q783" s="1391"/>
      <c r="R783" s="1391"/>
      <c r="S783" s="1391"/>
      <c r="T783" s="1074"/>
      <c r="U783" s="1075"/>
      <c r="V783" s="1075"/>
      <c r="W783" s="1076"/>
      <c r="X783" s="1084"/>
      <c r="Y783" s="1085"/>
      <c r="Z783" s="1085"/>
      <c r="AA783" s="1085"/>
      <c r="AB783" s="1086"/>
      <c r="AC783" s="1081">
        <f t="shared" si="66"/>
        <v>0</v>
      </c>
      <c r="AD783" s="1082"/>
      <c r="AE783" s="1082"/>
      <c r="AF783" s="1082"/>
      <c r="AG783" s="108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087" t="s">
        <v>877</v>
      </c>
      <c r="K784" s="1088"/>
      <c r="L784" s="1088"/>
      <c r="M784" s="1088"/>
      <c r="N784" s="1089"/>
      <c r="O784" s="1502">
        <f>SUM(O774:S783)</f>
        <v>0</v>
      </c>
      <c r="P784" s="1502"/>
      <c r="Q784" s="1502"/>
      <c r="R784" s="1502"/>
      <c r="S784" s="1502"/>
      <c r="X784" s="427" t="s">
        <v>876</v>
      </c>
      <c r="Y784" s="166"/>
      <c r="Z784" s="166"/>
      <c r="AA784" s="166"/>
      <c r="AB784" s="839"/>
      <c r="AC784" s="1081">
        <f>SUM(AC774:AG783)</f>
        <v>0</v>
      </c>
      <c r="AD784" s="1082"/>
      <c r="AE784" s="1082"/>
      <c r="AF784" s="1082"/>
      <c r="AG784" s="108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33" t="str">
        <f>IF(O784&lt;&gt;AG439,"! Total market rate units in the Unit Mix Table above does not match the number of market rate units on row #"&amp;TEXT(ROW(AG439),"#"),"")</f>
        <v/>
      </c>
      <c r="D785" s="1133"/>
      <c r="E785" s="1133"/>
      <c r="F785" s="1133"/>
      <c r="G785" s="1133"/>
      <c r="H785" s="1133"/>
      <c r="I785" s="1133"/>
      <c r="J785" s="1133"/>
      <c r="K785" s="1133"/>
      <c r="L785" s="1133"/>
      <c r="M785" s="1133"/>
      <c r="N785" s="1133"/>
      <c r="O785" s="1133"/>
      <c r="P785" s="1133"/>
      <c r="Q785" s="1133"/>
      <c r="R785" s="1133"/>
      <c r="S785" s="1133"/>
      <c r="T785" s="1133"/>
      <c r="U785" s="1133"/>
      <c r="V785" s="1133"/>
      <c r="W785" s="1133"/>
      <c r="X785" s="1133"/>
      <c r="Y785" s="1133"/>
      <c r="Z785" s="1133"/>
      <c r="AA785" s="1133"/>
      <c r="AB785" s="1133"/>
      <c r="AC785" s="1133"/>
      <c r="AD785" s="1133"/>
      <c r="AE785" s="1133"/>
      <c r="AF785" s="1133"/>
      <c r="AG785" s="1133"/>
      <c r="AH785" s="1133"/>
      <c r="AI785" s="1133"/>
      <c r="AJ785" s="1133"/>
      <c r="AK785" s="1133"/>
      <c r="AL785" s="1133"/>
      <c r="AM785" s="1133"/>
      <c r="AN785" s="113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33"/>
      <c r="D786" s="1133"/>
      <c r="E786" s="1133"/>
      <c r="F786" s="1133"/>
      <c r="G786" s="1133"/>
      <c r="H786" s="1133"/>
      <c r="I786" s="1133"/>
      <c r="J786" s="1133"/>
      <c r="K786" s="1133"/>
      <c r="L786" s="1133"/>
      <c r="M786" s="1133"/>
      <c r="N786" s="1133"/>
      <c r="O786" s="1133"/>
      <c r="P786" s="1133"/>
      <c r="Q786" s="1133"/>
      <c r="R786" s="1133"/>
      <c r="S786" s="1133"/>
      <c r="T786" s="1133"/>
      <c r="U786" s="1133"/>
      <c r="V786" s="1133"/>
      <c r="W786" s="1133"/>
      <c r="X786" s="1133"/>
      <c r="Y786" s="1133"/>
      <c r="Z786" s="1133"/>
      <c r="AA786" s="1133"/>
      <c r="AB786" s="1133"/>
      <c r="AC786" s="1133"/>
      <c r="AD786" s="1133"/>
      <c r="AE786" s="1133"/>
      <c r="AF786" s="1133"/>
      <c r="AG786" s="1133"/>
      <c r="AH786" s="1133"/>
      <c r="AI786" s="1133"/>
      <c r="AJ786" s="1133"/>
      <c r="AK786" s="1133"/>
      <c r="AL786" s="1133"/>
      <c r="AM786" s="1133"/>
      <c r="AN786" s="113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538">
        <f>T738+AC764+AC784</f>
        <v>33940</v>
      </c>
      <c r="Z787" s="1538"/>
      <c r="AA787" s="1538"/>
      <c r="AB787" s="1538"/>
      <c r="AC787" s="153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538">
        <f>(T738+AC764+AC784)*12</f>
        <v>407280</v>
      </c>
      <c r="Z788" s="1538"/>
      <c r="AA788" s="1538"/>
      <c r="AB788" s="1538"/>
      <c r="AC788" s="153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446">
        <v>40</v>
      </c>
      <c r="AA793" s="1389"/>
      <c r="AB793" s="1389"/>
      <c r="AC793" s="1389"/>
      <c r="AD793" s="1389"/>
      <c r="AE793" s="139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88">
        <v>20</v>
      </c>
      <c r="AA794" s="1389"/>
      <c r="AB794" s="1389"/>
      <c r="AC794" s="1389"/>
      <c r="AD794" s="1389"/>
      <c r="AE794" s="139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41" t="s">
        <v>2459</v>
      </c>
      <c r="AA795" s="1442"/>
      <c r="AB795" s="1442"/>
      <c r="AC795" s="1442"/>
      <c r="AD795" s="1442"/>
      <c r="AE795" s="144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44">
        <f>'Subsidy Contract Calculation'!I40</f>
        <v>774480</v>
      </c>
      <c r="AA796" s="1545"/>
      <c r="AB796" s="1545"/>
      <c r="AC796" s="1545"/>
      <c r="AD796" s="1545"/>
      <c r="AE796" s="154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65">
        <v>0</v>
      </c>
      <c r="AA800" s="1061"/>
      <c r="AB800" s="1061"/>
      <c r="AC800" s="1061"/>
      <c r="AD800" s="1061"/>
      <c r="AE800" s="10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65"/>
      <c r="AA801" s="1061"/>
      <c r="AB801" s="1061"/>
      <c r="AC801" s="1061"/>
      <c r="AD801" s="1061"/>
      <c r="AE801" s="10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65"/>
      <c r="AA802" s="1061"/>
      <c r="AB802" s="1061"/>
      <c r="AC802" s="1061"/>
      <c r="AD802" s="1061"/>
      <c r="AE802" s="106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70" t="s">
        <v>124</v>
      </c>
      <c r="Q803" s="1541"/>
      <c r="R803" s="1541"/>
      <c r="S803" s="1541"/>
      <c r="T803" s="1541"/>
      <c r="U803" s="1541"/>
      <c r="V803" s="1541"/>
      <c r="W803" s="1541"/>
      <c r="X803" s="1541"/>
      <c r="Y803" s="1547"/>
      <c r="Z803" s="1065"/>
      <c r="AA803" s="1061"/>
      <c r="AB803" s="1061"/>
      <c r="AC803" s="1061"/>
      <c r="AD803" s="1061"/>
      <c r="AE803" s="106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14">
        <f>SUM(Z800:AE803)</f>
        <v>0</v>
      </c>
      <c r="AA804" s="1215"/>
      <c r="AB804" s="1215"/>
      <c r="AC804" s="1215"/>
      <c r="AD804" s="1215"/>
      <c r="AE804" s="121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14">
        <f>Z804+Y788+Z796</f>
        <v>1181760</v>
      </c>
      <c r="AA805" s="1215"/>
      <c r="AB805" s="1215"/>
      <c r="AC805" s="1215"/>
      <c r="AD805" s="1215"/>
      <c r="AE805" s="121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36" t="s">
        <v>878</v>
      </c>
      <c r="N810" s="1536"/>
      <c r="O810" s="1536"/>
      <c r="P810" s="1537"/>
      <c r="Q810" s="1503" t="s">
        <v>263</v>
      </c>
      <c r="R810" s="1503"/>
      <c r="S810" s="1503"/>
      <c r="T810" s="1503"/>
      <c r="U810" s="1503" t="s">
        <v>264</v>
      </c>
      <c r="V810" s="1503"/>
      <c r="W810" s="1503"/>
      <c r="X810" s="1503"/>
      <c r="Y810" s="1503" t="s">
        <v>265</v>
      </c>
      <c r="Z810" s="1503"/>
      <c r="AA810" s="1503"/>
      <c r="AB810" s="1503"/>
      <c r="AC810" s="1503" t="s">
        <v>31</v>
      </c>
      <c r="AD810" s="1503"/>
      <c r="AE810" s="1503"/>
      <c r="AF810" s="1503"/>
      <c r="AG810" s="1462" t="s">
        <v>563</v>
      </c>
      <c r="AH810" s="1462"/>
      <c r="AI810" s="1462"/>
      <c r="AJ810" s="146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31"/>
      <c r="N811" s="1531"/>
      <c r="O811" s="1531"/>
      <c r="P811" s="1532"/>
      <c r="Q811" s="1503"/>
      <c r="R811" s="1503"/>
      <c r="S811" s="1503"/>
      <c r="T811" s="1503"/>
      <c r="U811" s="1503"/>
      <c r="V811" s="1503"/>
      <c r="W811" s="1503"/>
      <c r="X811" s="1503"/>
      <c r="Y811" s="1503"/>
      <c r="Z811" s="1503"/>
      <c r="AA811" s="1503"/>
      <c r="AB811" s="1503"/>
      <c r="AC811" s="1503"/>
      <c r="AD811" s="1503"/>
      <c r="AE811" s="1503"/>
      <c r="AF811" s="1503"/>
      <c r="AG811" s="1462"/>
      <c r="AH811" s="1462"/>
      <c r="AI811" s="1462"/>
      <c r="AJ811" s="146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05" t="s">
        <v>694</v>
      </c>
      <c r="D812" s="1263"/>
      <c r="E812" s="1263"/>
      <c r="F812" s="1263"/>
      <c r="G812" s="1263"/>
      <c r="H812" s="1263"/>
      <c r="I812" s="54"/>
      <c r="J812" s="54"/>
      <c r="K812" s="54"/>
      <c r="L812" s="55"/>
      <c r="M812" s="1077">
        <v>13</v>
      </c>
      <c r="N812" s="1077"/>
      <c r="O812" s="1077"/>
      <c r="P812" s="1077"/>
      <c r="Q812" s="1077">
        <v>15</v>
      </c>
      <c r="R812" s="1077"/>
      <c r="S812" s="1077"/>
      <c r="T812" s="1077"/>
      <c r="U812" s="1077"/>
      <c r="V812" s="1077"/>
      <c r="W812" s="1077"/>
      <c r="X812" s="1077"/>
      <c r="Y812" s="1077"/>
      <c r="Z812" s="1077"/>
      <c r="AA812" s="1077"/>
      <c r="AB812" s="1077"/>
      <c r="AC812" s="1108"/>
      <c r="AD812" s="1109"/>
      <c r="AE812" s="1109"/>
      <c r="AF812" s="1110"/>
      <c r="AG812" s="1108"/>
      <c r="AH812" s="1109"/>
      <c r="AI812" s="1109"/>
      <c r="AJ812" s="11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07" t="s">
        <v>695</v>
      </c>
      <c r="D813" s="1308"/>
      <c r="E813" s="1308"/>
      <c r="F813" s="1308"/>
      <c r="G813" s="1308"/>
      <c r="H813" s="1308"/>
      <c r="I813" s="9"/>
      <c r="J813" s="9"/>
      <c r="K813" s="9"/>
      <c r="L813" s="52"/>
      <c r="M813" s="1077"/>
      <c r="N813" s="1077"/>
      <c r="O813" s="1077"/>
      <c r="P813" s="1077"/>
      <c r="Q813" s="1077"/>
      <c r="R813" s="1077"/>
      <c r="S813" s="1077"/>
      <c r="T813" s="1077"/>
      <c r="U813" s="1077"/>
      <c r="V813" s="1077"/>
      <c r="W813" s="1077"/>
      <c r="X813" s="1077"/>
      <c r="Y813" s="1077"/>
      <c r="Z813" s="1077"/>
      <c r="AA813" s="1077"/>
      <c r="AB813" s="1077"/>
      <c r="AC813" s="1108"/>
      <c r="AD813" s="1109"/>
      <c r="AE813" s="1109"/>
      <c r="AF813" s="1110"/>
      <c r="AG813" s="1108"/>
      <c r="AH813" s="1109"/>
      <c r="AI813" s="1109"/>
      <c r="AJ813" s="11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07" t="s">
        <v>71</v>
      </c>
      <c r="D814" s="1308"/>
      <c r="E814" s="1308"/>
      <c r="F814" s="1308"/>
      <c r="G814" s="1308"/>
      <c r="H814" s="1308"/>
      <c r="I814" s="66"/>
      <c r="J814" s="66"/>
      <c r="K814" s="66"/>
      <c r="L814" s="67"/>
      <c r="M814" s="1077">
        <v>5</v>
      </c>
      <c r="N814" s="1077"/>
      <c r="O814" s="1077"/>
      <c r="P814" s="1077"/>
      <c r="Q814" s="1077">
        <v>6</v>
      </c>
      <c r="R814" s="1077"/>
      <c r="S814" s="1077"/>
      <c r="T814" s="1077"/>
      <c r="U814" s="1077"/>
      <c r="V814" s="1077"/>
      <c r="W814" s="1077"/>
      <c r="X814" s="1077"/>
      <c r="Y814" s="1077"/>
      <c r="Z814" s="1077"/>
      <c r="AA814" s="1077"/>
      <c r="AB814" s="1077"/>
      <c r="AC814" s="1108"/>
      <c r="AD814" s="1109"/>
      <c r="AE814" s="1109"/>
      <c r="AF814" s="1110"/>
      <c r="AG814" s="1108"/>
      <c r="AH814" s="1109"/>
      <c r="AI814" s="1109"/>
      <c r="AJ814" s="11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07" t="s">
        <v>178</v>
      </c>
      <c r="D815" s="1308"/>
      <c r="E815" s="1308"/>
      <c r="F815" s="1308"/>
      <c r="G815" s="1308"/>
      <c r="H815" s="1308"/>
      <c r="I815" s="66"/>
      <c r="J815" s="66"/>
      <c r="K815" s="66"/>
      <c r="L815" s="67"/>
      <c r="M815" s="1077"/>
      <c r="N815" s="1077"/>
      <c r="O815" s="1077"/>
      <c r="P815" s="1077"/>
      <c r="Q815" s="1077"/>
      <c r="R815" s="1077"/>
      <c r="S815" s="1077"/>
      <c r="T815" s="1077"/>
      <c r="U815" s="1077"/>
      <c r="V815" s="1077"/>
      <c r="W815" s="1077"/>
      <c r="X815" s="1077"/>
      <c r="Y815" s="1077"/>
      <c r="Z815" s="1077"/>
      <c r="AA815" s="1077"/>
      <c r="AB815" s="1077"/>
      <c r="AC815" s="1108"/>
      <c r="AD815" s="1109"/>
      <c r="AE815" s="1109"/>
      <c r="AF815" s="1110"/>
      <c r="AG815" s="1108"/>
      <c r="AH815" s="1109"/>
      <c r="AI815" s="1109"/>
      <c r="AJ815" s="11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07" t="s">
        <v>790</v>
      </c>
      <c r="D816" s="1308"/>
      <c r="E816" s="1308"/>
      <c r="F816" s="1308"/>
      <c r="G816" s="1308"/>
      <c r="H816" s="1308"/>
      <c r="I816" s="66"/>
      <c r="J816" s="66"/>
      <c r="K816" s="66"/>
      <c r="L816" s="67"/>
      <c r="M816" s="1077">
        <v>44</v>
      </c>
      <c r="N816" s="1077"/>
      <c r="O816" s="1077"/>
      <c r="P816" s="1077"/>
      <c r="Q816" s="1077">
        <v>48</v>
      </c>
      <c r="R816" s="1077"/>
      <c r="S816" s="1077"/>
      <c r="T816" s="1077"/>
      <c r="U816" s="1077"/>
      <c r="V816" s="1077"/>
      <c r="W816" s="1077"/>
      <c r="X816" s="1077"/>
      <c r="Y816" s="1077"/>
      <c r="Z816" s="1077"/>
      <c r="AA816" s="1077"/>
      <c r="AB816" s="1077"/>
      <c r="AC816" s="1108"/>
      <c r="AD816" s="1109"/>
      <c r="AE816" s="1109"/>
      <c r="AF816" s="1110"/>
      <c r="AG816" s="1108"/>
      <c r="AH816" s="1109"/>
      <c r="AI816" s="1109"/>
      <c r="AJ816" s="11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5" t="s">
        <v>943</v>
      </c>
      <c r="D817" s="1308"/>
      <c r="E817" s="1308"/>
      <c r="F817" s="1308"/>
      <c r="G817" s="1308"/>
      <c r="H817" s="1308"/>
      <c r="I817" s="66"/>
      <c r="J817" s="66"/>
      <c r="K817" s="66"/>
      <c r="L817" s="67"/>
      <c r="M817" s="1077"/>
      <c r="N817" s="1077"/>
      <c r="O817" s="1077"/>
      <c r="P817" s="1077"/>
      <c r="Q817" s="1077"/>
      <c r="R817" s="1077"/>
      <c r="S817" s="1077"/>
      <c r="T817" s="1077"/>
      <c r="U817" s="1077"/>
      <c r="V817" s="1077"/>
      <c r="W817" s="1077"/>
      <c r="X817" s="1077"/>
      <c r="Y817" s="1077"/>
      <c r="Z817" s="1077"/>
      <c r="AA817" s="1077"/>
      <c r="AB817" s="1077"/>
      <c r="AC817" s="1108"/>
      <c r="AD817" s="1109"/>
      <c r="AE817" s="1109"/>
      <c r="AF817" s="1110"/>
      <c r="AG817" s="1108"/>
      <c r="AH817" s="1109"/>
      <c r="AI817" s="1109"/>
      <c r="AJ817" s="11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540"/>
      <c r="G818" s="1541"/>
      <c r="H818" s="1541"/>
      <c r="I818" s="1541"/>
      <c r="J818" s="1541"/>
      <c r="K818" s="1541"/>
      <c r="L818" s="1541"/>
      <c r="M818" s="1077"/>
      <c r="N818" s="1077"/>
      <c r="O818" s="1077"/>
      <c r="P818" s="1077"/>
      <c r="Q818" s="1077"/>
      <c r="R818" s="1077"/>
      <c r="S818" s="1077"/>
      <c r="T818" s="1077"/>
      <c r="U818" s="1077"/>
      <c r="V818" s="1077"/>
      <c r="W818" s="1077"/>
      <c r="X818" s="1077"/>
      <c r="Y818" s="1077"/>
      <c r="Z818" s="1077"/>
      <c r="AA818" s="1077"/>
      <c r="AB818" s="1077"/>
      <c r="AC818" s="1108"/>
      <c r="AD818" s="1109"/>
      <c r="AE818" s="1109"/>
      <c r="AF818" s="1110"/>
      <c r="AG818" s="1108"/>
      <c r="AH818" s="1109"/>
      <c r="AI818" s="1109"/>
      <c r="AJ818" s="11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87" t="s">
        <v>876</v>
      </c>
      <c r="D819" s="1088"/>
      <c r="E819" s="1088"/>
      <c r="F819" s="1088"/>
      <c r="G819" s="1088"/>
      <c r="H819" s="1088"/>
      <c r="I819" s="1088"/>
      <c r="J819" s="1088"/>
      <c r="K819" s="1088"/>
      <c r="L819" s="1089"/>
      <c r="M819" s="1220">
        <f>SUM(M812:P818)</f>
        <v>62</v>
      </c>
      <c r="N819" s="1220"/>
      <c r="O819" s="1220"/>
      <c r="P819" s="1220"/>
      <c r="Q819" s="1220">
        <f>SUM(Q812:T818)</f>
        <v>69</v>
      </c>
      <c r="R819" s="1220"/>
      <c r="S819" s="1220"/>
      <c r="T819" s="1220"/>
      <c r="U819" s="1220">
        <f>SUM(U812:X818)</f>
        <v>0</v>
      </c>
      <c r="V819" s="1220"/>
      <c r="W819" s="1220"/>
      <c r="X819" s="1220"/>
      <c r="Y819" s="1220">
        <f>SUM(Y812:AB818)</f>
        <v>0</v>
      </c>
      <c r="Z819" s="1220"/>
      <c r="AA819" s="1220"/>
      <c r="AB819" s="1220"/>
      <c r="AC819" s="1220">
        <f>SUM(AC812:AF818)</f>
        <v>0</v>
      </c>
      <c r="AD819" s="1220"/>
      <c r="AE819" s="1220"/>
      <c r="AF819" s="1220"/>
      <c r="AG819" s="1220">
        <f>SUM(AG812:AJ818)</f>
        <v>0</v>
      </c>
      <c r="AH819" s="1220"/>
      <c r="AI819" s="1220"/>
      <c r="AJ819" s="122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078" t="s">
        <v>2408</v>
      </c>
      <c r="D824" s="1079"/>
      <c r="E824" s="1079"/>
      <c r="F824" s="1079"/>
      <c r="G824" s="1079"/>
      <c r="H824" s="1079"/>
      <c r="I824" s="1079"/>
      <c r="J824" s="1079"/>
      <c r="K824" s="1079"/>
      <c r="L824" s="1079"/>
      <c r="M824" s="1079"/>
      <c r="N824" s="1079"/>
      <c r="O824" s="1079"/>
      <c r="P824" s="1079"/>
      <c r="Q824" s="1079"/>
      <c r="R824" s="1079"/>
      <c r="S824" s="1079"/>
      <c r="T824" s="1079"/>
      <c r="U824" s="1079"/>
      <c r="V824" s="1079"/>
      <c r="W824" s="1079"/>
      <c r="X824" s="1079"/>
      <c r="Y824" s="1079"/>
      <c r="Z824" s="1079"/>
      <c r="AA824" s="1079"/>
      <c r="AB824" s="1079"/>
      <c r="AC824" s="1079"/>
      <c r="AD824" s="1079"/>
      <c r="AE824" s="1079"/>
      <c r="AF824" s="1079"/>
      <c r="AG824" s="1079"/>
      <c r="AH824" s="1079"/>
      <c r="AI824" s="1079"/>
      <c r="AJ824" s="108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09" t="s">
        <v>368</v>
      </c>
      <c r="BB827" s="151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73">
        <v>750</v>
      </c>
      <c r="X829" s="1073"/>
      <c r="Y829" s="1073"/>
      <c r="Z829" s="1073"/>
      <c r="AA829" s="1073"/>
      <c r="AB829" s="1073"/>
      <c r="AC829" s="107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73">
        <v>8000</v>
      </c>
      <c r="X830" s="1073"/>
      <c r="Y830" s="1073"/>
      <c r="Z830" s="1073"/>
      <c r="AA830" s="1073"/>
      <c r="AB830" s="1073"/>
      <c r="AC830" s="107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73">
        <v>20000</v>
      </c>
      <c r="X831" s="1073"/>
      <c r="Y831" s="1073"/>
      <c r="Z831" s="1073"/>
      <c r="AA831" s="1073"/>
      <c r="AB831" s="1073"/>
      <c r="AC831" s="1073"/>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73">
        <v>60850</v>
      </c>
      <c r="X832" s="1073"/>
      <c r="Y832" s="1073"/>
      <c r="Z832" s="1073"/>
      <c r="AA832" s="1073"/>
      <c r="AB832" s="1073"/>
      <c r="AC832" s="107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70" t="s">
        <v>2460</v>
      </c>
      <c r="N833" s="1071"/>
      <c r="O833" s="1071"/>
      <c r="P833" s="1071"/>
      <c r="Q833" s="1071"/>
      <c r="R833" s="1071"/>
      <c r="S833" s="1071"/>
      <c r="T833" s="1071"/>
      <c r="U833" s="1071"/>
      <c r="V833" s="1072"/>
      <c r="W833" s="1073">
        <v>26581</v>
      </c>
      <c r="X833" s="1073"/>
      <c r="Y833" s="1073"/>
      <c r="Z833" s="1073"/>
      <c r="AA833" s="1073"/>
      <c r="AB833" s="1073"/>
      <c r="AC833" s="107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06" t="str">
        <f>T189</f>
        <v>Alameda</v>
      </c>
      <c r="BP833" s="1507"/>
      <c r="BQ833" s="1507"/>
      <c r="BR833" s="1507"/>
      <c r="BS833" s="1507"/>
      <c r="BT833" s="1507"/>
      <c r="BU833" s="150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14">
        <f>SUM(W829:W833)</f>
        <v>116181</v>
      </c>
      <c r="X834" s="1215"/>
      <c r="Y834" s="1215"/>
      <c r="Z834" s="1215"/>
      <c r="AA834" s="1215"/>
      <c r="AB834" s="1215"/>
      <c r="AC834" s="121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087" t="s">
        <v>469</v>
      </c>
      <c r="K836" s="1088"/>
      <c r="L836" s="1088"/>
      <c r="M836" s="1088"/>
      <c r="N836" s="1088"/>
      <c r="O836" s="1088"/>
      <c r="P836" s="1088"/>
      <c r="Q836" s="1088"/>
      <c r="R836" s="1088"/>
      <c r="S836" s="1088"/>
      <c r="T836" s="1088"/>
      <c r="U836" s="1088"/>
      <c r="V836" s="1089"/>
      <c r="W836" s="1065">
        <v>40500</v>
      </c>
      <c r="X836" s="1061"/>
      <c r="Y836" s="1061"/>
      <c r="Z836" s="1061"/>
      <c r="AA836" s="1061"/>
      <c r="AB836" s="1061"/>
      <c r="AC836" s="106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066">
        <v>0</v>
      </c>
      <c r="X838" s="1066"/>
      <c r="Y838" s="1066"/>
      <c r="Z838" s="1066"/>
      <c r="AA838" s="1066"/>
      <c r="AB838" s="1066"/>
      <c r="AC838" s="106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66">
        <v>0</v>
      </c>
      <c r="X839" s="1066"/>
      <c r="Y839" s="1066"/>
      <c r="Z839" s="1066"/>
      <c r="AA839" s="1066"/>
      <c r="AB839" s="1066"/>
      <c r="AC839" s="106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066">
        <v>21600</v>
      </c>
      <c r="X840" s="1066"/>
      <c r="Y840" s="1066"/>
      <c r="Z840" s="1066"/>
      <c r="AA840" s="1066"/>
      <c r="AB840" s="1066"/>
      <c r="AC840" s="106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66">
        <v>62100</v>
      </c>
      <c r="X841" s="1066"/>
      <c r="Y841" s="1066"/>
      <c r="Z841" s="1066"/>
      <c r="AA841" s="1066"/>
      <c r="AB841" s="1066"/>
      <c r="AC841" s="106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42">
        <f>SUM(W838:W841)</f>
        <v>83700</v>
      </c>
      <c r="X842" s="1542"/>
      <c r="Y842" s="1542"/>
      <c r="Z842" s="1542"/>
      <c r="AA842" s="1542"/>
      <c r="AB842" s="1542"/>
      <c r="AC842" s="154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67">
        <v>126208</v>
      </c>
      <c r="X844" s="1068"/>
      <c r="Y844" s="1068"/>
      <c r="Z844" s="1068"/>
      <c r="AA844" s="1068"/>
      <c r="AB844" s="1068"/>
      <c r="AC844" s="1069"/>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226">
        <v>2</v>
      </c>
      <c r="U845" s="1227"/>
      <c r="V845" s="12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067">
        <v>62160</v>
      </c>
      <c r="X846" s="1068"/>
      <c r="Y846" s="1068"/>
      <c r="Z846" s="1068"/>
      <c r="AA846" s="1068"/>
      <c r="AB846" s="1068"/>
      <c r="AC846" s="1069"/>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226">
        <v>0</v>
      </c>
      <c r="U847" s="1227"/>
      <c r="V847" s="12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70" t="s">
        <v>2461</v>
      </c>
      <c r="N848" s="1071"/>
      <c r="O848" s="1071"/>
      <c r="P848" s="1071"/>
      <c r="Q848" s="1071"/>
      <c r="R848" s="1071"/>
      <c r="S848" s="1071"/>
      <c r="T848" s="1071"/>
      <c r="U848" s="1071"/>
      <c r="V848" s="1072"/>
      <c r="W848" s="1067">
        <v>51440</v>
      </c>
      <c r="X848" s="1068"/>
      <c r="Y848" s="1068"/>
      <c r="Z848" s="1068"/>
      <c r="AA848" s="1068"/>
      <c r="AB848" s="1068"/>
      <c r="AC848" s="1069"/>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55">
        <f>SUM(W844:W848)</f>
        <v>239808</v>
      </c>
      <c r="X849" s="1556"/>
      <c r="Y849" s="1556"/>
      <c r="Z849" s="1556"/>
      <c r="AA849" s="1556"/>
      <c r="AB849" s="1556"/>
      <c r="AC849" s="1557"/>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67">
        <v>30761</v>
      </c>
      <c r="X850" s="1068"/>
      <c r="Y850" s="1068"/>
      <c r="Z850" s="1068"/>
      <c r="AA850" s="1068"/>
      <c r="AB850" s="1068"/>
      <c r="AC850" s="1069"/>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073">
        <v>5000</v>
      </c>
      <c r="X852" s="1073"/>
      <c r="Y852" s="1073"/>
      <c r="Z852" s="1073"/>
      <c r="AA852" s="1073"/>
      <c r="AB852" s="1073"/>
      <c r="AC852" s="1073"/>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073">
        <v>27900</v>
      </c>
      <c r="X853" s="1073"/>
      <c r="Y853" s="1073"/>
      <c r="Z853" s="1073"/>
      <c r="AA853" s="1073"/>
      <c r="AB853" s="1073"/>
      <c r="AC853" s="107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73">
        <f>16200+9340</f>
        <v>25540</v>
      </c>
      <c r="X854" s="1073"/>
      <c r="Y854" s="1073"/>
      <c r="Z854" s="1073"/>
      <c r="AA854" s="1073"/>
      <c r="AB854" s="1073"/>
      <c r="AC854" s="107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73">
        <v>5000</v>
      </c>
      <c r="X855" s="1073"/>
      <c r="Y855" s="1073"/>
      <c r="Z855" s="1073"/>
      <c r="AA855" s="1073"/>
      <c r="AB855" s="1073"/>
      <c r="AC855" s="107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73">
        <v>4800</v>
      </c>
      <c r="X856" s="1073"/>
      <c r="Y856" s="1073"/>
      <c r="Z856" s="1073"/>
      <c r="AA856" s="1073"/>
      <c r="AB856" s="1073"/>
      <c r="AC856" s="107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73">
        <v>4000</v>
      </c>
      <c r="X857" s="1073"/>
      <c r="Y857" s="1073"/>
      <c r="Z857" s="1073"/>
      <c r="AA857" s="1073"/>
      <c r="AB857" s="1073"/>
      <c r="AC857" s="107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70" t="s">
        <v>2462</v>
      </c>
      <c r="N858" s="1071"/>
      <c r="O858" s="1071"/>
      <c r="P858" s="1071"/>
      <c r="Q858" s="1071"/>
      <c r="R858" s="1071"/>
      <c r="S858" s="1071"/>
      <c r="T858" s="1071"/>
      <c r="U858" s="1071"/>
      <c r="V858" s="1072"/>
      <c r="W858" s="1073">
        <v>8000</v>
      </c>
      <c r="X858" s="1073"/>
      <c r="Y858" s="1073"/>
      <c r="Z858" s="1073"/>
      <c r="AA858" s="1073"/>
      <c r="AB858" s="1073"/>
      <c r="AC858" s="107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538">
        <f>SUM(W852:W858)</f>
        <v>80240</v>
      </c>
      <c r="X859" s="1538"/>
      <c r="Y859" s="1538"/>
      <c r="Z859" s="1538"/>
      <c r="AA859" s="1538"/>
      <c r="AB859" s="1538"/>
      <c r="AC859" s="153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70" t="s">
        <v>2463</v>
      </c>
      <c r="N861" s="1071"/>
      <c r="O861" s="1071"/>
      <c r="P861" s="1071"/>
      <c r="Q861" s="1071"/>
      <c r="R861" s="1071"/>
      <c r="S861" s="1071"/>
      <c r="T861" s="1071"/>
      <c r="U861" s="1071"/>
      <c r="V861" s="1072"/>
      <c r="W861" s="1065">
        <v>800</v>
      </c>
      <c r="X861" s="1061"/>
      <c r="Y861" s="1061"/>
      <c r="Z861" s="1061"/>
      <c r="AA861" s="1061"/>
      <c r="AB861" s="1061"/>
      <c r="AC861" s="1062"/>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70" t="s">
        <v>562</v>
      </c>
      <c r="N862" s="1071"/>
      <c r="O862" s="1071"/>
      <c r="P862" s="1071"/>
      <c r="Q862" s="1071"/>
      <c r="R862" s="1071"/>
      <c r="S862" s="1071"/>
      <c r="T862" s="1071"/>
      <c r="U862" s="1071"/>
      <c r="V862" s="1072"/>
      <c r="W862" s="1065"/>
      <c r="X862" s="1061"/>
      <c r="Y862" s="1061"/>
      <c r="Z862" s="1061"/>
      <c r="AA862" s="1061"/>
      <c r="AB862" s="1061"/>
      <c r="AC862" s="106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70"/>
      <c r="N863" s="1071"/>
      <c r="O863" s="1071"/>
      <c r="P863" s="1071"/>
      <c r="Q863" s="1071"/>
      <c r="R863" s="1071"/>
      <c r="S863" s="1071"/>
      <c r="T863" s="1071"/>
      <c r="U863" s="1071"/>
      <c r="V863" s="1072"/>
      <c r="W863" s="1065"/>
      <c r="X863" s="1061"/>
      <c r="Y863" s="1061"/>
      <c r="Z863" s="1061"/>
      <c r="AA863" s="1061"/>
      <c r="AB863" s="1061"/>
      <c r="AC863" s="1062"/>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70" t="s">
        <v>562</v>
      </c>
      <c r="N864" s="1071"/>
      <c r="O864" s="1071"/>
      <c r="P864" s="1071"/>
      <c r="Q864" s="1071"/>
      <c r="R864" s="1071"/>
      <c r="S864" s="1071"/>
      <c r="T864" s="1071"/>
      <c r="U864" s="1071"/>
      <c r="V864" s="1072"/>
      <c r="W864" s="1065"/>
      <c r="X864" s="1061"/>
      <c r="Y864" s="1061"/>
      <c r="Z864" s="1061"/>
      <c r="AA864" s="1061"/>
      <c r="AB864" s="1061"/>
      <c r="AC864" s="106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70" t="s">
        <v>562</v>
      </c>
      <c r="N865" s="1071"/>
      <c r="O865" s="1071"/>
      <c r="P865" s="1071"/>
      <c r="Q865" s="1071"/>
      <c r="R865" s="1071"/>
      <c r="S865" s="1071"/>
      <c r="T865" s="1071"/>
      <c r="U865" s="1071"/>
      <c r="V865" s="1072"/>
      <c r="W865" s="1065"/>
      <c r="X865" s="1061"/>
      <c r="Y865" s="1061"/>
      <c r="Z865" s="1061"/>
      <c r="AA865" s="1061"/>
      <c r="AB865" s="1061"/>
      <c r="AC865" s="106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14">
        <f>SUM(W861:W865)</f>
        <v>800</v>
      </c>
      <c r="X866" s="1215"/>
      <c r="Y866" s="1215"/>
      <c r="Z866" s="1215"/>
      <c r="AA866" s="1215"/>
      <c r="AB866" s="1215"/>
      <c r="AC866" s="121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14">
        <f>W834+W842+W849+W850+W859+W866+W836</f>
        <v>591990</v>
      </c>
      <c r="AD870" s="1215"/>
      <c r="AE870" s="1215"/>
      <c r="AF870" s="1215"/>
      <c r="AG870" s="1215"/>
      <c r="AH870" s="1216"/>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210">
        <f>O784+O764+G738</f>
        <v>46</v>
      </c>
      <c r="AD871" s="1211"/>
      <c r="AE871" s="1211"/>
      <c r="AF871" s="1211"/>
      <c r="AG871" s="1211"/>
      <c r="AH871" s="1212"/>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88" t="s">
        <v>346</v>
      </c>
      <c r="F872" s="1489"/>
      <c r="G872" s="1489"/>
      <c r="H872" s="1489"/>
      <c r="I872" s="1489"/>
      <c r="J872" s="1489"/>
      <c r="K872" s="1489"/>
      <c r="L872" s="1489"/>
      <c r="M872" s="1489"/>
      <c r="N872" s="1489"/>
      <c r="O872" s="1489"/>
      <c r="P872" s="1489"/>
      <c r="Q872" s="1489"/>
      <c r="R872" s="1489"/>
      <c r="S872" s="1489"/>
      <c r="T872" s="1489"/>
      <c r="U872" s="1489"/>
      <c r="V872" s="1489"/>
      <c r="W872" s="1489"/>
      <c r="X872" s="1489"/>
      <c r="Y872" s="1489"/>
      <c r="Z872" s="1489"/>
      <c r="AA872" s="1489"/>
      <c r="AB872" s="1490"/>
      <c r="AC872" s="1224">
        <f>IF(ISERROR((ROUNDDOWN(AC870/AC871,0))),0,(ROUNDDOWN(AC870/AC871,0)))</f>
        <v>12869</v>
      </c>
      <c r="AD872" s="1225"/>
      <c r="AE872" s="1225"/>
      <c r="AF872" s="1225"/>
      <c r="AG872" s="1225"/>
      <c r="AH872" s="1225"/>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3">
        <f>'Sources and Uses Budget'!C74</f>
        <v>350008</v>
      </c>
      <c r="AD873" s="1064"/>
      <c r="AE873" s="1064"/>
      <c r="AF873" s="1064"/>
      <c r="AG873" s="1064"/>
      <c r="AH873" s="1064"/>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62">
        <v>3000</v>
      </c>
      <c r="AD874" s="1073"/>
      <c r="AE874" s="1073"/>
      <c r="AF874" s="1073"/>
      <c r="AG874" s="1073"/>
      <c r="AH874" s="1073"/>
      <c r="AI874"/>
      <c r="AJ874"/>
      <c r="AK874"/>
      <c r="AL874"/>
      <c r="AM874" s="38"/>
      <c r="AN874" s="38"/>
      <c r="AV874" s="1487"/>
      <c r="AW874" s="1487"/>
      <c r="AX874" s="1487"/>
      <c r="AY874" s="1487"/>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61">
        <v>210659.65</v>
      </c>
      <c r="AD875" s="1061"/>
      <c r="AE875" s="1061"/>
      <c r="AF875" s="1061"/>
      <c r="AG875" s="1061"/>
      <c r="AH875" s="1062"/>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61">
        <f>[2]budgets!$AD$50</f>
        <v>23000</v>
      </c>
      <c r="AD876" s="1061"/>
      <c r="AE876" s="1061"/>
      <c r="AF876" s="1061"/>
      <c r="AG876" s="1061"/>
      <c r="AH876" s="1062"/>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65">
        <f>[2]budgets!$AD$42</f>
        <v>12360</v>
      </c>
      <c r="AD877" s="1061"/>
      <c r="AE877" s="1061"/>
      <c r="AF877" s="1061"/>
      <c r="AG877" s="1061"/>
      <c r="AH877" s="1062"/>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61">
        <v>50000</v>
      </c>
      <c r="AD878" s="1061"/>
      <c r="AE878" s="1061"/>
      <c r="AF878" s="1061"/>
      <c r="AG878" s="1061"/>
      <c r="AH878" s="1062"/>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43"/>
      <c r="AD879" s="1073"/>
      <c r="AE879" s="1073"/>
      <c r="AF879" s="1073"/>
      <c r="AG879" s="1073"/>
      <c r="AH879" s="1073"/>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17" t="s">
        <v>1209</v>
      </c>
      <c r="F880" s="1218"/>
      <c r="G880" s="1218"/>
      <c r="H880" s="1218"/>
      <c r="I880" s="1218"/>
      <c r="J880" s="1218"/>
      <c r="K880" s="1218"/>
      <c r="L880" s="1218"/>
      <c r="M880" s="1218"/>
      <c r="N880" s="1218"/>
      <c r="O880" s="1218"/>
      <c r="P880" s="1218"/>
      <c r="Q880" s="1218"/>
      <c r="R880" s="1218"/>
      <c r="S880" s="1218"/>
      <c r="T880" s="1218"/>
      <c r="U880" s="1218"/>
      <c r="V880" s="1218"/>
      <c r="W880" s="1218"/>
      <c r="X880" s="1218"/>
      <c r="Y880" s="1218"/>
      <c r="Z880" s="1218"/>
      <c r="AA880" s="1218"/>
      <c r="AB880" s="1219"/>
      <c r="AC880" s="1073"/>
      <c r="AD880" s="1073"/>
      <c r="AE880" s="1073"/>
      <c r="AF880" s="1073"/>
      <c r="AG880" s="1073"/>
      <c r="AH880" s="1073"/>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17" t="s">
        <v>1209</v>
      </c>
      <c r="F881" s="1218"/>
      <c r="G881" s="1218"/>
      <c r="H881" s="1218"/>
      <c r="I881" s="1218"/>
      <c r="J881" s="1218"/>
      <c r="K881" s="1218"/>
      <c r="L881" s="1218"/>
      <c r="M881" s="1218"/>
      <c r="N881" s="1218"/>
      <c r="O881" s="1218"/>
      <c r="P881" s="1218"/>
      <c r="Q881" s="1218"/>
      <c r="R881" s="1218"/>
      <c r="S881" s="1218"/>
      <c r="T881" s="1218"/>
      <c r="U881" s="1218"/>
      <c r="V881" s="1218"/>
      <c r="W881" s="1218"/>
      <c r="X881" s="1218"/>
      <c r="Y881" s="1218"/>
      <c r="Z881" s="1218"/>
      <c r="AA881" s="1218"/>
      <c r="AB881" s="1219"/>
      <c r="AC881" s="1073"/>
      <c r="AD881" s="1073"/>
      <c r="AE881" s="1073"/>
      <c r="AF881" s="1073"/>
      <c r="AG881" s="1073"/>
      <c r="AH881" s="1073"/>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9"/>
      <c r="AD882" s="1539"/>
      <c r="AE882" s="1539"/>
      <c r="AF882" s="1539"/>
      <c r="AG882" s="1539"/>
      <c r="AH882" s="1539"/>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18"/>
      <c r="AO883" s="1518"/>
      <c r="AP883" s="1487"/>
      <c r="AQ883" s="1487"/>
      <c r="AR883" s="1487"/>
      <c r="AS883" s="1487"/>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87"/>
      <c r="AQ884" s="1487"/>
      <c r="AR884" s="1487"/>
      <c r="AS884" s="1487"/>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65">
        <v>0</v>
      </c>
      <c r="AA885" s="1061"/>
      <c r="AB885" s="1061"/>
      <c r="AC885" s="1061"/>
      <c r="AD885" s="1061"/>
      <c r="AE885" s="1062"/>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65">
        <v>0</v>
      </c>
      <c r="AA886" s="1061"/>
      <c r="AB886" s="1061"/>
      <c r="AC886" s="1061"/>
      <c r="AD886" s="1061"/>
      <c r="AE886" s="1062"/>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65">
        <v>0</v>
      </c>
      <c r="AA887" s="1061"/>
      <c r="AB887" s="1061"/>
      <c r="AC887" s="1061"/>
      <c r="AD887" s="1061"/>
      <c r="AE887" s="1062"/>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14">
        <f>Z885-(Z886+Z887)</f>
        <v>0</v>
      </c>
      <c r="AA888" s="1215"/>
      <c r="AB888" s="1215"/>
      <c r="AC888" s="1215"/>
      <c r="AD888" s="1215"/>
      <c r="AE888" s="1216"/>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26" t="s">
        <v>128</v>
      </c>
      <c r="B895" s="1126"/>
      <c r="C895" s="1126"/>
      <c r="D895" s="1126"/>
      <c r="E895" s="1126"/>
      <c r="F895" s="1126"/>
      <c r="G895" s="1126"/>
      <c r="H895" s="1126"/>
      <c r="I895" s="1126"/>
      <c r="J895" s="1126"/>
      <c r="K895" s="1126"/>
      <c r="L895" s="1126"/>
      <c r="M895" s="1126"/>
      <c r="N895" s="1126"/>
      <c r="O895" s="1126"/>
      <c r="P895" s="1126"/>
      <c r="Q895" s="1126"/>
      <c r="R895" s="1126"/>
      <c r="S895" s="1126"/>
      <c r="T895" s="1126"/>
      <c r="U895" s="1126"/>
      <c r="V895" s="1126"/>
      <c r="W895" s="1126"/>
      <c r="X895" s="1126"/>
      <c r="Y895" s="1126"/>
      <c r="Z895" s="1126"/>
      <c r="AA895" s="1126"/>
      <c r="AB895" s="1126"/>
      <c r="AC895" s="1126"/>
      <c r="AD895" s="1126"/>
      <c r="AE895" s="1126"/>
      <c r="AF895" s="1126"/>
      <c r="AG895" s="1126"/>
      <c r="AH895" s="1126"/>
      <c r="AI895" s="1126"/>
      <c r="AJ895" s="1126"/>
      <c r="AK895" s="1126"/>
      <c r="AL895" s="1126"/>
      <c r="AM895" s="1126"/>
      <c r="AN895" s="1126"/>
      <c r="AO895" s="1126"/>
      <c r="AP895" s="1126"/>
      <c r="AQ895" s="1126"/>
      <c r="AR895" s="1126"/>
      <c r="AS895" s="1126"/>
      <c r="AT895" s="112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26"/>
      <c r="B896" s="1126"/>
      <c r="C896" s="1126"/>
      <c r="D896" s="1126"/>
      <c r="E896" s="1126"/>
      <c r="F896" s="1126"/>
      <c r="G896" s="1126"/>
      <c r="H896" s="1126"/>
      <c r="I896" s="1126"/>
      <c r="J896" s="1126"/>
      <c r="K896" s="1126"/>
      <c r="L896" s="1126"/>
      <c r="M896" s="1126"/>
      <c r="N896" s="1126"/>
      <c r="O896" s="1126"/>
      <c r="P896" s="1126"/>
      <c r="Q896" s="1126"/>
      <c r="R896" s="1126"/>
      <c r="S896" s="1126"/>
      <c r="T896" s="1126"/>
      <c r="U896" s="1126"/>
      <c r="V896" s="1126"/>
      <c r="W896" s="1126"/>
      <c r="X896" s="1126"/>
      <c r="Y896" s="1126"/>
      <c r="Z896" s="1126"/>
      <c r="AA896" s="1126"/>
      <c r="AB896" s="1126"/>
      <c r="AC896" s="1126"/>
      <c r="AD896" s="1126"/>
      <c r="AE896" s="1126"/>
      <c r="AF896" s="1126"/>
      <c r="AG896" s="1126"/>
      <c r="AH896" s="1126"/>
      <c r="AI896" s="1126"/>
      <c r="AJ896" s="1126"/>
      <c r="AK896" s="1126"/>
      <c r="AL896" s="1126"/>
      <c r="AM896" s="1126"/>
      <c r="AN896" s="1126"/>
      <c r="AO896" s="1126"/>
      <c r="AP896" s="1126"/>
      <c r="AQ896" s="1126"/>
      <c r="AR896" s="1126"/>
      <c r="AS896" s="1126"/>
      <c r="AT896" s="112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33" t="s">
        <v>961</v>
      </c>
      <c r="G900" s="1534"/>
      <c r="H900" s="1534"/>
      <c r="I900" s="1534"/>
      <c r="J900" s="1534"/>
      <c r="K900" s="1534"/>
      <c r="L900" s="1534"/>
      <c r="M900" s="1534"/>
      <c r="N900" s="1534"/>
      <c r="O900" s="1534"/>
      <c r="P900" s="1534"/>
      <c r="Q900" s="1534"/>
      <c r="R900" s="1534"/>
      <c r="S900" s="1534"/>
      <c r="T900" s="1535"/>
      <c r="U900" s="1554" t="s">
        <v>345</v>
      </c>
      <c r="V900" s="1536"/>
      <c r="W900" s="1536"/>
      <c r="X900" s="1536"/>
      <c r="Y900" s="1536"/>
      <c r="Z900" s="1536"/>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27" t="s">
        <v>1039</v>
      </c>
      <c r="G901" s="1528"/>
      <c r="H901" s="1528"/>
      <c r="I901" s="1528"/>
      <c r="J901" s="1528"/>
      <c r="K901" s="1528"/>
      <c r="L901" s="1528"/>
      <c r="M901" s="1528"/>
      <c r="N901" s="1528"/>
      <c r="O901" s="1528"/>
      <c r="P901" s="1528"/>
      <c r="Q901" s="1528"/>
      <c r="R901" s="1528"/>
      <c r="S901" s="1528"/>
      <c r="T901" s="1529"/>
      <c r="U901" s="1527"/>
      <c r="V901" s="1528"/>
      <c r="W901" s="1528"/>
      <c r="X901" s="1528"/>
      <c r="Y901" s="1528"/>
      <c r="Z901" s="152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30"/>
      <c r="G902" s="1531"/>
      <c r="H902" s="1531"/>
      <c r="I902" s="1531"/>
      <c r="J902" s="1531"/>
      <c r="K902" s="1531"/>
      <c r="L902" s="1531"/>
      <c r="M902" s="1531"/>
      <c r="N902" s="1531"/>
      <c r="O902" s="1531"/>
      <c r="P902" s="1531"/>
      <c r="Q902" s="1531"/>
      <c r="R902" s="1531"/>
      <c r="S902" s="1531"/>
      <c r="T902" s="1532"/>
      <c r="U902" s="1530"/>
      <c r="V902" s="1531"/>
      <c r="W902" s="1531"/>
      <c r="X902" s="1531"/>
      <c r="Y902" s="1531"/>
      <c r="Z902" s="1531"/>
      <c r="AA902" s="196"/>
      <c r="AB902" s="1213" t="s">
        <v>56</v>
      </c>
      <c r="AC902" s="1213"/>
      <c r="AD902" s="1213"/>
      <c r="AE902" s="121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123" t="s">
        <v>158</v>
      </c>
      <c r="G903" s="1124"/>
      <c r="H903" s="1124"/>
      <c r="I903" s="1124"/>
      <c r="J903" s="1124"/>
      <c r="K903" s="1124"/>
      <c r="L903" s="1124"/>
      <c r="M903" s="1124"/>
      <c r="N903" s="1124"/>
      <c r="O903" s="1124"/>
      <c r="P903" s="1124"/>
      <c r="Q903" s="1124"/>
      <c r="R903" s="1124"/>
      <c r="S903" s="1124"/>
      <c r="T903" s="1125"/>
      <c r="U903" s="1114" t="s">
        <v>108</v>
      </c>
      <c r="V903" s="1115"/>
      <c r="W903" s="1115"/>
      <c r="X903" s="1115"/>
      <c r="Y903" s="1115"/>
      <c r="Z903" s="1116"/>
      <c r="AA903" s="1117">
        <f>AM564</f>
        <v>89506</v>
      </c>
      <c r="AB903" s="1118"/>
      <c r="AC903" s="1118"/>
      <c r="AD903" s="1118"/>
      <c r="AE903" s="1118"/>
      <c r="AF903" s="111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123" t="s">
        <v>160</v>
      </c>
      <c r="G904" s="1124"/>
      <c r="H904" s="1124"/>
      <c r="I904" s="1124"/>
      <c r="J904" s="1124"/>
      <c r="K904" s="1124"/>
      <c r="L904" s="1124"/>
      <c r="M904" s="1124"/>
      <c r="N904" s="1124"/>
      <c r="O904" s="1124"/>
      <c r="P904" s="1124"/>
      <c r="Q904" s="1124"/>
      <c r="R904" s="1124"/>
      <c r="S904" s="1124"/>
      <c r="T904" s="1125"/>
      <c r="U904" s="1114" t="s">
        <v>124</v>
      </c>
      <c r="V904" s="1115"/>
      <c r="W904" s="1115"/>
      <c r="X904" s="1115"/>
      <c r="Y904" s="1115"/>
      <c r="Z904" s="1116"/>
      <c r="AA904" s="1117"/>
      <c r="AB904" s="1118"/>
      <c r="AC904" s="1118"/>
      <c r="AD904" s="1118"/>
      <c r="AE904" s="1118"/>
      <c r="AF904" s="111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221" t="s">
        <v>946</v>
      </c>
      <c r="G905" s="1222"/>
      <c r="H905" s="1222"/>
      <c r="I905" s="1222"/>
      <c r="J905" s="1222"/>
      <c r="K905" s="1222"/>
      <c r="L905" s="1222"/>
      <c r="M905" s="1222"/>
      <c r="N905" s="1222"/>
      <c r="O905" s="1222"/>
      <c r="P905" s="1222"/>
      <c r="Q905" s="1222"/>
      <c r="R905" s="1222"/>
      <c r="S905" s="1222"/>
      <c r="T905" s="1223"/>
      <c r="U905" s="1114" t="s">
        <v>124</v>
      </c>
      <c r="V905" s="1115"/>
      <c r="W905" s="1115"/>
      <c r="X905" s="1115"/>
      <c r="Y905" s="1115"/>
      <c r="Z905" s="1116"/>
      <c r="AA905" s="1117"/>
      <c r="AB905" s="1118"/>
      <c r="AC905" s="1118"/>
      <c r="AD905" s="1118"/>
      <c r="AE905" s="1118"/>
      <c r="AF905" s="111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221" t="s">
        <v>947</v>
      </c>
      <c r="G906" s="1222"/>
      <c r="H906" s="1222"/>
      <c r="I906" s="1222"/>
      <c r="J906" s="1222"/>
      <c r="K906" s="1222"/>
      <c r="L906" s="1222"/>
      <c r="M906" s="1222"/>
      <c r="N906" s="1222"/>
      <c r="O906" s="1222"/>
      <c r="P906" s="1222"/>
      <c r="Q906" s="1222"/>
      <c r="R906" s="1222"/>
      <c r="S906" s="1222"/>
      <c r="T906" s="1223"/>
      <c r="U906" s="1114" t="s">
        <v>124</v>
      </c>
      <c r="V906" s="1115"/>
      <c r="W906" s="1115"/>
      <c r="X906" s="1115"/>
      <c r="Y906" s="1115"/>
      <c r="Z906" s="1116"/>
      <c r="AA906" s="1117"/>
      <c r="AB906" s="1118"/>
      <c r="AC906" s="1118"/>
      <c r="AD906" s="1118"/>
      <c r="AE906" s="1118"/>
      <c r="AF906" s="111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221" t="s">
        <v>948</v>
      </c>
      <c r="G907" s="1222"/>
      <c r="H907" s="1222"/>
      <c r="I907" s="1222"/>
      <c r="J907" s="1222"/>
      <c r="K907" s="1222"/>
      <c r="L907" s="1222"/>
      <c r="M907" s="1222"/>
      <c r="N907" s="1222"/>
      <c r="O907" s="1222"/>
      <c r="P907" s="1222"/>
      <c r="Q907" s="1222"/>
      <c r="R907" s="1222"/>
      <c r="S907" s="1222"/>
      <c r="T907" s="1223"/>
      <c r="U907" s="1114" t="s">
        <v>124</v>
      </c>
      <c r="V907" s="1115"/>
      <c r="W907" s="1115"/>
      <c r="X907" s="1115"/>
      <c r="Y907" s="1115"/>
      <c r="Z907" s="1116"/>
      <c r="AA907" s="1117"/>
      <c r="AB907" s="1118"/>
      <c r="AC907" s="1118"/>
      <c r="AD907" s="1118"/>
      <c r="AE907" s="1118"/>
      <c r="AF907" s="111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123" t="s">
        <v>159</v>
      </c>
      <c r="G908" s="1124"/>
      <c r="H908" s="1124"/>
      <c r="I908" s="1124"/>
      <c r="J908" s="1124"/>
      <c r="K908" s="1124"/>
      <c r="L908" s="1124"/>
      <c r="M908" s="1124"/>
      <c r="N908" s="1124"/>
      <c r="O908" s="1124"/>
      <c r="P908" s="1124"/>
      <c r="Q908" s="1124"/>
      <c r="R908" s="1124"/>
      <c r="S908" s="1124"/>
      <c r="T908" s="1125"/>
      <c r="U908" s="1114" t="s">
        <v>124</v>
      </c>
      <c r="V908" s="1115"/>
      <c r="W908" s="1115"/>
      <c r="X908" s="1115"/>
      <c r="Y908" s="1115"/>
      <c r="Z908" s="1116"/>
      <c r="AA908" s="1117"/>
      <c r="AB908" s="1118"/>
      <c r="AC908" s="1118"/>
      <c r="AD908" s="1118"/>
      <c r="AE908" s="1118"/>
      <c r="AF908" s="111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123" t="s">
        <v>2267</v>
      </c>
      <c r="G909" s="1124"/>
      <c r="H909" s="1124"/>
      <c r="I909" s="1124"/>
      <c r="J909" s="1124"/>
      <c r="K909" s="1124"/>
      <c r="L909" s="1124"/>
      <c r="M909" s="1124"/>
      <c r="N909" s="1124"/>
      <c r="O909" s="1124"/>
      <c r="P909" s="1124"/>
      <c r="Q909" s="1124"/>
      <c r="R909" s="1124"/>
      <c r="S909" s="1124"/>
      <c r="T909" s="1125"/>
      <c r="U909" s="1114" t="s">
        <v>124</v>
      </c>
      <c r="V909" s="1115"/>
      <c r="W909" s="1115"/>
      <c r="X909" s="1115"/>
      <c r="Y909" s="1115"/>
      <c r="Z909" s="1116"/>
      <c r="AA909" s="1117"/>
      <c r="AB909" s="1118"/>
      <c r="AC909" s="1118"/>
      <c r="AD909" s="1118"/>
      <c r="AE909" s="1118"/>
      <c r="AF909" s="111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123" t="s">
        <v>161</v>
      </c>
      <c r="G910" s="1124"/>
      <c r="H910" s="1124"/>
      <c r="I910" s="1124"/>
      <c r="J910" s="1124"/>
      <c r="K910" s="1124"/>
      <c r="L910" s="1124"/>
      <c r="M910" s="1124"/>
      <c r="N910" s="1124"/>
      <c r="O910" s="1124"/>
      <c r="P910" s="1124"/>
      <c r="Q910" s="1124"/>
      <c r="R910" s="1124"/>
      <c r="S910" s="1124"/>
      <c r="T910" s="1125"/>
      <c r="U910" s="1114" t="s">
        <v>124</v>
      </c>
      <c r="V910" s="1115"/>
      <c r="W910" s="1115"/>
      <c r="X910" s="1115"/>
      <c r="Y910" s="1115"/>
      <c r="Z910" s="1116"/>
      <c r="AA910" s="1117"/>
      <c r="AB910" s="1118"/>
      <c r="AC910" s="1118"/>
      <c r="AD910" s="1118"/>
      <c r="AE910" s="1118"/>
      <c r="AF910" s="111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123" t="s">
        <v>2264</v>
      </c>
      <c r="G911" s="1124"/>
      <c r="H911" s="1124"/>
      <c r="I911" s="1124"/>
      <c r="J911" s="1124"/>
      <c r="K911" s="1124"/>
      <c r="L911" s="1124"/>
      <c r="M911" s="1124"/>
      <c r="N911" s="1124"/>
      <c r="O911" s="1124"/>
      <c r="P911" s="1124"/>
      <c r="Q911" s="1124"/>
      <c r="R911" s="1124"/>
      <c r="S911" s="1124"/>
      <c r="T911" s="1125"/>
      <c r="U911" s="1114" t="s">
        <v>124</v>
      </c>
      <c r="V911" s="1115"/>
      <c r="W911" s="1115"/>
      <c r="X911" s="1115"/>
      <c r="Y911" s="1115"/>
      <c r="Z911" s="1116"/>
      <c r="AA911" s="1117"/>
      <c r="AB911" s="1118"/>
      <c r="AC911" s="1118"/>
      <c r="AD911" s="1118"/>
      <c r="AE911" s="1118"/>
      <c r="AF911" s="111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123" t="s">
        <v>2265</v>
      </c>
      <c r="G912" s="1124"/>
      <c r="H912" s="1124"/>
      <c r="I912" s="1124"/>
      <c r="J912" s="1124"/>
      <c r="K912" s="1124"/>
      <c r="L912" s="1124"/>
      <c r="M912" s="1124"/>
      <c r="N912" s="1124"/>
      <c r="O912" s="1124"/>
      <c r="P912" s="1124"/>
      <c r="Q912" s="1124"/>
      <c r="R912" s="1124"/>
      <c r="S912" s="1124"/>
      <c r="T912" s="1125"/>
      <c r="U912" s="1114" t="s">
        <v>124</v>
      </c>
      <c r="V912" s="1115"/>
      <c r="W912" s="1115"/>
      <c r="X912" s="1115"/>
      <c r="Y912" s="1115"/>
      <c r="Z912" s="1116"/>
      <c r="AA912" s="1117"/>
      <c r="AB912" s="1118"/>
      <c r="AC912" s="1118"/>
      <c r="AD912" s="1118"/>
      <c r="AE912" s="1118"/>
      <c r="AF912" s="111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123" t="s">
        <v>2266</v>
      </c>
      <c r="G913" s="1124"/>
      <c r="H913" s="1124"/>
      <c r="I913" s="1124"/>
      <c r="J913" s="1124"/>
      <c r="K913" s="1124"/>
      <c r="L913" s="1124"/>
      <c r="M913" s="1124"/>
      <c r="N913" s="1124"/>
      <c r="O913" s="1124"/>
      <c r="P913" s="1124"/>
      <c r="Q913" s="1124"/>
      <c r="R913" s="1124"/>
      <c r="S913" s="1124"/>
      <c r="T913" s="1125"/>
      <c r="U913" s="1114" t="s">
        <v>124</v>
      </c>
      <c r="V913" s="1115"/>
      <c r="W913" s="1115"/>
      <c r="X913" s="1115"/>
      <c r="Y913" s="1115"/>
      <c r="Z913" s="1116"/>
      <c r="AA913" s="1117"/>
      <c r="AB913" s="1118"/>
      <c r="AC913" s="1118"/>
      <c r="AD913" s="1118"/>
      <c r="AE913" s="1118"/>
      <c r="AF913" s="111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123" t="s">
        <v>2260</v>
      </c>
      <c r="G914" s="1124"/>
      <c r="H914" s="1124"/>
      <c r="I914" s="1124"/>
      <c r="J914" s="1124"/>
      <c r="K914" s="1124"/>
      <c r="L914" s="1124"/>
      <c r="M914" s="1124"/>
      <c r="N914" s="1124"/>
      <c r="O914" s="1124"/>
      <c r="P914" s="1124"/>
      <c r="Q914" s="1124"/>
      <c r="R914" s="1124"/>
      <c r="S914" s="1124"/>
      <c r="T914" s="1125"/>
      <c r="U914" s="1114" t="s">
        <v>124</v>
      </c>
      <c r="V914" s="1115"/>
      <c r="W914" s="1115"/>
      <c r="X914" s="1115"/>
      <c r="Y914" s="1115"/>
      <c r="Z914" s="1116"/>
      <c r="AA914" s="1117"/>
      <c r="AB914" s="1118"/>
      <c r="AC914" s="1118"/>
      <c r="AD914" s="1118"/>
      <c r="AE914" s="1118"/>
      <c r="AF914" s="111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123" t="s">
        <v>2257</v>
      </c>
      <c r="G915" s="1124"/>
      <c r="H915" s="1124"/>
      <c r="I915" s="1124"/>
      <c r="J915" s="1124"/>
      <c r="K915" s="1124"/>
      <c r="L915" s="1124"/>
      <c r="M915" s="1124"/>
      <c r="N915" s="1124"/>
      <c r="O915" s="1124"/>
      <c r="P915" s="1124"/>
      <c r="Q915" s="1124"/>
      <c r="R915" s="1124"/>
      <c r="S915" s="1124"/>
      <c r="T915" s="1125"/>
      <c r="U915" s="1114" t="s">
        <v>124</v>
      </c>
      <c r="V915" s="1115"/>
      <c r="W915" s="1115"/>
      <c r="X915" s="1115"/>
      <c r="Y915" s="1115"/>
      <c r="Z915" s="1116"/>
      <c r="AA915" s="1117"/>
      <c r="AB915" s="1118"/>
      <c r="AC915" s="1118"/>
      <c r="AD915" s="1118"/>
      <c r="AE915" s="1118"/>
      <c r="AF915" s="111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258" t="s">
        <v>157</v>
      </c>
      <c r="G916" s="1259"/>
      <c r="H916" s="1259"/>
      <c r="I916" s="1259"/>
      <c r="J916" s="1259"/>
      <c r="K916" s="1259"/>
      <c r="L916" s="1259"/>
      <c r="M916" s="1259"/>
      <c r="N916" s="1259"/>
      <c r="O916" s="1259"/>
      <c r="P916" s="1259"/>
      <c r="Q916" s="1259"/>
      <c r="R916" s="1259"/>
      <c r="S916" s="1259"/>
      <c r="T916" s="1260"/>
      <c r="U916" s="1114" t="s">
        <v>124</v>
      </c>
      <c r="V916" s="1115"/>
      <c r="W916" s="1115"/>
      <c r="X916" s="1115"/>
      <c r="Y916" s="1115"/>
      <c r="Z916" s="1116"/>
      <c r="AA916" s="1117"/>
      <c r="AB916" s="1118"/>
      <c r="AC916" s="1118"/>
      <c r="AD916" s="1118"/>
      <c r="AE916" s="1118"/>
      <c r="AF916" s="111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123" t="s">
        <v>1893</v>
      </c>
      <c r="G917" s="1124"/>
      <c r="H917" s="1124"/>
      <c r="I917" s="1124"/>
      <c r="J917" s="1124"/>
      <c r="K917" s="1124"/>
      <c r="L917" s="1124"/>
      <c r="M917" s="1124"/>
      <c r="N917" s="1124"/>
      <c r="O917" s="1124"/>
      <c r="P917" s="1124"/>
      <c r="Q917" s="1124"/>
      <c r="R917" s="1124"/>
      <c r="S917" s="1124"/>
      <c r="T917" s="1125"/>
      <c r="U917" s="1114" t="s">
        <v>124</v>
      </c>
      <c r="V917" s="1115"/>
      <c r="W917" s="1115"/>
      <c r="X917" s="1115"/>
      <c r="Y917" s="1115"/>
      <c r="Z917" s="1116"/>
      <c r="AA917" s="1117"/>
      <c r="AB917" s="1118"/>
      <c r="AC917" s="1118"/>
      <c r="AD917" s="1118"/>
      <c r="AE917" s="1118"/>
      <c r="AF917" s="111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21" t="s">
        <v>1008</v>
      </c>
      <c r="G918" s="1222"/>
      <c r="H918" s="1222"/>
      <c r="I918" s="1222"/>
      <c r="J918" s="1222"/>
      <c r="K918" s="1222"/>
      <c r="L918" s="1222"/>
      <c r="M918" s="1222"/>
      <c r="N918" s="1222"/>
      <c r="O918" s="1222"/>
      <c r="P918" s="1222"/>
      <c r="Q918" s="1222"/>
      <c r="R918" s="1222"/>
      <c r="S918" s="1222"/>
      <c r="T918" s="1223"/>
      <c r="U918" s="1114" t="s">
        <v>124</v>
      </c>
      <c r="V918" s="1115"/>
      <c r="W918" s="1115"/>
      <c r="X918" s="1115"/>
      <c r="Y918" s="1115"/>
      <c r="Z918" s="1116"/>
      <c r="AA918" s="1117"/>
      <c r="AB918" s="1118"/>
      <c r="AC918" s="1118"/>
      <c r="AD918" s="1118"/>
      <c r="AE918" s="1118"/>
      <c r="AF918" s="111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11" t="s">
        <v>2268</v>
      </c>
      <c r="G919" s="1112"/>
      <c r="H919" s="1112"/>
      <c r="I919" s="1112"/>
      <c r="J919" s="1112"/>
      <c r="K919" s="1112"/>
      <c r="L919" s="1112"/>
      <c r="M919" s="1112"/>
      <c r="N919" s="1112"/>
      <c r="O919" s="1112"/>
      <c r="P919" s="1112"/>
      <c r="Q919" s="1112"/>
      <c r="R919" s="1112"/>
      <c r="S919" s="1112"/>
      <c r="T919" s="1113"/>
      <c r="U919" s="1114" t="s">
        <v>124</v>
      </c>
      <c r="V919" s="1115"/>
      <c r="W919" s="1115"/>
      <c r="X919" s="1115"/>
      <c r="Y919" s="1115"/>
      <c r="Z919" s="1116"/>
      <c r="AA919" s="1117"/>
      <c r="AB919" s="1118"/>
      <c r="AC919" s="1118"/>
      <c r="AD919" s="1118"/>
      <c r="AE919" s="1118"/>
      <c r="AF919" s="111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11" t="s">
        <v>2270</v>
      </c>
      <c r="G920" s="1112"/>
      <c r="H920" s="1112"/>
      <c r="I920" s="1112"/>
      <c r="J920" s="1112"/>
      <c r="K920" s="1112"/>
      <c r="L920" s="1112"/>
      <c r="M920" s="1112"/>
      <c r="N920" s="1112"/>
      <c r="O920" s="1112"/>
      <c r="P920" s="1112"/>
      <c r="Q920" s="1112"/>
      <c r="R920" s="1112"/>
      <c r="S920" s="1112"/>
      <c r="T920" s="1113"/>
      <c r="U920" s="1114" t="s">
        <v>124</v>
      </c>
      <c r="V920" s="1115"/>
      <c r="W920" s="1115"/>
      <c r="X920" s="1115"/>
      <c r="Y920" s="1115"/>
      <c r="Z920" s="1116"/>
      <c r="AA920" s="1117"/>
      <c r="AB920" s="1118"/>
      <c r="AC920" s="1118"/>
      <c r="AD920" s="1118"/>
      <c r="AE920" s="1118"/>
      <c r="AF920" s="111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123" t="s">
        <v>2258</v>
      </c>
      <c r="G921" s="1124"/>
      <c r="H921" s="1124"/>
      <c r="I921" s="1124"/>
      <c r="J921" s="1124"/>
      <c r="K921" s="1124"/>
      <c r="L921" s="1124"/>
      <c r="M921" s="1124"/>
      <c r="N921" s="1124"/>
      <c r="O921" s="1124"/>
      <c r="P921" s="1124"/>
      <c r="Q921" s="1124"/>
      <c r="R921" s="1124"/>
      <c r="S921" s="1124"/>
      <c r="T921" s="1125"/>
      <c r="U921" s="1163" t="s">
        <v>124</v>
      </c>
      <c r="V921" s="1164"/>
      <c r="W921" s="1164"/>
      <c r="X921" s="1164"/>
      <c r="Y921" s="1164"/>
      <c r="Z921" s="1165"/>
      <c r="AA921" s="1120"/>
      <c r="AB921" s="1121"/>
      <c r="AC921" s="1121"/>
      <c r="AD921" s="1121"/>
      <c r="AE921" s="1121"/>
      <c r="AF921" s="112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123" t="s">
        <v>2262</v>
      </c>
      <c r="G922" s="1124"/>
      <c r="H922" s="1124"/>
      <c r="I922" s="1124"/>
      <c r="J922" s="1124"/>
      <c r="K922" s="1124"/>
      <c r="L922" s="1124"/>
      <c r="M922" s="1124"/>
      <c r="N922" s="1124"/>
      <c r="O922" s="1124"/>
      <c r="P922" s="1124"/>
      <c r="Q922" s="1124"/>
      <c r="R922" s="1124"/>
      <c r="S922" s="1124"/>
      <c r="T922" s="1125"/>
      <c r="U922" s="1163" t="s">
        <v>124</v>
      </c>
      <c r="V922" s="1164"/>
      <c r="W922" s="1164"/>
      <c r="X922" s="1164"/>
      <c r="Y922" s="1164"/>
      <c r="Z922" s="1165"/>
      <c r="AA922" s="1120"/>
      <c r="AB922" s="1121"/>
      <c r="AC922" s="1121"/>
      <c r="AD922" s="1121"/>
      <c r="AE922" s="1121"/>
      <c r="AF922" s="112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123" t="s">
        <v>2259</v>
      </c>
      <c r="G923" s="1124"/>
      <c r="H923" s="1124"/>
      <c r="I923" s="1124"/>
      <c r="J923" s="1124"/>
      <c r="K923" s="1124"/>
      <c r="L923" s="1124"/>
      <c r="M923" s="1124"/>
      <c r="N923" s="1124"/>
      <c r="O923" s="1124"/>
      <c r="P923" s="1124"/>
      <c r="Q923" s="1124"/>
      <c r="R923" s="1124"/>
      <c r="S923" s="1124"/>
      <c r="T923" s="1125"/>
      <c r="U923" s="1163" t="s">
        <v>124</v>
      </c>
      <c r="V923" s="1164"/>
      <c r="W923" s="1164"/>
      <c r="X923" s="1164"/>
      <c r="Y923" s="1164"/>
      <c r="Z923" s="1165"/>
      <c r="AA923" s="1120"/>
      <c r="AB923" s="1121"/>
      <c r="AC923" s="1121"/>
      <c r="AD923" s="1121"/>
      <c r="AE923" s="1121"/>
      <c r="AF923" s="112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11" t="s">
        <v>1891</v>
      </c>
      <c r="G924" s="1112"/>
      <c r="H924" s="1112"/>
      <c r="I924" s="1112"/>
      <c r="J924" s="1112"/>
      <c r="K924" s="1112"/>
      <c r="L924" s="1112"/>
      <c r="M924" s="1112"/>
      <c r="N924" s="1112"/>
      <c r="O924" s="1112"/>
      <c r="P924" s="1112"/>
      <c r="Q924" s="1112"/>
      <c r="R924" s="1112"/>
      <c r="S924" s="1112"/>
      <c r="T924" s="1113"/>
      <c r="U924" s="1114" t="s">
        <v>108</v>
      </c>
      <c r="V924" s="1115"/>
      <c r="W924" s="1115"/>
      <c r="X924" s="1115"/>
      <c r="Y924" s="1115"/>
      <c r="Z924" s="1116"/>
      <c r="AA924" s="1117">
        <f>AO631</f>
        <v>9761541</v>
      </c>
      <c r="AB924" s="1118"/>
      <c r="AC924" s="1118"/>
      <c r="AD924" s="1118"/>
      <c r="AE924" s="1118"/>
      <c r="AF924" s="111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11" t="s">
        <v>2271</v>
      </c>
      <c r="G925" s="1112"/>
      <c r="H925" s="1112"/>
      <c r="I925" s="1112"/>
      <c r="J925" s="1112"/>
      <c r="K925" s="1112"/>
      <c r="L925" s="1112"/>
      <c r="M925" s="1112"/>
      <c r="N925" s="1112"/>
      <c r="O925" s="1112"/>
      <c r="P925" s="1112"/>
      <c r="Q925" s="1112"/>
      <c r="R925" s="1112"/>
      <c r="S925" s="1112"/>
      <c r="T925" s="1113"/>
      <c r="U925" s="1114" t="s">
        <v>108</v>
      </c>
      <c r="V925" s="1115"/>
      <c r="W925" s="1115"/>
      <c r="X925" s="1115"/>
      <c r="Y925" s="1115"/>
      <c r="Z925" s="1116"/>
      <c r="AA925" s="1117">
        <f>AO634</f>
        <v>690000</v>
      </c>
      <c r="AB925" s="1118"/>
      <c r="AC925" s="1118"/>
      <c r="AD925" s="1118"/>
      <c r="AE925" s="1118"/>
      <c r="AF925" s="111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11" t="s">
        <v>1892</v>
      </c>
      <c r="G926" s="1112"/>
      <c r="H926" s="1112"/>
      <c r="I926" s="1112"/>
      <c r="J926" s="1112"/>
      <c r="K926" s="1112"/>
      <c r="L926" s="1112"/>
      <c r="M926" s="1112"/>
      <c r="N926" s="1112"/>
      <c r="O926" s="1112"/>
      <c r="P926" s="1112"/>
      <c r="Q926" s="1112"/>
      <c r="R926" s="1112"/>
      <c r="S926" s="1112"/>
      <c r="T926" s="1113"/>
      <c r="U926" s="1114" t="s">
        <v>124</v>
      </c>
      <c r="V926" s="1115"/>
      <c r="W926" s="1115"/>
      <c r="X926" s="1115"/>
      <c r="Y926" s="1115"/>
      <c r="Z926" s="1116"/>
      <c r="AA926" s="1117"/>
      <c r="AB926" s="1118"/>
      <c r="AC926" s="1118"/>
      <c r="AD926" s="1118"/>
      <c r="AE926" s="1118"/>
      <c r="AF926" s="111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11" t="s">
        <v>156</v>
      </c>
      <c r="G927" s="1112"/>
      <c r="H927" s="1112"/>
      <c r="I927" s="1112"/>
      <c r="J927" s="1112"/>
      <c r="K927" s="1112"/>
      <c r="L927" s="1112"/>
      <c r="M927" s="1112"/>
      <c r="N927" s="1112"/>
      <c r="O927" s="1112"/>
      <c r="P927" s="1112"/>
      <c r="Q927" s="1112"/>
      <c r="R927" s="1112"/>
      <c r="S927" s="1112"/>
      <c r="T927" s="1113"/>
      <c r="U927" s="1114" t="s">
        <v>124</v>
      </c>
      <c r="V927" s="1115"/>
      <c r="W927" s="1115"/>
      <c r="X927" s="1115"/>
      <c r="Y927" s="1115"/>
      <c r="Z927" s="1116"/>
      <c r="AA927" s="1117"/>
      <c r="AB927" s="1118"/>
      <c r="AC927" s="1118"/>
      <c r="AD927" s="1118"/>
      <c r="AE927" s="1118"/>
      <c r="AF927" s="111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11" t="s">
        <v>2269</v>
      </c>
      <c r="G928" s="1112"/>
      <c r="H928" s="1112"/>
      <c r="I928" s="1112"/>
      <c r="J928" s="1112"/>
      <c r="K928" s="1112"/>
      <c r="L928" s="1112"/>
      <c r="M928" s="1112"/>
      <c r="N928" s="1112"/>
      <c r="O928" s="1112"/>
      <c r="P928" s="1112"/>
      <c r="Q928" s="1112"/>
      <c r="R928" s="1112"/>
      <c r="S928" s="1112"/>
      <c r="T928" s="1113"/>
      <c r="U928" s="1114" t="s">
        <v>124</v>
      </c>
      <c r="V928" s="1115"/>
      <c r="W928" s="1115"/>
      <c r="X928" s="1115"/>
      <c r="Y928" s="1115"/>
      <c r="Z928" s="1116"/>
      <c r="AA928" s="1117"/>
      <c r="AB928" s="1118"/>
      <c r="AC928" s="1118"/>
      <c r="AD928" s="1118"/>
      <c r="AE928" s="1118"/>
      <c r="AF928" s="111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31" t="s">
        <v>482</v>
      </c>
      <c r="Q929" s="1115"/>
      <c r="R929" s="1115"/>
      <c r="S929" s="1115"/>
      <c r="T929" s="1116"/>
      <c r="U929" s="1114" t="s">
        <v>124</v>
      </c>
      <c r="V929" s="1115"/>
      <c r="W929" s="1115"/>
      <c r="X929" s="1115"/>
      <c r="Y929" s="1115"/>
      <c r="Z929" s="1116"/>
      <c r="AA929" s="1117"/>
      <c r="AB929" s="1118"/>
      <c r="AC929" s="1118"/>
      <c r="AD929" s="1118"/>
      <c r="AE929" s="1118"/>
      <c r="AF929" s="111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123" t="s">
        <v>2261</v>
      </c>
      <c r="G930" s="1124"/>
      <c r="H930" s="1125"/>
      <c r="I930" s="1070" t="s">
        <v>562</v>
      </c>
      <c r="J930" s="1071"/>
      <c r="K930" s="1071"/>
      <c r="L930" s="1071"/>
      <c r="M930" s="1071"/>
      <c r="N930" s="1071"/>
      <c r="O930" s="1071"/>
      <c r="P930" s="1071"/>
      <c r="Q930" s="1071"/>
      <c r="R930" s="1071"/>
      <c r="S930" s="1071"/>
      <c r="T930" s="1072"/>
      <c r="U930" s="1114" t="s">
        <v>124</v>
      </c>
      <c r="V930" s="1115"/>
      <c r="W930" s="1115"/>
      <c r="X930" s="1115"/>
      <c r="Y930" s="1115"/>
      <c r="Z930" s="1116"/>
      <c r="AA930" s="1117"/>
      <c r="AB930" s="1118"/>
      <c r="AC930" s="1118"/>
      <c r="AD930" s="1118"/>
      <c r="AE930" s="1118"/>
      <c r="AF930" s="111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123" t="s">
        <v>373</v>
      </c>
      <c r="G931" s="1124"/>
      <c r="H931" s="1125"/>
      <c r="I931" s="1070" t="s">
        <v>562</v>
      </c>
      <c r="J931" s="1071"/>
      <c r="K931" s="1071"/>
      <c r="L931" s="1071"/>
      <c r="M931" s="1071"/>
      <c r="N931" s="1071"/>
      <c r="O931" s="1071"/>
      <c r="P931" s="1071"/>
      <c r="Q931" s="1071"/>
      <c r="R931" s="1071"/>
      <c r="S931" s="1071"/>
      <c r="T931" s="1072"/>
      <c r="U931" s="1114" t="s">
        <v>124</v>
      </c>
      <c r="V931" s="1115"/>
      <c r="W931" s="1115"/>
      <c r="X931" s="1115"/>
      <c r="Y931" s="1115"/>
      <c r="Z931" s="1116"/>
      <c r="AA931" s="1117"/>
      <c r="AB931" s="1118"/>
      <c r="AC931" s="1118"/>
      <c r="AD931" s="1118"/>
      <c r="AE931" s="1118"/>
      <c r="AF931" s="111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123" t="s">
        <v>826</v>
      </c>
      <c r="G932" s="1124"/>
      <c r="H932" s="1125"/>
      <c r="I932" s="1070" t="s">
        <v>2464</v>
      </c>
      <c r="J932" s="1071"/>
      <c r="K932" s="1071"/>
      <c r="L932" s="1071"/>
      <c r="M932" s="1071"/>
      <c r="N932" s="1071"/>
      <c r="O932" s="1071"/>
      <c r="P932" s="1071"/>
      <c r="Q932" s="1071"/>
      <c r="R932" s="1071"/>
      <c r="S932" s="1071"/>
      <c r="T932" s="1072"/>
      <c r="U932" s="1114" t="s">
        <v>108</v>
      </c>
      <c r="V932" s="1115"/>
      <c r="W932" s="1115"/>
      <c r="X932" s="1115"/>
      <c r="Y932" s="1115"/>
      <c r="Z932" s="1116"/>
      <c r="AA932" s="1117">
        <f>AO635</f>
        <v>500000</v>
      </c>
      <c r="AB932" s="1118"/>
      <c r="AC932" s="1118"/>
      <c r="AD932" s="1118"/>
      <c r="AE932" s="1118"/>
      <c r="AF932" s="111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123" t="s">
        <v>283</v>
      </c>
      <c r="G933" s="1124"/>
      <c r="H933" s="1125"/>
      <c r="I933" s="1070" t="s">
        <v>2431</v>
      </c>
      <c r="J933" s="1071"/>
      <c r="K933" s="1071"/>
      <c r="L933" s="1071"/>
      <c r="M933" s="1071"/>
      <c r="N933" s="1071"/>
      <c r="O933" s="1071"/>
      <c r="P933" s="1071"/>
      <c r="Q933" s="1071"/>
      <c r="R933" s="1071"/>
      <c r="S933" s="1071"/>
      <c r="T933" s="1072"/>
      <c r="U933" s="1114" t="s">
        <v>108</v>
      </c>
      <c r="V933" s="1115"/>
      <c r="W933" s="1115"/>
      <c r="X933" s="1115"/>
      <c r="Y933" s="1115"/>
      <c r="Z933" s="1116"/>
      <c r="AA933" s="1117">
        <f>AO633</f>
        <v>551582</v>
      </c>
      <c r="AB933" s="1118"/>
      <c r="AC933" s="1118"/>
      <c r="AD933" s="1118"/>
      <c r="AE933" s="1118"/>
      <c r="AF933" s="111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123" t="s">
        <v>283</v>
      </c>
      <c r="G934" s="1124"/>
      <c r="H934" s="1125"/>
      <c r="I934" s="1070" t="str">
        <f>C560</f>
        <v>Alameda Affordable Housing Trust Fund/AAHC</v>
      </c>
      <c r="J934" s="1071"/>
      <c r="K934" s="1071"/>
      <c r="L934" s="1071"/>
      <c r="M934" s="1071"/>
      <c r="N934" s="1071"/>
      <c r="O934" s="1071"/>
      <c r="P934" s="1071"/>
      <c r="Q934" s="1071"/>
      <c r="R934" s="1071"/>
      <c r="S934" s="1071"/>
      <c r="T934" s="1072"/>
      <c r="U934" s="1114" t="s">
        <v>108</v>
      </c>
      <c r="V934" s="1115"/>
      <c r="W934" s="1115"/>
      <c r="X934" s="1115"/>
      <c r="Y934" s="1115"/>
      <c r="Z934" s="1116"/>
      <c r="AA934" s="1117">
        <f>AO632</f>
        <v>5000000</v>
      </c>
      <c r="AB934" s="1118"/>
      <c r="AC934" s="1118"/>
      <c r="AD934" s="1118"/>
      <c r="AE934" s="1118"/>
      <c r="AF934" s="111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07" t="s">
        <v>2465</v>
      </c>
      <c r="M939" s="1208"/>
      <c r="N939" s="1208"/>
      <c r="O939" s="1208"/>
      <c r="P939" s="1208"/>
      <c r="Q939" s="1208"/>
      <c r="R939" s="1208"/>
      <c r="S939" s="1209"/>
      <c r="U939" s="72" t="s">
        <v>827</v>
      </c>
      <c r="V939" s="9"/>
      <c r="W939" s="9"/>
      <c r="X939" s="9"/>
      <c r="Y939" s="9"/>
      <c r="Z939" s="9"/>
      <c r="AA939" s="9"/>
      <c r="AB939" s="9"/>
      <c r="AC939" s="9"/>
      <c r="AD939" s="52"/>
      <c r="AE939" s="1514"/>
      <c r="AF939" s="1442"/>
      <c r="AG939" s="1442"/>
      <c r="AH939" s="1442"/>
      <c r="AI939" s="1442"/>
      <c r="AJ939" s="1442"/>
      <c r="AK939" s="144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207" t="s">
        <v>2466</v>
      </c>
      <c r="M940" s="1208"/>
      <c r="N940" s="1208"/>
      <c r="O940" s="1208"/>
      <c r="P940" s="1208"/>
      <c r="Q940" s="1208"/>
      <c r="R940" s="1208"/>
      <c r="S940" s="1209"/>
      <c r="U940" s="72" t="s">
        <v>828</v>
      </c>
      <c r="V940" s="9"/>
      <c r="W940" s="9"/>
      <c r="X940" s="9"/>
      <c r="Y940" s="9"/>
      <c r="Z940" s="9"/>
      <c r="AA940" s="9"/>
      <c r="AB940" s="9"/>
      <c r="AC940" s="9"/>
      <c r="AD940" s="52"/>
      <c r="AE940" s="1515"/>
      <c r="AF940" s="1516"/>
      <c r="AG940" s="1516"/>
      <c r="AH940" s="1516"/>
      <c r="AI940" s="1516"/>
      <c r="AJ940" s="1516"/>
      <c r="AK940" s="151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397" t="s">
        <v>2467</v>
      </c>
      <c r="M941" s="1398"/>
      <c r="N941" s="1398"/>
      <c r="O941" s="1398"/>
      <c r="P941" s="1398"/>
      <c r="Q941" s="1398"/>
      <c r="R941" s="1398"/>
      <c r="S941" s="1399"/>
      <c r="U941" s="72" t="s">
        <v>1108</v>
      </c>
      <c r="V941" s="9"/>
      <c r="W941" s="9"/>
      <c r="AE941" s="1397" t="s">
        <v>79</v>
      </c>
      <c r="AF941" s="1398"/>
      <c r="AG941" s="1398"/>
      <c r="AH941" s="1398"/>
      <c r="AI941" s="1398"/>
      <c r="AJ941" s="1398"/>
      <c r="AK941" s="139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11">
        <v>0.87</v>
      </c>
      <c r="M942" s="1512"/>
      <c r="N942" s="1512"/>
      <c r="O942" s="1512"/>
      <c r="P942" s="1512"/>
      <c r="Q942" s="1512"/>
      <c r="R942" s="1512"/>
      <c r="S942" s="1513"/>
      <c r="U942" s="72" t="s">
        <v>829</v>
      </c>
      <c r="V942" s="9"/>
      <c r="W942" s="9"/>
      <c r="X942" s="9"/>
      <c r="Y942" s="9"/>
      <c r="Z942" s="9"/>
      <c r="AA942" s="9"/>
      <c r="AB942" s="9"/>
      <c r="AC942" s="9"/>
      <c r="AD942" s="52"/>
      <c r="AE942" s="1511"/>
      <c r="AF942" s="1512"/>
      <c r="AG942" s="1512"/>
      <c r="AH942" s="1512"/>
      <c r="AI942" s="1512"/>
      <c r="AJ942" s="1512"/>
      <c r="AK942" s="151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20">
        <v>40</v>
      </c>
      <c r="M943" s="1521"/>
      <c r="N943" s="1521"/>
      <c r="O943" s="1521"/>
      <c r="P943" s="1521"/>
      <c r="Q943" s="1521"/>
      <c r="R943" s="1521"/>
      <c r="S943" s="1522"/>
      <c r="U943" s="72" t="s">
        <v>830</v>
      </c>
      <c r="V943" s="9"/>
      <c r="W943" s="9"/>
      <c r="X943" s="9"/>
      <c r="Y943" s="9"/>
      <c r="Z943" s="9"/>
      <c r="AA943" s="9"/>
      <c r="AB943" s="9"/>
      <c r="AC943" s="9"/>
      <c r="AD943" s="52"/>
      <c r="AE943" s="1446"/>
      <c r="AF943" s="1389"/>
      <c r="AG943" s="1389"/>
      <c r="AH943" s="1389"/>
      <c r="AI943" s="1389"/>
      <c r="AJ943" s="1389"/>
      <c r="AK943" s="139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65">
        <f>Z796</f>
        <v>774480</v>
      </c>
      <c r="M944" s="1061"/>
      <c r="N944" s="1061"/>
      <c r="O944" s="1061"/>
      <c r="P944" s="1061"/>
      <c r="Q944" s="1061"/>
      <c r="R944" s="1061"/>
      <c r="S944" s="1062"/>
      <c r="U944" s="72" t="s">
        <v>831</v>
      </c>
      <c r="V944" s="9"/>
      <c r="W944" s="9"/>
      <c r="X944" s="9"/>
      <c r="Y944" s="9"/>
      <c r="Z944" s="9"/>
      <c r="AA944" s="9"/>
      <c r="AB944" s="9"/>
      <c r="AC944" s="9"/>
      <c r="AD944" s="52"/>
      <c r="AE944" s="1117"/>
      <c r="AF944" s="1118"/>
      <c r="AG944" s="1118"/>
      <c r="AH944" s="1118"/>
      <c r="AI944" s="1118"/>
      <c r="AJ944" s="1118"/>
      <c r="AK944" s="111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65">
        <f>L944*L946</f>
        <v>15489600</v>
      </c>
      <c r="M945" s="1061"/>
      <c r="N945" s="1061"/>
      <c r="O945" s="1061"/>
      <c r="P945" s="1061"/>
      <c r="Q945" s="1061"/>
      <c r="R945" s="1061"/>
      <c r="S945" s="1062"/>
      <c r="U945" s="72" t="s">
        <v>832</v>
      </c>
      <c r="V945" s="9"/>
      <c r="W945" s="9"/>
      <c r="X945" s="9"/>
      <c r="Y945" s="9"/>
      <c r="Z945" s="9"/>
      <c r="AA945" s="9"/>
      <c r="AB945" s="9"/>
      <c r="AC945" s="9"/>
      <c r="AD945" s="52"/>
      <c r="AE945" s="1117"/>
      <c r="AF945" s="1118"/>
      <c r="AG945" s="1118"/>
      <c r="AH945" s="1118"/>
      <c r="AI945" s="1118"/>
      <c r="AJ945" s="1118"/>
      <c r="AK945" s="111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20">
        <v>20</v>
      </c>
      <c r="M946" s="1521"/>
      <c r="N946" s="1521"/>
      <c r="O946" s="1521"/>
      <c r="P946" s="1521"/>
      <c r="Q946" s="1521"/>
      <c r="R946" s="1521"/>
      <c r="S946" s="1522"/>
      <c r="U946" s="212" t="s">
        <v>1959</v>
      </c>
      <c r="V946" s="9"/>
      <c r="W946" s="9"/>
      <c r="X946" s="9"/>
      <c r="Y946" s="9"/>
      <c r="Z946" s="9"/>
      <c r="AA946" s="9"/>
      <c r="AB946" s="9"/>
      <c r="AC946" s="9"/>
      <c r="AD946" s="52"/>
      <c r="AE946" s="1520"/>
      <c r="AF946" s="1521"/>
      <c r="AG946" s="1521"/>
      <c r="AH946" s="1521"/>
      <c r="AI946" s="1521"/>
      <c r="AJ946" s="1521"/>
      <c r="AK946" s="152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41"/>
      <c r="N951" s="1242"/>
      <c r="O951" s="1242"/>
      <c r="P951" s="1242"/>
      <c r="Q951" s="1242"/>
      <c r="R951" s="1242"/>
      <c r="S951" s="1243"/>
      <c r="T951" s="72" t="s">
        <v>950</v>
      </c>
      <c r="U951" s="9"/>
      <c r="V951" s="9"/>
      <c r="W951" s="9"/>
      <c r="X951" s="9"/>
      <c r="Y951" s="9"/>
      <c r="Z951" s="52"/>
      <c r="AA951" s="1241"/>
      <c r="AB951" s="1242"/>
      <c r="AC951" s="1242"/>
      <c r="AD951" s="1242"/>
      <c r="AE951" s="1242"/>
      <c r="AF951" s="1242"/>
      <c r="AG951" s="124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41"/>
      <c r="N952" s="1242"/>
      <c r="O952" s="1242"/>
      <c r="P952" s="1242"/>
      <c r="Q952" s="1242"/>
      <c r="R952" s="1242"/>
      <c r="S952" s="1243"/>
      <c r="T952" s="72" t="s">
        <v>949</v>
      </c>
      <c r="U952" s="9"/>
      <c r="V952" s="9"/>
      <c r="W952" s="9"/>
      <c r="X952" s="9"/>
      <c r="Y952" s="9"/>
      <c r="Z952" s="52"/>
      <c r="AA952" s="1241"/>
      <c r="AB952" s="1242"/>
      <c r="AC952" s="1242"/>
      <c r="AD952" s="1242"/>
      <c r="AE952" s="1242"/>
      <c r="AF952" s="1242"/>
      <c r="AG952" s="124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26" t="s">
        <v>124</v>
      </c>
      <c r="N953" s="1261"/>
      <c r="O953" s="1261"/>
      <c r="P953" s="1261"/>
      <c r="Q953" s="1261"/>
      <c r="R953" s="1261"/>
      <c r="S953" s="1327"/>
      <c r="T953" s="8" t="s">
        <v>566</v>
      </c>
      <c r="U953" s="9"/>
      <c r="V953" s="9"/>
      <c r="W953" s="9"/>
      <c r="X953" s="9"/>
      <c r="Y953" s="9"/>
      <c r="Z953" s="52"/>
      <c r="AA953" s="1241"/>
      <c r="AB953" s="1242"/>
      <c r="AC953" s="1242"/>
      <c r="AD953" s="1242"/>
      <c r="AE953" s="1242"/>
      <c r="AF953" s="1242"/>
      <c r="AG953" s="124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41"/>
      <c r="N954" s="1242"/>
      <c r="O954" s="1242"/>
      <c r="P954" s="1242"/>
      <c r="Q954" s="1242"/>
      <c r="R954" s="1242"/>
      <c r="S954" s="1243"/>
      <c r="T954" s="8" t="s">
        <v>567</v>
      </c>
      <c r="U954" s="9"/>
      <c r="V954" s="9"/>
      <c r="W954" s="9"/>
      <c r="X954" s="9"/>
      <c r="Y954" s="9"/>
      <c r="Z954" s="52"/>
      <c r="AA954" s="1241"/>
      <c r="AB954" s="1242"/>
      <c r="AC954" s="1242"/>
      <c r="AD954" s="1242"/>
      <c r="AE954" s="1242"/>
      <c r="AF954" s="1242"/>
      <c r="AG954" s="124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41"/>
      <c r="N955" s="1242"/>
      <c r="O955" s="1242"/>
      <c r="P955" s="1242"/>
      <c r="Q955" s="1242"/>
      <c r="R955" s="1242"/>
      <c r="S955" s="1243"/>
      <c r="T955" s="8" t="s">
        <v>493</v>
      </c>
      <c r="U955" s="9"/>
      <c r="V955" s="9"/>
      <c r="W955" s="9"/>
      <c r="X955" s="9"/>
      <c r="Y955" s="9"/>
      <c r="Z955" s="52"/>
      <c r="AA955" s="1241"/>
      <c r="AB955" s="1242"/>
      <c r="AC955" s="1242"/>
      <c r="AD955" s="1242"/>
      <c r="AE955" s="1242"/>
      <c r="AF955" s="1242"/>
      <c r="AG955" s="124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397" t="s">
        <v>79</v>
      </c>
      <c r="N956" s="1398"/>
      <c r="O956" s="1398"/>
      <c r="P956" s="1398"/>
      <c r="Q956" s="1398"/>
      <c r="R956" s="1398"/>
      <c r="S956" s="1399"/>
      <c r="T956" s="1238"/>
      <c r="U956" s="1239"/>
      <c r="V956" s="1239"/>
      <c r="W956" s="1239"/>
      <c r="X956" s="1239"/>
      <c r="Y956" s="1239"/>
      <c r="Z956" s="1240"/>
      <c r="AA956" s="1241"/>
      <c r="AB956" s="1242"/>
      <c r="AC956" s="1242"/>
      <c r="AD956" s="1242"/>
      <c r="AE956" s="1242"/>
      <c r="AF956" s="1242"/>
      <c r="AG956" s="124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41"/>
      <c r="N957" s="1242"/>
      <c r="O957" s="1242"/>
      <c r="P957" s="1242"/>
      <c r="Q957" s="1242"/>
      <c r="R957" s="1242"/>
      <c r="S957" s="1243"/>
      <c r="T957" s="1238"/>
      <c r="U957" s="1239"/>
      <c r="V957" s="1239"/>
      <c r="W957" s="1239"/>
      <c r="X957" s="1239"/>
      <c r="Y957" s="1239"/>
      <c r="Z957" s="1240"/>
      <c r="AA957" s="1241"/>
      <c r="AB957" s="1242"/>
      <c r="AC957" s="1242"/>
      <c r="AD957" s="1242"/>
      <c r="AE957" s="1242"/>
      <c r="AF957" s="1242"/>
      <c r="AG957" s="124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26" t="s">
        <v>482</v>
      </c>
      <c r="P958" s="1327"/>
      <c r="Q958" s="144"/>
      <c r="R958" s="144"/>
      <c r="S958" s="145"/>
      <c r="T958" s="6" t="s">
        <v>283</v>
      </c>
      <c r="U958" s="7"/>
      <c r="V958" s="7"/>
      <c r="W958" s="1450" t="s">
        <v>562</v>
      </c>
      <c r="X958" s="1451"/>
      <c r="Y958" s="1451"/>
      <c r="Z958" s="1451"/>
      <c r="AA958" s="1451"/>
      <c r="AB958" s="1451"/>
      <c r="AC958" s="1451"/>
      <c r="AD958" s="1451"/>
      <c r="AE958" s="1451"/>
      <c r="AF958" s="1451"/>
      <c r="AG958" s="14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05" t="s">
        <v>226</v>
      </c>
      <c r="G959" s="1263"/>
      <c r="H959" s="1263"/>
      <c r="I959" s="1263"/>
      <c r="J959" s="1263"/>
      <c r="K959" s="1263"/>
      <c r="L959" s="1263"/>
      <c r="M959" s="1241"/>
      <c r="N959" s="1242"/>
      <c r="O959" s="1242"/>
      <c r="P959" s="1242"/>
      <c r="Q959" s="1242"/>
      <c r="R959" s="1242"/>
      <c r="S959" s="1243"/>
      <c r="T959" s="53"/>
      <c r="U959" s="54"/>
      <c r="V959" s="54"/>
      <c r="W959" s="54"/>
      <c r="X959" s="54"/>
      <c r="Y959" s="54"/>
      <c r="Z959" s="224" t="s">
        <v>227</v>
      </c>
      <c r="AA959" s="1453"/>
      <c r="AB959" s="1454"/>
      <c r="AC959" s="1454"/>
      <c r="AD959" s="1454"/>
      <c r="AE959" s="1454"/>
      <c r="AF959" s="1454"/>
      <c r="AG959" s="145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26" t="s">
        <v>129</v>
      </c>
      <c r="B963" s="1126"/>
      <c r="C963" s="1126"/>
      <c r="D963" s="1126"/>
      <c r="E963" s="1126"/>
      <c r="F963" s="1126"/>
      <c r="G963" s="1126"/>
      <c r="H963" s="1126"/>
      <c r="I963" s="1126"/>
      <c r="J963" s="1126"/>
      <c r="K963" s="1126"/>
      <c r="L963" s="1126"/>
      <c r="M963" s="1126"/>
      <c r="N963" s="1126"/>
      <c r="O963" s="1126"/>
      <c r="P963" s="1126"/>
      <c r="Q963" s="1126"/>
      <c r="R963" s="1126"/>
      <c r="S963" s="1126"/>
      <c r="T963" s="1126"/>
      <c r="U963" s="1126"/>
      <c r="V963" s="1126"/>
      <c r="W963" s="1126"/>
      <c r="X963" s="1126"/>
      <c r="Y963" s="1126"/>
      <c r="Z963" s="1126"/>
      <c r="AA963" s="1126"/>
      <c r="AB963" s="1126"/>
      <c r="AC963" s="1126"/>
      <c r="AD963" s="1126"/>
      <c r="AE963" s="1126"/>
      <c r="AF963" s="1126"/>
      <c r="AG963" s="1126"/>
      <c r="AH963" s="1126"/>
      <c r="AI963" s="1126"/>
      <c r="AJ963" s="1126"/>
      <c r="AK963" s="1126"/>
      <c r="AL963" s="1126"/>
      <c r="AM963" s="1126"/>
      <c r="AN963" s="1126"/>
      <c r="AO963" s="1126"/>
      <c r="AP963" s="1126"/>
      <c r="AQ963" s="1126"/>
      <c r="AR963" s="1126"/>
      <c r="AS963" s="1126"/>
      <c r="AT963" s="1126"/>
    </row>
    <row r="964" spans="1:97" s="956" customFormat="1" ht="12.95" customHeight="1">
      <c r="A964" s="1126"/>
      <c r="B964" s="1126"/>
      <c r="C964" s="1126"/>
      <c r="D964" s="1126"/>
      <c r="E964" s="1126"/>
      <c r="F964" s="1126"/>
      <c r="G964" s="1126"/>
      <c r="H964" s="1126"/>
      <c r="I964" s="1126"/>
      <c r="J964" s="1126"/>
      <c r="K964" s="1126"/>
      <c r="L964" s="1126"/>
      <c r="M964" s="1126"/>
      <c r="N964" s="1126"/>
      <c r="O964" s="1126"/>
      <c r="P964" s="1126"/>
      <c r="Q964" s="1126"/>
      <c r="R964" s="1126"/>
      <c r="S964" s="1126"/>
      <c r="T964" s="1126"/>
      <c r="U964" s="1126"/>
      <c r="V964" s="1126"/>
      <c r="W964" s="1126"/>
      <c r="X964" s="1126"/>
      <c r="Y964" s="1126"/>
      <c r="Z964" s="1126"/>
      <c r="AA964" s="1126"/>
      <c r="AB964" s="1126"/>
      <c r="AC964" s="1126"/>
      <c r="AD964" s="1126"/>
      <c r="AE964" s="1126"/>
      <c r="AF964" s="1126"/>
      <c r="AG964" s="1126"/>
      <c r="AH964" s="1126"/>
      <c r="AI964" s="1126"/>
      <c r="AJ964" s="1126"/>
      <c r="AK964" s="1126"/>
      <c r="AL964" s="1126"/>
      <c r="AM964" s="1126"/>
      <c r="AN964" s="1126"/>
      <c r="AO964" s="1126"/>
      <c r="AP964" s="1126"/>
      <c r="AQ964" s="1126"/>
      <c r="AR964" s="1126"/>
      <c r="AS964" s="1126"/>
      <c r="AT964" s="1126"/>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47" t="s">
        <v>424</v>
      </c>
      <c r="E968" s="1448"/>
      <c r="F968" s="1448"/>
      <c r="G968" s="1448"/>
      <c r="H968" s="1448"/>
      <c r="I968" s="1448"/>
      <c r="J968" s="1448"/>
      <c r="K968" s="1448"/>
      <c r="L968" s="1448"/>
      <c r="M968" s="1448"/>
      <c r="N968" s="1448"/>
      <c r="O968" s="1448"/>
      <c r="P968" s="1448"/>
      <c r="Q968" s="1449"/>
      <c r="R968" s="1447" t="s">
        <v>425</v>
      </c>
      <c r="S968" s="1448"/>
      <c r="T968" s="1448"/>
      <c r="U968" s="1448"/>
      <c r="V968" s="1448"/>
      <c r="W968" s="1448"/>
      <c r="X968" s="1448"/>
      <c r="Y968" s="1448"/>
      <c r="Z968" s="1448"/>
      <c r="AA968" s="1449"/>
      <c r="AB968" s="1447" t="s">
        <v>426</v>
      </c>
      <c r="AC968" s="1448"/>
      <c r="AD968" s="1448"/>
      <c r="AE968" s="1448"/>
      <c r="AF968" s="1448"/>
      <c r="AG968" s="1448"/>
      <c r="AH968" s="1448"/>
      <c r="AI968" s="1449"/>
      <c r="AJ968" s="1447" t="s">
        <v>427</v>
      </c>
      <c r="AK968" s="1448"/>
      <c r="AL968" s="1448"/>
      <c r="AM968" s="1448"/>
      <c r="AN968" s="1448"/>
      <c r="AO968" s="1448"/>
      <c r="AP968" s="1448"/>
      <c r="AQ968" s="144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54" t="s">
        <v>419</v>
      </c>
      <c r="E969" s="1255"/>
      <c r="F969" s="1255"/>
      <c r="G969" s="1255"/>
      <c r="H969" s="1255"/>
      <c r="I969" s="1255"/>
      <c r="J969" s="1255"/>
      <c r="K969" s="1255"/>
      <c r="L969" s="1255"/>
      <c r="M969" s="1255"/>
      <c r="N969" s="1255"/>
      <c r="O969" s="1255"/>
      <c r="P969" s="1255"/>
      <c r="Q969" s="1256"/>
      <c r="R969" s="1257">
        <f>IF(ISNA(IF($BA$827="4%",(INDEX($BC$833:$BG$889,MATCH($BO$833,$BB$842:$BB$899,0),MATCH(D969,$BC$830:$BG$830,0))),(INDEX($BJ$842:$BN$899,MATCH($BO$833,$BI$842:$BI$899,0),MATCH(D969,$BJ$840:$BN$840,0))))),0,IF($BA$827="4%",(INDEX($BC$833:$BG$889,MATCH($BO$833,$BB$842:$BB$899,0),MATCH(D969,$BC$830:$BG$830,0))),(INDEX($BJ$842:$BN$899,MATCH($BO$833,$BI$842:$BI$899,0),MATCH(D969,$BJ$840:$BN$840,0)))))</f>
        <v>473390</v>
      </c>
      <c r="S969" s="1257"/>
      <c r="T969" s="1257"/>
      <c r="U969" s="1257"/>
      <c r="V969" s="1257"/>
      <c r="W969" s="1257"/>
      <c r="X969" s="1257"/>
      <c r="Y969" s="1257"/>
      <c r="Z969" s="1257"/>
      <c r="AA969" s="1257"/>
      <c r="AB969" s="1438">
        <f>BN659</f>
        <v>25</v>
      </c>
      <c r="AC969" s="1439"/>
      <c r="AD969" s="1439"/>
      <c r="AE969" s="1439"/>
      <c r="AF969" s="1439"/>
      <c r="AG969" s="1439"/>
      <c r="AH969" s="1439"/>
      <c r="AI969" s="1440"/>
      <c r="AJ969" s="1235">
        <f>IF(ISERROR((R969*AB969)),0,(R969*AB969))</f>
        <v>11834750</v>
      </c>
      <c r="AK969" s="1236"/>
      <c r="AL969" s="1236"/>
      <c r="AM969" s="1236"/>
      <c r="AN969" s="1236"/>
      <c r="AO969" s="1236"/>
      <c r="AP969" s="1236"/>
      <c r="AQ969" s="123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54" t="s">
        <v>442</v>
      </c>
      <c r="E970" s="1255"/>
      <c r="F970" s="1255"/>
      <c r="G970" s="1255"/>
      <c r="H970" s="1255"/>
      <c r="I970" s="1255"/>
      <c r="J970" s="1255"/>
      <c r="K970" s="1255"/>
      <c r="L970" s="1255"/>
      <c r="M970" s="1255"/>
      <c r="N970" s="1255"/>
      <c r="O970" s="1255"/>
      <c r="P970" s="1255"/>
      <c r="Q970" s="1256"/>
      <c r="R970" s="1257">
        <f>IF(ISNA(IF($BA$827="4%",(INDEX($BC$833:$BG$889,MATCH($BO$833,$BB$842:$BB$899,0),MATCH(D970,$BC$830:$BG$830,0))),(INDEX($BJ$842:$BN$899,MATCH($BO$833,$BI$842:$BI$899,0),MATCH(D970,$BJ$840:$BN$840,0))))),0,IF($BA$827="4%",(INDEX($BC$833:$BG$889,MATCH($BO$833,$BB$842:$BB$899,0),MATCH(D970,$BC$830:$BG$830,0))),(INDEX($BJ$842:$BN$899,MATCH($BO$833,$BI$842:$BI$899,0),MATCH(D970,$BJ$840:$BN$840,0)))))</f>
        <v>545814</v>
      </c>
      <c r="S970" s="1257"/>
      <c r="T970" s="1257"/>
      <c r="U970" s="1257"/>
      <c r="V970" s="1257"/>
      <c r="W970" s="1257"/>
      <c r="X970" s="1257"/>
      <c r="Y970" s="1257"/>
      <c r="Z970" s="1257"/>
      <c r="AA970" s="1257"/>
      <c r="AB970" s="1438">
        <f>BS659</f>
        <v>21</v>
      </c>
      <c r="AC970" s="1439"/>
      <c r="AD970" s="1439"/>
      <c r="AE970" s="1439"/>
      <c r="AF970" s="1439"/>
      <c r="AG970" s="1439"/>
      <c r="AH970" s="1439"/>
      <c r="AI970" s="1440"/>
      <c r="AJ970" s="1235">
        <f>IF(ISERROR((R970*AB970)),0,(R970*AB970))</f>
        <v>11462094</v>
      </c>
      <c r="AK970" s="1236"/>
      <c r="AL970" s="1236"/>
      <c r="AM970" s="1236"/>
      <c r="AN970" s="1236"/>
      <c r="AO970" s="1236"/>
      <c r="AP970" s="1236"/>
      <c r="AQ970" s="12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54" t="s">
        <v>780</v>
      </c>
      <c r="E971" s="1255"/>
      <c r="F971" s="1255"/>
      <c r="G971" s="1255"/>
      <c r="H971" s="1255"/>
      <c r="I971" s="1255"/>
      <c r="J971" s="1255"/>
      <c r="K971" s="1255"/>
      <c r="L971" s="1255"/>
      <c r="M971" s="1255"/>
      <c r="N971" s="1255"/>
      <c r="O971" s="1255"/>
      <c r="P971" s="1255"/>
      <c r="Q971" s="1256"/>
      <c r="R971" s="1257">
        <f>IF(ISNA(IF($BA$827="4%",(INDEX($BC$833:$BG$889,MATCH($BO$833,$BB$842:$BB$899,0),MATCH(D971,$BC$830:$BG$830,0))),(INDEX($BJ$842:$BN$899,MATCH($BO$833,$BI$842:$BI$899,0),MATCH(D971,$BJ$840:$BN$840,0))))),0,IF($BA$827="4%",(INDEX($BC$833:$BG$889,MATCH($BO$833,$BB$842:$BB$899,0),MATCH(D971,$BC$830:$BG$830,0))),(INDEX($BJ$842:$BN$899,MATCH($BO$833,$BI$842:$BI$899,0),MATCH(D971,$BJ$840:$BN$840,0)))))</f>
        <v>658400</v>
      </c>
      <c r="S971" s="1257"/>
      <c r="T971" s="1257"/>
      <c r="U971" s="1257"/>
      <c r="V971" s="1257"/>
      <c r="W971" s="1257"/>
      <c r="X971" s="1257"/>
      <c r="Y971" s="1257"/>
      <c r="Z971" s="1257"/>
      <c r="AA971" s="1257"/>
      <c r="AB971" s="1438">
        <f>BX659</f>
        <v>0</v>
      </c>
      <c r="AC971" s="1439"/>
      <c r="AD971" s="1439"/>
      <c r="AE971" s="1439"/>
      <c r="AF971" s="1439"/>
      <c r="AG971" s="1439"/>
      <c r="AH971" s="1439"/>
      <c r="AI971" s="1440"/>
      <c r="AJ971" s="1235">
        <f>IF(ISERROR((R971*AB971)),0,(R971*AB971))</f>
        <v>0</v>
      </c>
      <c r="AK971" s="1236"/>
      <c r="AL971" s="1236"/>
      <c r="AM971" s="1236"/>
      <c r="AN971" s="1236"/>
      <c r="AO971" s="1236"/>
      <c r="AP971" s="1236"/>
      <c r="AQ971" s="12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54" t="s">
        <v>781</v>
      </c>
      <c r="E972" s="1255"/>
      <c r="F972" s="1255"/>
      <c r="G972" s="1255"/>
      <c r="H972" s="1255"/>
      <c r="I972" s="1255"/>
      <c r="J972" s="1255"/>
      <c r="K972" s="1255"/>
      <c r="L972" s="1255"/>
      <c r="M972" s="1255"/>
      <c r="N972" s="1255"/>
      <c r="O972" s="1255"/>
      <c r="P972" s="1255"/>
      <c r="Q972" s="1256"/>
      <c r="R972" s="1257">
        <f>IF(ISNA(IF($BA$827="4%",(INDEX($BC$833:$BG$889,MATCH($BO$833,$BB$842:$BB$899,0),MATCH(D972,$BC$830:$BG$830,0))),(INDEX($BJ$842:$BN$899,MATCH($BO$833,$BI$842:$BI$899,0),MATCH(D972,$BJ$840:$BN$840,0))))),0,IF($BA$827="4%",(INDEX($BC$833:$BG$889,MATCH($BO$833,$BB$842:$BB$899,0),MATCH(D972,$BC$830:$BG$830,0))),(INDEX($BJ$842:$BN$899,MATCH($BO$833,$BI$842:$BI$899,0),MATCH(D972,$BJ$840:$BN$840,0)))))</f>
        <v>842752</v>
      </c>
      <c r="S972" s="1257"/>
      <c r="T972" s="1257"/>
      <c r="U972" s="1257"/>
      <c r="V972" s="1257"/>
      <c r="W972" s="1257"/>
      <c r="X972" s="1257"/>
      <c r="Y972" s="1257"/>
      <c r="Z972" s="1257"/>
      <c r="AA972" s="1257"/>
      <c r="AB972" s="1438">
        <f>CC659</f>
        <v>0</v>
      </c>
      <c r="AC972" s="1439"/>
      <c r="AD972" s="1439"/>
      <c r="AE972" s="1439"/>
      <c r="AF972" s="1439"/>
      <c r="AG972" s="1439"/>
      <c r="AH972" s="1439"/>
      <c r="AI972" s="1440"/>
      <c r="AJ972" s="1235">
        <f>IF(ISERROR((R972*AB972)),0,(R972*AB972))</f>
        <v>0</v>
      </c>
      <c r="AK972" s="1236"/>
      <c r="AL972" s="1236"/>
      <c r="AM972" s="1236"/>
      <c r="AN972" s="1236"/>
      <c r="AO972" s="1236"/>
      <c r="AP972" s="1236"/>
      <c r="AQ972" s="12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54" t="s">
        <v>791</v>
      </c>
      <c r="E973" s="1255"/>
      <c r="F973" s="1255"/>
      <c r="G973" s="1255"/>
      <c r="H973" s="1255"/>
      <c r="I973" s="1255"/>
      <c r="J973" s="1255"/>
      <c r="K973" s="1255"/>
      <c r="L973" s="1255"/>
      <c r="M973" s="1255"/>
      <c r="N973" s="1255"/>
      <c r="O973" s="1255"/>
      <c r="P973" s="1255"/>
      <c r="Q973" s="1256"/>
      <c r="R973" s="1257">
        <f>IF(ISNA(IF($BA$827="4%",(INDEX($BC$833:$BG$889,MATCH($BO$833,$BB$842:$BB$899,0),MATCH(D973,$BC$830:$BG$830,0))),(INDEX($BJ$842:$BN$899,MATCH($BO$833,$BI$842:$BI$899,0),MATCH(D973,$BJ$840:$BN$840,0))))),0,IF($BA$827="4%",(INDEX($BC$833:$BG$889,MATCH($BO$833,$BB$842:$BB$899,0),MATCH(D973,$BC$830:$BG$830,0))),(INDEX($BJ$842:$BN$899,MATCH($BO$833,$BI$842:$BI$899,0),MATCH(D973,$BJ$840:$BN$840,0)))))</f>
        <v>938878</v>
      </c>
      <c r="S973" s="1257"/>
      <c r="T973" s="1257"/>
      <c r="U973" s="1257"/>
      <c r="V973" s="1257"/>
      <c r="W973" s="1257"/>
      <c r="X973" s="1257"/>
      <c r="Y973" s="1257"/>
      <c r="Z973" s="1257"/>
      <c r="AA973" s="1257"/>
      <c r="AB973" s="1438">
        <f>CM659+CH659</f>
        <v>0</v>
      </c>
      <c r="AC973" s="1439"/>
      <c r="AD973" s="1439"/>
      <c r="AE973" s="1439"/>
      <c r="AF973" s="1439"/>
      <c r="AG973" s="1439"/>
      <c r="AH973" s="1439"/>
      <c r="AI973" s="1440"/>
      <c r="AJ973" s="1235">
        <f>IF(ISERROR((R973*AB973)),0,(R973*AB973))</f>
        <v>0</v>
      </c>
      <c r="AK973" s="1236"/>
      <c r="AL973" s="1236"/>
      <c r="AM973" s="1236"/>
      <c r="AN973" s="1236"/>
      <c r="AO973" s="1236"/>
      <c r="AP973" s="1236"/>
      <c r="AQ973" s="12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60" t="s">
        <v>960</v>
      </c>
      <c r="C974" s="1161"/>
      <c r="D974" s="1161"/>
      <c r="E974" s="1161"/>
      <c r="F974" s="1161"/>
      <c r="G974" s="1161"/>
      <c r="H974" s="1161"/>
      <c r="I974" s="1161"/>
      <c r="J974" s="1161"/>
      <c r="K974" s="1161"/>
      <c r="L974" s="1161"/>
      <c r="M974" s="1161"/>
      <c r="N974" s="1161"/>
      <c r="O974" s="1161"/>
      <c r="P974" s="1161"/>
      <c r="Q974" s="1161"/>
      <c r="R974" s="1161"/>
      <c r="S974" s="1161"/>
      <c r="T974" s="1161"/>
      <c r="U974" s="1161"/>
      <c r="V974" s="1161"/>
      <c r="W974" s="1161"/>
      <c r="X974" s="1161"/>
      <c r="Y974" s="1161"/>
      <c r="Z974" s="1161"/>
      <c r="AA974" s="1162"/>
      <c r="AB974" s="1438">
        <f>SUM(AB969:AI973)</f>
        <v>46</v>
      </c>
      <c r="AC974" s="1439"/>
      <c r="AD974" s="1439"/>
      <c r="AE974" s="1439"/>
      <c r="AF974" s="1439"/>
      <c r="AG974" s="1439"/>
      <c r="AH974" s="1439"/>
      <c r="AI974" s="1440"/>
      <c r="AJ974" s="1235"/>
      <c r="AK974" s="1236"/>
      <c r="AL974" s="1236"/>
      <c r="AM974" s="1236"/>
      <c r="AN974" s="1236"/>
      <c r="AO974" s="1236"/>
      <c r="AP974" s="1236"/>
      <c r="AQ974" s="12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48" t="s">
        <v>747</v>
      </c>
      <c r="C975" s="1549"/>
      <c r="D975" s="1549"/>
      <c r="E975" s="1549"/>
      <c r="F975" s="1549"/>
      <c r="G975" s="1549"/>
      <c r="H975" s="1549"/>
      <c r="I975" s="1549"/>
      <c r="J975" s="1549"/>
      <c r="K975" s="1549"/>
      <c r="L975" s="1549"/>
      <c r="M975" s="1549"/>
      <c r="N975" s="1549"/>
      <c r="O975" s="1549"/>
      <c r="P975" s="1549"/>
      <c r="Q975" s="1549"/>
      <c r="R975" s="1549"/>
      <c r="S975" s="1549"/>
      <c r="T975" s="1549"/>
      <c r="U975" s="1549"/>
      <c r="V975" s="1549"/>
      <c r="W975" s="1549"/>
      <c r="X975" s="1549"/>
      <c r="Y975" s="1549"/>
      <c r="Z975" s="1549"/>
      <c r="AA975" s="1549"/>
      <c r="AB975" s="1549"/>
      <c r="AC975" s="1549"/>
      <c r="AD975" s="1549"/>
      <c r="AE975" s="1549"/>
      <c r="AF975" s="1549"/>
      <c r="AG975" s="1549"/>
      <c r="AH975" s="1549"/>
      <c r="AI975" s="1550"/>
      <c r="AJ975" s="1235">
        <f>SUM(AJ969:AQ973)</f>
        <v>23296844</v>
      </c>
      <c r="AK975" s="1236"/>
      <c r="AL975" s="1236"/>
      <c r="AM975" s="1236"/>
      <c r="AN975" s="1236"/>
      <c r="AO975" s="1236"/>
      <c r="AP975" s="1236"/>
      <c r="AQ975" s="12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32"/>
      <c r="C976" s="1233"/>
      <c r="D976" s="1233"/>
      <c r="E976" s="1233"/>
      <c r="F976" s="1233"/>
      <c r="G976" s="1233"/>
      <c r="H976" s="1233"/>
      <c r="I976" s="1233"/>
      <c r="J976" s="1233"/>
      <c r="K976" s="1233"/>
      <c r="L976" s="1233"/>
      <c r="M976" s="1233"/>
      <c r="N976" s="1233"/>
      <c r="O976" s="1233"/>
      <c r="P976" s="1233"/>
      <c r="Q976" s="1233"/>
      <c r="R976" s="1233"/>
      <c r="S976" s="1233"/>
      <c r="T976" s="1233"/>
      <c r="U976" s="1233"/>
      <c r="V976" s="1233"/>
      <c r="W976" s="1233"/>
      <c r="X976" s="1233"/>
      <c r="Y976" s="1233"/>
      <c r="Z976" s="1233"/>
      <c r="AA976" s="1233"/>
      <c r="AB976" s="1233"/>
      <c r="AC976" s="1233"/>
      <c r="AD976" s="1233"/>
      <c r="AE976" s="1234"/>
      <c r="AF976" s="1229" t="s">
        <v>479</v>
      </c>
      <c r="AG976" s="1230"/>
      <c r="AH976" s="1230"/>
      <c r="AI976" s="1231"/>
      <c r="AJ976" s="1232"/>
      <c r="AK976" s="1233"/>
      <c r="AL976" s="1233"/>
      <c r="AM976" s="1233"/>
      <c r="AN976" s="1233"/>
      <c r="AO976" s="1233"/>
      <c r="AP976" s="1233"/>
      <c r="AQ976" s="12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53" t="s">
        <v>1878</v>
      </c>
      <c r="E977" s="1154"/>
      <c r="F977" s="1154"/>
      <c r="G977" s="1154"/>
      <c r="H977" s="1154"/>
      <c r="I977" s="1154"/>
      <c r="J977" s="1154"/>
      <c r="K977" s="1154"/>
      <c r="L977" s="1154"/>
      <c r="M977" s="1154"/>
      <c r="N977" s="1154"/>
      <c r="O977" s="1154"/>
      <c r="P977" s="1154"/>
      <c r="Q977" s="1154"/>
      <c r="R977" s="1154"/>
      <c r="S977" s="1154"/>
      <c r="T977" s="1154"/>
      <c r="U977" s="1154"/>
      <c r="V977" s="1154"/>
      <c r="W977" s="1154"/>
      <c r="X977" s="1154"/>
      <c r="Y977" s="1154"/>
      <c r="Z977" s="1154"/>
      <c r="AA977" s="1154"/>
      <c r="AB977" s="1154"/>
      <c r="AC977" s="1154"/>
      <c r="AD977" s="1154"/>
      <c r="AE977" s="1155"/>
      <c r="AF977" s="82"/>
      <c r="AG977" s="1158" t="s">
        <v>108</v>
      </c>
      <c r="AH977" s="1159"/>
      <c r="AI977" s="85"/>
      <c r="AJ977" s="1166">
        <f>ROUND(IF(AND(AG977="yes",D983&lt;&gt;""),AJ975*0.2,0),0)</f>
        <v>4659369</v>
      </c>
      <c r="AK977" s="1167"/>
      <c r="AL977" s="1167"/>
      <c r="AM977" s="1167"/>
      <c r="AN977" s="1167"/>
      <c r="AO977" s="1167"/>
      <c r="AP977" s="1167"/>
      <c r="AQ977" s="11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56" t="s">
        <v>2307</v>
      </c>
      <c r="E978" s="1457"/>
      <c r="F978" s="1457"/>
      <c r="G978" s="1457"/>
      <c r="H978" s="1457"/>
      <c r="I978" s="1457"/>
      <c r="J978" s="1457"/>
      <c r="K978" s="1457"/>
      <c r="L978" s="1457"/>
      <c r="M978" s="1457"/>
      <c r="N978" s="1457"/>
      <c r="O978" s="1457"/>
      <c r="P978" s="1457"/>
      <c r="Q978" s="1457"/>
      <c r="R978" s="1457"/>
      <c r="S978" s="1457"/>
      <c r="T978" s="1457"/>
      <c r="U978" s="1457"/>
      <c r="V978" s="1457"/>
      <c r="W978" s="1457"/>
      <c r="X978" s="1457"/>
      <c r="Y978" s="1457"/>
      <c r="Z978" s="1457"/>
      <c r="AA978" s="1457"/>
      <c r="AB978" s="1457"/>
      <c r="AC978" s="1457"/>
      <c r="AD978" s="1457"/>
      <c r="AE978" s="1458"/>
      <c r="AF978" s="79"/>
      <c r="AG978" s="21"/>
      <c r="AH978" s="21"/>
      <c r="AI978" s="83"/>
      <c r="AJ978" s="1169"/>
      <c r="AK978" s="1170"/>
      <c r="AL978" s="1170"/>
      <c r="AM978" s="1170"/>
      <c r="AN978" s="1170"/>
      <c r="AO978" s="1170"/>
      <c r="AP978" s="1170"/>
      <c r="AQ978" s="11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56"/>
      <c r="E979" s="1457"/>
      <c r="F979" s="1457"/>
      <c r="G979" s="1457"/>
      <c r="H979" s="1457"/>
      <c r="I979" s="1457"/>
      <c r="J979" s="1457"/>
      <c r="K979" s="1457"/>
      <c r="L979" s="1457"/>
      <c r="M979" s="1457"/>
      <c r="N979" s="1457"/>
      <c r="O979" s="1457"/>
      <c r="P979" s="1457"/>
      <c r="Q979" s="1457"/>
      <c r="R979" s="1457"/>
      <c r="S979" s="1457"/>
      <c r="T979" s="1457"/>
      <c r="U979" s="1457"/>
      <c r="V979" s="1457"/>
      <c r="W979" s="1457"/>
      <c r="X979" s="1457"/>
      <c r="Y979" s="1457"/>
      <c r="Z979" s="1457"/>
      <c r="AA979" s="1457"/>
      <c r="AB979" s="1457"/>
      <c r="AC979" s="1457"/>
      <c r="AD979" s="1457"/>
      <c r="AE979" s="1458"/>
      <c r="AF979" s="79"/>
      <c r="AG979" s="21"/>
      <c r="AH979" s="21"/>
      <c r="AI979" s="83"/>
      <c r="AJ979" s="1169"/>
      <c r="AK979" s="1170"/>
      <c r="AL979" s="1170"/>
      <c r="AM979" s="1170"/>
      <c r="AN979" s="1170"/>
      <c r="AO979" s="1170"/>
      <c r="AP979" s="1170"/>
      <c r="AQ979" s="11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56"/>
      <c r="E980" s="1457"/>
      <c r="F980" s="1457"/>
      <c r="G980" s="1457"/>
      <c r="H980" s="1457"/>
      <c r="I980" s="1457"/>
      <c r="J980" s="1457"/>
      <c r="K980" s="1457"/>
      <c r="L980" s="1457"/>
      <c r="M980" s="1457"/>
      <c r="N980" s="1457"/>
      <c r="O980" s="1457"/>
      <c r="P980" s="1457"/>
      <c r="Q980" s="1457"/>
      <c r="R980" s="1457"/>
      <c r="S980" s="1457"/>
      <c r="T980" s="1457"/>
      <c r="U980" s="1457"/>
      <c r="V980" s="1457"/>
      <c r="W980" s="1457"/>
      <c r="X980" s="1457"/>
      <c r="Y980" s="1457"/>
      <c r="Z980" s="1457"/>
      <c r="AA980" s="1457"/>
      <c r="AB980" s="1457"/>
      <c r="AC980" s="1457"/>
      <c r="AD980" s="1457"/>
      <c r="AE980" s="1458"/>
      <c r="AF980" s="79"/>
      <c r="AG980" s="21"/>
      <c r="AH980" s="21"/>
      <c r="AI980" s="83"/>
      <c r="AJ980" s="1169"/>
      <c r="AK980" s="1170"/>
      <c r="AL980" s="1170"/>
      <c r="AM980" s="1170"/>
      <c r="AN980" s="1170"/>
      <c r="AO980" s="1170"/>
      <c r="AP980" s="1170"/>
      <c r="AQ980" s="11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56"/>
      <c r="E981" s="1457"/>
      <c r="F981" s="1457"/>
      <c r="G981" s="1457"/>
      <c r="H981" s="1457"/>
      <c r="I981" s="1457"/>
      <c r="J981" s="1457"/>
      <c r="K981" s="1457"/>
      <c r="L981" s="1457"/>
      <c r="M981" s="1457"/>
      <c r="N981" s="1457"/>
      <c r="O981" s="1457"/>
      <c r="P981" s="1457"/>
      <c r="Q981" s="1457"/>
      <c r="R981" s="1457"/>
      <c r="S981" s="1457"/>
      <c r="T981" s="1457"/>
      <c r="U981" s="1457"/>
      <c r="V981" s="1457"/>
      <c r="W981" s="1457"/>
      <c r="X981" s="1457"/>
      <c r="Y981" s="1457"/>
      <c r="Z981" s="1457"/>
      <c r="AA981" s="1457"/>
      <c r="AB981" s="1457"/>
      <c r="AC981" s="1457"/>
      <c r="AD981" s="1457"/>
      <c r="AE981" s="1458"/>
      <c r="AF981" s="79"/>
      <c r="AG981" s="21"/>
      <c r="AH981" s="21"/>
      <c r="AI981" s="83"/>
      <c r="AJ981" s="1169"/>
      <c r="AK981" s="1170"/>
      <c r="AL981" s="1170"/>
      <c r="AM981" s="1170"/>
      <c r="AN981" s="1170"/>
      <c r="AO981" s="1170"/>
      <c r="AP981" s="1170"/>
      <c r="AQ981" s="11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35" t="s">
        <v>2256</v>
      </c>
      <c r="E982" s="1436"/>
      <c r="F982" s="1436"/>
      <c r="G982" s="1436"/>
      <c r="H982" s="1436"/>
      <c r="I982" s="1436"/>
      <c r="J982" s="1436"/>
      <c r="K982" s="1436"/>
      <c r="L982" s="1436"/>
      <c r="M982" s="1436"/>
      <c r="N982" s="1436"/>
      <c r="O982" s="1436"/>
      <c r="P982" s="1436"/>
      <c r="Q982" s="1436"/>
      <c r="R982" s="1436"/>
      <c r="S982" s="1436"/>
      <c r="T982" s="1436"/>
      <c r="U982" s="1436"/>
      <c r="V982" s="1436"/>
      <c r="W982" s="1436"/>
      <c r="X982" s="1436"/>
      <c r="Y982" s="1436"/>
      <c r="Z982" s="1436"/>
      <c r="AA982" s="1436"/>
      <c r="AB982" s="1436"/>
      <c r="AC982" s="1436"/>
      <c r="AD982" s="1436"/>
      <c r="AE982" s="1437"/>
      <c r="AF982" s="79"/>
      <c r="AG982" s="21"/>
      <c r="AH982" s="21"/>
      <c r="AI982" s="83"/>
      <c r="AJ982" s="1169"/>
      <c r="AK982" s="1170"/>
      <c r="AL982" s="1170"/>
      <c r="AM982" s="1170"/>
      <c r="AN982" s="1170"/>
      <c r="AO982" s="1170"/>
      <c r="AP982" s="1170"/>
      <c r="AQ982" s="117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551" t="s">
        <v>2468</v>
      </c>
      <c r="E983" s="1552"/>
      <c r="F983" s="1552"/>
      <c r="G983" s="1552"/>
      <c r="H983" s="1552"/>
      <c r="I983" s="1552"/>
      <c r="J983" s="1552"/>
      <c r="K983" s="1552"/>
      <c r="L983" s="1552"/>
      <c r="M983" s="1552"/>
      <c r="N983" s="1552"/>
      <c r="O983" s="1552"/>
      <c r="P983" s="1552"/>
      <c r="Q983" s="1552"/>
      <c r="R983" s="1552"/>
      <c r="S983" s="1552"/>
      <c r="T983" s="1552"/>
      <c r="U983" s="1552"/>
      <c r="V983" s="1552"/>
      <c r="W983" s="1552"/>
      <c r="X983" s="1552"/>
      <c r="Y983" s="1552"/>
      <c r="Z983" s="1552"/>
      <c r="AA983" s="1552"/>
      <c r="AB983" s="1552"/>
      <c r="AC983" s="1552"/>
      <c r="AD983" s="1552"/>
      <c r="AE983" s="1553"/>
      <c r="AF983" s="80"/>
      <c r="AG983" s="11"/>
      <c r="AH983" s="11"/>
      <c r="AI983" s="81"/>
      <c r="AJ983" s="1172"/>
      <c r="AK983" s="1173"/>
      <c r="AL983" s="1173"/>
      <c r="AM983" s="1173"/>
      <c r="AN983" s="1173"/>
      <c r="AO983" s="1173"/>
      <c r="AP983" s="1173"/>
      <c r="AQ983" s="11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89" t="s">
        <v>1985</v>
      </c>
      <c r="E984" s="1190"/>
      <c r="F984" s="1190"/>
      <c r="G984" s="1190"/>
      <c r="H984" s="1190"/>
      <c r="I984" s="1190"/>
      <c r="J984" s="1190"/>
      <c r="K984" s="1190"/>
      <c r="L984" s="1190"/>
      <c r="M984" s="1190"/>
      <c r="N984" s="1190"/>
      <c r="O984" s="1190"/>
      <c r="P984" s="1190"/>
      <c r="Q984" s="1190"/>
      <c r="R984" s="1190"/>
      <c r="S984" s="1190"/>
      <c r="T984" s="1190"/>
      <c r="U984" s="1190"/>
      <c r="V984" s="1190"/>
      <c r="W984" s="1190"/>
      <c r="X984" s="1190"/>
      <c r="Y984" s="1190"/>
      <c r="Z984" s="1190"/>
      <c r="AA984" s="1190"/>
      <c r="AB984" s="1190"/>
      <c r="AC984" s="1190"/>
      <c r="AD984" s="1190"/>
      <c r="AE984" s="1191"/>
      <c r="AF984" s="82"/>
      <c r="AG984" s="1156" t="s">
        <v>482</v>
      </c>
      <c r="AH984" s="1157"/>
      <c r="AI984" s="85"/>
      <c r="AJ984" s="1166">
        <f>ROUND(IF(AG984="yes",AJ975*0.05,0),0)</f>
        <v>0</v>
      </c>
      <c r="AK984" s="1167"/>
      <c r="AL984" s="1167"/>
      <c r="AM984" s="1167"/>
      <c r="AN984" s="1167"/>
      <c r="AO984" s="1167"/>
      <c r="AP984" s="1167"/>
      <c r="AQ984" s="116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56" t="s">
        <v>1879</v>
      </c>
      <c r="E985" s="1457"/>
      <c r="F985" s="1457"/>
      <c r="G985" s="1457"/>
      <c r="H985" s="1457"/>
      <c r="I985" s="1457"/>
      <c r="J985" s="1457"/>
      <c r="K985" s="1457"/>
      <c r="L985" s="1457"/>
      <c r="M985" s="1457"/>
      <c r="N985" s="1457"/>
      <c r="O985" s="1457"/>
      <c r="P985" s="1457"/>
      <c r="Q985" s="1457"/>
      <c r="R985" s="1457"/>
      <c r="S985" s="1457"/>
      <c r="T985" s="1457"/>
      <c r="U985" s="1457"/>
      <c r="V985" s="1457"/>
      <c r="W985" s="1457"/>
      <c r="X985" s="1457"/>
      <c r="Y985" s="1457"/>
      <c r="Z985" s="1457"/>
      <c r="AA985" s="1457"/>
      <c r="AB985" s="1457"/>
      <c r="AC985" s="1457"/>
      <c r="AD985" s="1457"/>
      <c r="AE985" s="1458"/>
      <c r="AF985" s="79"/>
      <c r="AG985" s="21"/>
      <c r="AH985" s="21"/>
      <c r="AI985" s="83"/>
      <c r="AJ985" s="1169"/>
      <c r="AK985" s="1170"/>
      <c r="AL985" s="1170"/>
      <c r="AM985" s="1170"/>
      <c r="AN985" s="1170"/>
      <c r="AO985" s="1170"/>
      <c r="AP985" s="1170"/>
      <c r="AQ985" s="11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56"/>
      <c r="E986" s="1457"/>
      <c r="F986" s="1457"/>
      <c r="G986" s="1457"/>
      <c r="H986" s="1457"/>
      <c r="I986" s="1457"/>
      <c r="J986" s="1457"/>
      <c r="K986" s="1457"/>
      <c r="L986" s="1457"/>
      <c r="M986" s="1457"/>
      <c r="N986" s="1457"/>
      <c r="O986" s="1457"/>
      <c r="P986" s="1457"/>
      <c r="Q986" s="1457"/>
      <c r="R986" s="1457"/>
      <c r="S986" s="1457"/>
      <c r="T986" s="1457"/>
      <c r="U986" s="1457"/>
      <c r="V986" s="1457"/>
      <c r="W986" s="1457"/>
      <c r="X986" s="1457"/>
      <c r="Y986" s="1457"/>
      <c r="Z986" s="1457"/>
      <c r="AA986" s="1457"/>
      <c r="AB986" s="1457"/>
      <c r="AC986" s="1457"/>
      <c r="AD986" s="1457"/>
      <c r="AE986" s="1458"/>
      <c r="AF986" s="79"/>
      <c r="AG986" s="21"/>
      <c r="AH986" s="21"/>
      <c r="AI986" s="83"/>
      <c r="AJ986" s="1169"/>
      <c r="AK986" s="1170"/>
      <c r="AL986" s="1170"/>
      <c r="AM986" s="1170"/>
      <c r="AN986" s="1170"/>
      <c r="AO986" s="1170"/>
      <c r="AP986" s="1170"/>
      <c r="AQ986" s="117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56"/>
      <c r="E987" s="1457"/>
      <c r="F987" s="1457"/>
      <c r="G987" s="1457"/>
      <c r="H987" s="1457"/>
      <c r="I987" s="1457"/>
      <c r="J987" s="1457"/>
      <c r="K987" s="1457"/>
      <c r="L987" s="1457"/>
      <c r="M987" s="1457"/>
      <c r="N987" s="1457"/>
      <c r="O987" s="1457"/>
      <c r="P987" s="1457"/>
      <c r="Q987" s="1457"/>
      <c r="R987" s="1457"/>
      <c r="S987" s="1457"/>
      <c r="T987" s="1457"/>
      <c r="U987" s="1457"/>
      <c r="V987" s="1457"/>
      <c r="W987" s="1457"/>
      <c r="X987" s="1457"/>
      <c r="Y987" s="1457"/>
      <c r="Z987" s="1457"/>
      <c r="AA987" s="1457"/>
      <c r="AB987" s="1457"/>
      <c r="AC987" s="1457"/>
      <c r="AD987" s="1457"/>
      <c r="AE987" s="1458"/>
      <c r="AF987" s="79"/>
      <c r="AG987" s="21"/>
      <c r="AH987" s="21"/>
      <c r="AI987" s="83"/>
      <c r="AJ987" s="1169"/>
      <c r="AK987" s="1170"/>
      <c r="AL987" s="1170"/>
      <c r="AM987" s="1170"/>
      <c r="AN987" s="1170"/>
      <c r="AO987" s="1170"/>
      <c r="AP987" s="1170"/>
      <c r="AQ987" s="117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56"/>
      <c r="E988" s="1457"/>
      <c r="F988" s="1457"/>
      <c r="G988" s="1457"/>
      <c r="H988" s="1457"/>
      <c r="I988" s="1457"/>
      <c r="J988" s="1457"/>
      <c r="K988" s="1457"/>
      <c r="L988" s="1457"/>
      <c r="M988" s="1457"/>
      <c r="N988" s="1457"/>
      <c r="O988" s="1457"/>
      <c r="P988" s="1457"/>
      <c r="Q988" s="1457"/>
      <c r="R988" s="1457"/>
      <c r="S988" s="1457"/>
      <c r="T988" s="1457"/>
      <c r="U988" s="1457"/>
      <c r="V988" s="1457"/>
      <c r="W988" s="1457"/>
      <c r="X988" s="1457"/>
      <c r="Y988" s="1457"/>
      <c r="Z988" s="1457"/>
      <c r="AA988" s="1457"/>
      <c r="AB988" s="1457"/>
      <c r="AC988" s="1457"/>
      <c r="AD988" s="1457"/>
      <c r="AE988" s="1458"/>
      <c r="AF988" s="79"/>
      <c r="AG988" s="21"/>
      <c r="AH988" s="21"/>
      <c r="AI988" s="83"/>
      <c r="AJ988" s="1169"/>
      <c r="AK988" s="1170"/>
      <c r="AL988" s="1170"/>
      <c r="AM988" s="1170"/>
      <c r="AN988" s="1170"/>
      <c r="AO988" s="1170"/>
      <c r="AP988" s="1170"/>
      <c r="AQ988" s="1171"/>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35"/>
      <c r="E989" s="1436"/>
      <c r="F989" s="1436"/>
      <c r="G989" s="1436"/>
      <c r="H989" s="1436"/>
      <c r="I989" s="1436"/>
      <c r="J989" s="1436"/>
      <c r="K989" s="1436"/>
      <c r="L989" s="1436"/>
      <c r="M989" s="1436"/>
      <c r="N989" s="1436"/>
      <c r="O989" s="1436"/>
      <c r="P989" s="1436"/>
      <c r="Q989" s="1436"/>
      <c r="R989" s="1436"/>
      <c r="S989" s="1436"/>
      <c r="T989" s="1436"/>
      <c r="U989" s="1436"/>
      <c r="V989" s="1436"/>
      <c r="W989" s="1436"/>
      <c r="X989" s="1436"/>
      <c r="Y989" s="1436"/>
      <c r="Z989" s="1436"/>
      <c r="AA989" s="1436"/>
      <c r="AB989" s="1436"/>
      <c r="AC989" s="1436"/>
      <c r="AD989" s="1436"/>
      <c r="AE989" s="1437"/>
      <c r="AF989" s="80"/>
      <c r="AG989" s="11"/>
      <c r="AH989" s="11"/>
      <c r="AI989" s="81"/>
      <c r="AJ989" s="1172"/>
      <c r="AK989" s="1173"/>
      <c r="AL989" s="1173"/>
      <c r="AM989" s="1173"/>
      <c r="AN989" s="1173"/>
      <c r="AO989" s="1173"/>
      <c r="AP989" s="1173"/>
      <c r="AQ989" s="1174"/>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89" t="s">
        <v>1986</v>
      </c>
      <c r="E990" s="1190"/>
      <c r="F990" s="1190"/>
      <c r="G990" s="1190"/>
      <c r="H990" s="1190"/>
      <c r="I990" s="1190"/>
      <c r="J990" s="1190"/>
      <c r="K990" s="1190"/>
      <c r="L990" s="1190"/>
      <c r="M990" s="1190"/>
      <c r="N990" s="1190"/>
      <c r="O990" s="1190"/>
      <c r="P990" s="1190"/>
      <c r="Q990" s="1190"/>
      <c r="R990" s="1190"/>
      <c r="S990" s="1190"/>
      <c r="T990" s="1190"/>
      <c r="U990" s="1190"/>
      <c r="V990" s="1190"/>
      <c r="W990" s="1190"/>
      <c r="X990" s="1190"/>
      <c r="Y990" s="1190"/>
      <c r="Z990" s="1190"/>
      <c r="AA990" s="1190"/>
      <c r="AB990" s="1190"/>
      <c r="AC990" s="1190"/>
      <c r="AD990" s="1190"/>
      <c r="AE990" s="1191"/>
      <c r="AF990" s="84"/>
      <c r="AG990" s="1156" t="s">
        <v>482</v>
      </c>
      <c r="AH990" s="1157"/>
      <c r="AI990" s="85"/>
      <c r="AJ990" s="1166">
        <f>ROUND(IF(AG990="yes",AJ975*0.1,0),0)</f>
        <v>0</v>
      </c>
      <c r="AK990" s="1167"/>
      <c r="AL990" s="1167"/>
      <c r="AM990" s="1167"/>
      <c r="AN990" s="1167"/>
      <c r="AO990" s="1167"/>
      <c r="AP990" s="1167"/>
      <c r="AQ990" s="1168"/>
      <c r="AR990" s="43"/>
      <c r="AS990" s="43"/>
      <c r="AT990" s="43"/>
      <c r="AU990" s="43"/>
      <c r="AV990" s="43"/>
      <c r="AW990" s="43"/>
      <c r="AX990" s="43"/>
      <c r="AY990" s="43"/>
      <c r="AZ990" s="43">
        <v>2</v>
      </c>
      <c r="BA990" s="43">
        <f t="shared" ref="BA990:BA999" si="67">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82" t="s">
        <v>1987</v>
      </c>
      <c r="E991" s="1183"/>
      <c r="F991" s="1183"/>
      <c r="G991" s="1183"/>
      <c r="H991" s="1183"/>
      <c r="I991" s="1183"/>
      <c r="J991" s="1183"/>
      <c r="K991" s="1183"/>
      <c r="L991" s="1183"/>
      <c r="M991" s="1183"/>
      <c r="N991" s="1183"/>
      <c r="O991" s="1183"/>
      <c r="P991" s="1183"/>
      <c r="Q991" s="1183"/>
      <c r="R991" s="1183"/>
      <c r="S991" s="1183"/>
      <c r="T991" s="1183"/>
      <c r="U991" s="1183"/>
      <c r="V991" s="1183"/>
      <c r="W991" s="1183"/>
      <c r="X991" s="1183"/>
      <c r="Y991" s="1183"/>
      <c r="Z991" s="1183"/>
      <c r="AA991" s="1183"/>
      <c r="AB991" s="1183"/>
      <c r="AC991" s="1183"/>
      <c r="AD991" s="1183"/>
      <c r="AE991" s="1184"/>
      <c r="AF991" s="79"/>
      <c r="AI991" s="83"/>
      <c r="AJ991" s="1169"/>
      <c r="AK991" s="1170"/>
      <c r="AL991" s="1170"/>
      <c r="AM991" s="1170"/>
      <c r="AN991" s="1170"/>
      <c r="AO991" s="1170"/>
      <c r="AP991" s="1170"/>
      <c r="AQ991" s="1171"/>
      <c r="AR991" s="43"/>
      <c r="AS991" s="43"/>
      <c r="AT991" s="43"/>
      <c r="AU991" s="43"/>
      <c r="AV991" s="43"/>
      <c r="AW991" s="43"/>
      <c r="AX991" s="43"/>
      <c r="AY991" s="43"/>
      <c r="AZ991" s="43">
        <v>3</v>
      </c>
      <c r="BA991" s="43">
        <f t="shared" si="67"/>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82"/>
      <c r="E992" s="1183"/>
      <c r="F992" s="1183"/>
      <c r="G992" s="1183"/>
      <c r="H992" s="1183"/>
      <c r="I992" s="1183"/>
      <c r="J992" s="1183"/>
      <c r="K992" s="1183"/>
      <c r="L992" s="1183"/>
      <c r="M992" s="1183"/>
      <c r="N992" s="1183"/>
      <c r="O992" s="1183"/>
      <c r="P992" s="1183"/>
      <c r="Q992" s="1183"/>
      <c r="R992" s="1183"/>
      <c r="S992" s="1183"/>
      <c r="T992" s="1183"/>
      <c r="U992" s="1183"/>
      <c r="V992" s="1183"/>
      <c r="W992" s="1183"/>
      <c r="X992" s="1183"/>
      <c r="Y992" s="1183"/>
      <c r="Z992" s="1183"/>
      <c r="AA992" s="1183"/>
      <c r="AB992" s="1183"/>
      <c r="AC992" s="1183"/>
      <c r="AD992" s="1183"/>
      <c r="AE992" s="1184"/>
      <c r="AF992" s="79"/>
      <c r="AG992" s="21"/>
      <c r="AH992" s="21"/>
      <c r="AI992" s="83"/>
      <c r="AJ992" s="1169"/>
      <c r="AK992" s="1170"/>
      <c r="AL992" s="1170"/>
      <c r="AM992" s="1170"/>
      <c r="AN992" s="1170"/>
      <c r="AO992" s="1170"/>
      <c r="AP992" s="1170"/>
      <c r="AQ992" s="1171"/>
      <c r="AR992" s="43"/>
      <c r="AS992" s="43"/>
      <c r="AT992" s="43"/>
      <c r="AU992" s="43"/>
      <c r="AV992" s="43"/>
      <c r="AW992" s="43"/>
      <c r="AX992" s="43"/>
      <c r="AY992" s="43"/>
      <c r="AZ992" s="41">
        <v>4</v>
      </c>
      <c r="BA992" s="43">
        <f t="shared" si="67"/>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85"/>
      <c r="E993" s="1186"/>
      <c r="F993" s="1186"/>
      <c r="G993" s="1186"/>
      <c r="H993" s="1186"/>
      <c r="I993" s="1186"/>
      <c r="J993" s="1186"/>
      <c r="K993" s="1186"/>
      <c r="L993" s="1186"/>
      <c r="M993" s="1186"/>
      <c r="N993" s="1186"/>
      <c r="O993" s="1186"/>
      <c r="P993" s="1186"/>
      <c r="Q993" s="1186"/>
      <c r="R993" s="1186"/>
      <c r="S993" s="1186"/>
      <c r="T993" s="1186"/>
      <c r="U993" s="1186"/>
      <c r="V993" s="1186"/>
      <c r="W993" s="1186"/>
      <c r="X993" s="1186"/>
      <c r="Y993" s="1186"/>
      <c r="Z993" s="1186"/>
      <c r="AA993" s="1186"/>
      <c r="AB993" s="1186"/>
      <c r="AC993" s="1186"/>
      <c r="AD993" s="1186"/>
      <c r="AE993" s="1187"/>
      <c r="AF993" s="80"/>
      <c r="AG993" s="11"/>
      <c r="AH993" s="11"/>
      <c r="AI993" s="81"/>
      <c r="AJ993" s="1172"/>
      <c r="AK993" s="1173"/>
      <c r="AL993" s="1173"/>
      <c r="AM993" s="1173"/>
      <c r="AN993" s="1173"/>
      <c r="AO993" s="1173"/>
      <c r="AP993" s="1173"/>
      <c r="AQ993" s="1174"/>
      <c r="AR993" s="43"/>
      <c r="AS993" s="43"/>
      <c r="AT993" s="43"/>
      <c r="AU993" s="43"/>
      <c r="AV993" s="43"/>
      <c r="AW993" s="43"/>
      <c r="AX993" s="43"/>
      <c r="AY993" s="43"/>
      <c r="AZ993" s="41">
        <v>5</v>
      </c>
      <c r="BA993" s="43">
        <f t="shared" si="67"/>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89" t="s">
        <v>1880</v>
      </c>
      <c r="E994" s="1190"/>
      <c r="F994" s="1190"/>
      <c r="G994" s="1190"/>
      <c r="H994" s="1190"/>
      <c r="I994" s="1190"/>
      <c r="J994" s="1190"/>
      <c r="K994" s="1190"/>
      <c r="L994" s="1190"/>
      <c r="M994" s="1190"/>
      <c r="N994" s="1190"/>
      <c r="O994" s="1190"/>
      <c r="P994" s="1190"/>
      <c r="Q994" s="1190"/>
      <c r="R994" s="1190"/>
      <c r="S994" s="1190"/>
      <c r="T994" s="1190"/>
      <c r="U994" s="1190"/>
      <c r="V994" s="1190"/>
      <c r="W994" s="1190"/>
      <c r="X994" s="1190"/>
      <c r="Y994" s="1190"/>
      <c r="Z994" s="1190"/>
      <c r="AA994" s="1190"/>
      <c r="AB994" s="1190"/>
      <c r="AC994" s="1190"/>
      <c r="AD994" s="1190"/>
      <c r="AE994" s="1191"/>
      <c r="AF994" s="82"/>
      <c r="AG994" s="1156" t="s">
        <v>482</v>
      </c>
      <c r="AH994" s="1157"/>
      <c r="AI994" s="85"/>
      <c r="AJ994" s="1166">
        <f>ROUND(IF(AG994="yes",AJ975*0.02,0),0)</f>
        <v>0</v>
      </c>
      <c r="AK994" s="1167"/>
      <c r="AL994" s="1167"/>
      <c r="AM994" s="1167"/>
      <c r="AN994" s="1167"/>
      <c r="AO994" s="1167"/>
      <c r="AP994" s="1167"/>
      <c r="AQ994" s="1168"/>
      <c r="AR994" s="43"/>
      <c r="AS994" s="43"/>
      <c r="AT994" s="43"/>
      <c r="AU994" s="43"/>
      <c r="AV994" s="43"/>
      <c r="AW994" s="43"/>
      <c r="AX994" s="43"/>
      <c r="AY994" s="43"/>
      <c r="AZ994" s="41">
        <v>6</v>
      </c>
      <c r="BA994" s="43">
        <f t="shared" si="67"/>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85" t="s">
        <v>1881</v>
      </c>
      <c r="E995" s="1186"/>
      <c r="F995" s="1186"/>
      <c r="G995" s="1186"/>
      <c r="H995" s="1186"/>
      <c r="I995" s="1186"/>
      <c r="J995" s="1186"/>
      <c r="K995" s="1186"/>
      <c r="L995" s="1186"/>
      <c r="M995" s="1186"/>
      <c r="N995" s="1186"/>
      <c r="O995" s="1186"/>
      <c r="P995" s="1186"/>
      <c r="Q995" s="1186"/>
      <c r="R995" s="1186"/>
      <c r="S995" s="1186"/>
      <c r="T995" s="1186"/>
      <c r="U995" s="1186"/>
      <c r="V995" s="1186"/>
      <c r="W995" s="1186"/>
      <c r="X995" s="1186"/>
      <c r="Y995" s="1186"/>
      <c r="Z995" s="1186"/>
      <c r="AA995" s="1186"/>
      <c r="AB995" s="1186"/>
      <c r="AC995" s="1186"/>
      <c r="AD995" s="1186"/>
      <c r="AE995" s="1187"/>
      <c r="AF995" s="80"/>
      <c r="AG995" s="11"/>
      <c r="AH995" s="11"/>
      <c r="AI995" s="81"/>
      <c r="AJ995" s="1172"/>
      <c r="AK995" s="1173"/>
      <c r="AL995" s="1173"/>
      <c r="AM995" s="1173"/>
      <c r="AN995" s="1173"/>
      <c r="AO995" s="1173"/>
      <c r="AP995" s="1173"/>
      <c r="AQ995" s="1174"/>
      <c r="AR995" s="43"/>
      <c r="AS995" s="43"/>
      <c r="AT995" s="43"/>
      <c r="AU995" s="43"/>
      <c r="AV995" s="43"/>
      <c r="AW995" s="43"/>
      <c r="AX995" s="43"/>
      <c r="AY995" s="43"/>
      <c r="AZ995" s="41">
        <v>7</v>
      </c>
      <c r="BA995" s="43">
        <f t="shared" si="67"/>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89" t="s">
        <v>1882</v>
      </c>
      <c r="E996" s="1190"/>
      <c r="F996" s="1190"/>
      <c r="G996" s="1190"/>
      <c r="H996" s="1190"/>
      <c r="I996" s="1190"/>
      <c r="J996" s="1190"/>
      <c r="K996" s="1190"/>
      <c r="L996" s="1190"/>
      <c r="M996" s="1190"/>
      <c r="N996" s="1190"/>
      <c r="O996" s="1190"/>
      <c r="P996" s="1190"/>
      <c r="Q996" s="1190"/>
      <c r="R996" s="1190"/>
      <c r="S996" s="1190"/>
      <c r="T996" s="1190"/>
      <c r="U996" s="1190"/>
      <c r="V996" s="1190"/>
      <c r="W996" s="1190"/>
      <c r="X996" s="1190"/>
      <c r="Y996" s="1190"/>
      <c r="Z996" s="1190"/>
      <c r="AA996" s="1190"/>
      <c r="AB996" s="1190"/>
      <c r="AC996" s="1190"/>
      <c r="AD996" s="1190"/>
      <c r="AE996" s="1191"/>
      <c r="AF996" s="82"/>
      <c r="AG996" s="1156" t="s">
        <v>108</v>
      </c>
      <c r="AH996" s="1157"/>
      <c r="AI996" s="82"/>
      <c r="AJ996" s="1166">
        <f>ROUND(IF(AG996="yes",AJ975*0.02,0),0)</f>
        <v>465937</v>
      </c>
      <c r="AK996" s="1167"/>
      <c r="AL996" s="1167"/>
      <c r="AM996" s="1167"/>
      <c r="AN996" s="1167"/>
      <c r="AO996" s="1167"/>
      <c r="AP996" s="1167"/>
      <c r="AQ996" s="1168"/>
      <c r="AS996" s="959"/>
      <c r="AT996" s="959"/>
      <c r="AU996" s="959"/>
      <c r="AV996" s="43"/>
      <c r="AW996" s="43"/>
      <c r="AX996" s="43"/>
      <c r="AY996" s="43"/>
      <c r="AZ996" s="41">
        <v>8</v>
      </c>
      <c r="BA996" s="43">
        <f t="shared" si="67"/>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82" t="s">
        <v>1883</v>
      </c>
      <c r="E997" s="1183"/>
      <c r="F997" s="1183"/>
      <c r="G997" s="1183"/>
      <c r="H997" s="1183"/>
      <c r="I997" s="1183"/>
      <c r="J997" s="1183"/>
      <c r="K997" s="1183"/>
      <c r="L997" s="1183"/>
      <c r="M997" s="1183"/>
      <c r="N997" s="1183"/>
      <c r="O997" s="1183"/>
      <c r="P997" s="1183"/>
      <c r="Q997" s="1183"/>
      <c r="R997" s="1183"/>
      <c r="S997" s="1183"/>
      <c r="T997" s="1183"/>
      <c r="U997" s="1183"/>
      <c r="V997" s="1183"/>
      <c r="W997" s="1183"/>
      <c r="X997" s="1183"/>
      <c r="Y997" s="1183"/>
      <c r="Z997" s="1183"/>
      <c r="AA997" s="1183"/>
      <c r="AB997" s="1183"/>
      <c r="AC997" s="1183"/>
      <c r="AD997" s="1183"/>
      <c r="AE997" s="1184"/>
      <c r="AF997" s="1127" t="str">
        <f>IF(AND(AG996="yes",V215&lt;&gt;1),"The project may not be eligible for this boost","")</f>
        <v/>
      </c>
      <c r="AG997" s="1128"/>
      <c r="AH997" s="1128"/>
      <c r="AI997" s="1129"/>
      <c r="AJ997" s="1169"/>
      <c r="AK997" s="1170"/>
      <c r="AL997" s="1170"/>
      <c r="AM997" s="1170"/>
      <c r="AN997" s="1170"/>
      <c r="AO997" s="1170"/>
      <c r="AP997" s="1170"/>
      <c r="AQ997" s="1171"/>
      <c r="AR997" s="958"/>
      <c r="AS997" s="959"/>
      <c r="AT997" s="959"/>
      <c r="AU997" s="959"/>
      <c r="AV997" s="43"/>
      <c r="AW997" s="43"/>
      <c r="AX997" s="43"/>
      <c r="AY997" s="43"/>
      <c r="AZ997" s="41">
        <v>9</v>
      </c>
      <c r="BA997" s="43">
        <f t="shared" si="67"/>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85"/>
      <c r="E998" s="1186"/>
      <c r="F998" s="1186"/>
      <c r="G998" s="1186"/>
      <c r="H998" s="1186"/>
      <c r="I998" s="1186"/>
      <c r="J998" s="1186"/>
      <c r="K998" s="1186"/>
      <c r="L998" s="1186"/>
      <c r="M998" s="1186"/>
      <c r="N998" s="1186"/>
      <c r="O998" s="1186"/>
      <c r="P998" s="1186"/>
      <c r="Q998" s="1186"/>
      <c r="R998" s="1186"/>
      <c r="S998" s="1186"/>
      <c r="T998" s="1186"/>
      <c r="U998" s="1186"/>
      <c r="V998" s="1186"/>
      <c r="W998" s="1186"/>
      <c r="X998" s="1186"/>
      <c r="Y998" s="1186"/>
      <c r="Z998" s="1186"/>
      <c r="AA998" s="1186"/>
      <c r="AB998" s="1186"/>
      <c r="AC998" s="1186"/>
      <c r="AD998" s="1186"/>
      <c r="AE998" s="1187"/>
      <c r="AF998" s="1130"/>
      <c r="AG998" s="1131"/>
      <c r="AH998" s="1131"/>
      <c r="AI998" s="1132"/>
      <c r="AJ998" s="1172"/>
      <c r="AK998" s="1173"/>
      <c r="AL998" s="1173"/>
      <c r="AM998" s="1173"/>
      <c r="AN998" s="1173"/>
      <c r="AO998" s="1173"/>
      <c r="AP998" s="1173"/>
      <c r="AQ998" s="1174"/>
      <c r="AR998" s="958"/>
      <c r="AS998" s="959"/>
      <c r="AT998" s="959"/>
      <c r="AU998" s="43"/>
      <c r="AV998" s="43"/>
      <c r="AW998" s="43"/>
      <c r="AX998" s="43"/>
      <c r="AY998" s="43"/>
      <c r="AZ998" s="41">
        <v>10</v>
      </c>
      <c r="BA998" s="43">
        <f t="shared" si="67"/>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53" t="s">
        <v>1884</v>
      </c>
      <c r="E999" s="1154"/>
      <c r="F999" s="1154"/>
      <c r="G999" s="1154"/>
      <c r="H999" s="1154"/>
      <c r="I999" s="1154"/>
      <c r="J999" s="1154"/>
      <c r="K999" s="1154"/>
      <c r="L999" s="1154"/>
      <c r="M999" s="1154"/>
      <c r="N999" s="1154"/>
      <c r="O999" s="1154"/>
      <c r="P999" s="1154"/>
      <c r="Q999" s="1154"/>
      <c r="R999" s="1154"/>
      <c r="S999" s="1154"/>
      <c r="T999" s="1154"/>
      <c r="U999" s="1154"/>
      <c r="V999" s="1154"/>
      <c r="W999" s="1154"/>
      <c r="X999" s="1154"/>
      <c r="Y999" s="1154"/>
      <c r="Z999" s="1154"/>
      <c r="AA999" s="1154"/>
      <c r="AB999" s="1154"/>
      <c r="AC999" s="1154"/>
      <c r="AD999" s="1154"/>
      <c r="AE999" s="1155"/>
      <c r="AF999" s="82"/>
      <c r="AG999" s="1156" t="s">
        <v>482</v>
      </c>
      <c r="AH999" s="1157"/>
      <c r="AI999" s="85"/>
      <c r="AJ999" s="1166">
        <f>IF(AG999="yes",AJ975*BA1000,0)</f>
        <v>0</v>
      </c>
      <c r="AK999" s="1167"/>
      <c r="AL999" s="1167"/>
      <c r="AM999" s="1167"/>
      <c r="AN999" s="1167"/>
      <c r="AO999" s="1167"/>
      <c r="AP999" s="1167"/>
      <c r="AQ999" s="1168"/>
      <c r="AR999" s="43"/>
      <c r="AS999" s="43"/>
      <c r="AT999" s="43"/>
      <c r="AU999" s="43"/>
      <c r="AV999" s="43"/>
      <c r="AW999" s="43"/>
      <c r="AX999" s="43"/>
      <c r="AY999" s="43"/>
      <c r="AZ999" s="41">
        <v>11</v>
      </c>
      <c r="BA999" s="43">
        <f t="shared" si="67"/>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82" t="s">
        <v>1988</v>
      </c>
      <c r="E1000" s="1183"/>
      <c r="F1000" s="1183"/>
      <c r="G1000" s="1183"/>
      <c r="H1000" s="1183"/>
      <c r="I1000" s="1183"/>
      <c r="J1000" s="1183"/>
      <c r="K1000" s="1183"/>
      <c r="L1000" s="1183"/>
      <c r="M1000" s="1183"/>
      <c r="N1000" s="1183"/>
      <c r="O1000" s="1183"/>
      <c r="P1000" s="1183"/>
      <c r="Q1000" s="1183"/>
      <c r="R1000" s="1183"/>
      <c r="S1000" s="1183"/>
      <c r="T1000" s="1183"/>
      <c r="U1000" s="1183"/>
      <c r="V1000" s="1183"/>
      <c r="W1000" s="1183"/>
      <c r="X1000" s="1183"/>
      <c r="Y1000" s="1183"/>
      <c r="Z1000" s="1183"/>
      <c r="AA1000" s="1183"/>
      <c r="AB1000" s="1183"/>
      <c r="AC1000" s="1183"/>
      <c r="AD1000" s="1183"/>
      <c r="AE1000" s="1184"/>
      <c r="AF1000" s="1201" t="str">
        <f>IF(AND(AG999="Yes",BA1000=0),BA1002,"")</f>
        <v/>
      </c>
      <c r="AG1000" s="1202"/>
      <c r="AH1000" s="1202"/>
      <c r="AI1000" s="1203"/>
      <c r="AJ1000" s="1169"/>
      <c r="AK1000" s="1170"/>
      <c r="AL1000" s="1170"/>
      <c r="AM1000" s="1170"/>
      <c r="AN1000" s="1170"/>
      <c r="AO1000" s="1170"/>
      <c r="AP1000" s="1170"/>
      <c r="AQ1000" s="1171"/>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82"/>
      <c r="E1001" s="1183"/>
      <c r="F1001" s="1183"/>
      <c r="G1001" s="1183"/>
      <c r="H1001" s="1183"/>
      <c r="I1001" s="1183"/>
      <c r="J1001" s="1183"/>
      <c r="K1001" s="1183"/>
      <c r="L1001" s="1183"/>
      <c r="M1001" s="1183"/>
      <c r="N1001" s="1183"/>
      <c r="O1001" s="1183"/>
      <c r="P1001" s="1183"/>
      <c r="Q1001" s="1183"/>
      <c r="R1001" s="1183"/>
      <c r="S1001" s="1183"/>
      <c r="T1001" s="1183"/>
      <c r="U1001" s="1183"/>
      <c r="V1001" s="1183"/>
      <c r="W1001" s="1183"/>
      <c r="X1001" s="1183"/>
      <c r="Y1001" s="1183"/>
      <c r="Z1001" s="1183"/>
      <c r="AA1001" s="1183"/>
      <c r="AB1001" s="1183"/>
      <c r="AC1001" s="1183"/>
      <c r="AD1001" s="1183"/>
      <c r="AE1001" s="1184"/>
      <c r="AF1001" s="1201"/>
      <c r="AG1001" s="1202"/>
      <c r="AH1001" s="1202"/>
      <c r="AI1001" s="1203"/>
      <c r="AJ1001" s="1169"/>
      <c r="AK1001" s="1170"/>
      <c r="AL1001" s="1170"/>
      <c r="AM1001" s="1170"/>
      <c r="AN1001" s="1170"/>
      <c r="AO1001" s="1170"/>
      <c r="AP1001" s="1170"/>
      <c r="AQ1001" s="117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85"/>
      <c r="E1002" s="1186"/>
      <c r="F1002" s="1186"/>
      <c r="G1002" s="1186"/>
      <c r="H1002" s="1186"/>
      <c r="I1002" s="1186"/>
      <c r="J1002" s="1186"/>
      <c r="K1002" s="1186"/>
      <c r="L1002" s="1186"/>
      <c r="M1002" s="1186"/>
      <c r="N1002" s="1186"/>
      <c r="O1002" s="1186"/>
      <c r="P1002" s="1186"/>
      <c r="Q1002" s="1186"/>
      <c r="R1002" s="1186"/>
      <c r="S1002" s="1186"/>
      <c r="T1002" s="1186"/>
      <c r="U1002" s="1186"/>
      <c r="V1002" s="1186"/>
      <c r="W1002" s="1186"/>
      <c r="X1002" s="1186"/>
      <c r="Y1002" s="1186"/>
      <c r="Z1002" s="1186"/>
      <c r="AA1002" s="1186"/>
      <c r="AB1002" s="1186"/>
      <c r="AC1002" s="1186"/>
      <c r="AD1002" s="1186"/>
      <c r="AE1002" s="1187"/>
      <c r="AF1002" s="1204"/>
      <c r="AG1002" s="1205"/>
      <c r="AH1002" s="1205"/>
      <c r="AI1002" s="1206"/>
      <c r="AJ1002" s="1172"/>
      <c r="AK1002" s="1173"/>
      <c r="AL1002" s="1173"/>
      <c r="AM1002" s="1173"/>
      <c r="AN1002" s="1173"/>
      <c r="AO1002" s="1173"/>
      <c r="AP1002" s="1173"/>
      <c r="AQ1002" s="117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92" t="s">
        <v>1885</v>
      </c>
      <c r="E1003" s="1193"/>
      <c r="F1003" s="1193"/>
      <c r="G1003" s="1193"/>
      <c r="H1003" s="1193"/>
      <c r="I1003" s="1193"/>
      <c r="J1003" s="1193"/>
      <c r="K1003" s="1193"/>
      <c r="L1003" s="1193"/>
      <c r="M1003" s="1193"/>
      <c r="N1003" s="1193"/>
      <c r="O1003" s="1193"/>
      <c r="P1003" s="1193"/>
      <c r="Q1003" s="1193"/>
      <c r="R1003" s="1193"/>
      <c r="S1003" s="1193"/>
      <c r="T1003" s="1193"/>
      <c r="U1003" s="1193"/>
      <c r="V1003" s="1193"/>
      <c r="W1003" s="1193"/>
      <c r="X1003" s="1193"/>
      <c r="Y1003" s="1193"/>
      <c r="Z1003" s="1193"/>
      <c r="AA1003" s="1193"/>
      <c r="AB1003" s="1193"/>
      <c r="AC1003" s="1193"/>
      <c r="AD1003" s="1193"/>
      <c r="AE1003" s="1194"/>
      <c r="AF1003" s="82"/>
      <c r="AG1003" s="1156" t="s">
        <v>482</v>
      </c>
      <c r="AH1003" s="1157"/>
      <c r="AI1003" s="85"/>
      <c r="AJ1003" s="1166">
        <f>ROUND(IF(AND(AG1003="Yes",AF1006&lt;&gt;"",J1007&lt;&gt;"N/A"),MIN(AF1006,(0.15*AJ975)),0),0)</f>
        <v>0</v>
      </c>
      <c r="AK1003" s="1167"/>
      <c r="AL1003" s="1167"/>
      <c r="AM1003" s="1167"/>
      <c r="AN1003" s="1167"/>
      <c r="AO1003" s="1167"/>
      <c r="AP1003" s="1167"/>
      <c r="AQ1003" s="116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95"/>
      <c r="E1004" s="1196"/>
      <c r="F1004" s="1196"/>
      <c r="G1004" s="1196"/>
      <c r="H1004" s="1196"/>
      <c r="I1004" s="1196"/>
      <c r="J1004" s="1196"/>
      <c r="K1004" s="1196"/>
      <c r="L1004" s="1196"/>
      <c r="M1004" s="1196"/>
      <c r="N1004" s="1196"/>
      <c r="O1004" s="1196"/>
      <c r="P1004" s="1196"/>
      <c r="Q1004" s="1196"/>
      <c r="R1004" s="1196"/>
      <c r="S1004" s="1196"/>
      <c r="T1004" s="1196"/>
      <c r="U1004" s="1196"/>
      <c r="V1004" s="1196"/>
      <c r="W1004" s="1196"/>
      <c r="X1004" s="1196"/>
      <c r="Y1004" s="1196"/>
      <c r="Z1004" s="1196"/>
      <c r="AA1004" s="1196"/>
      <c r="AB1004" s="1196"/>
      <c r="AC1004" s="1196"/>
      <c r="AD1004" s="1196"/>
      <c r="AE1004" s="1197"/>
      <c r="AF1004" s="1201" t="str">
        <f>IF(AG1003="yes","Please Select Type and Enter Amount:","")</f>
        <v/>
      </c>
      <c r="AG1004" s="1202"/>
      <c r="AH1004" s="1202"/>
      <c r="AI1004" s="1203"/>
      <c r="AJ1004" s="1169"/>
      <c r="AK1004" s="1170"/>
      <c r="AL1004" s="1170"/>
      <c r="AM1004" s="1170"/>
      <c r="AN1004" s="1170"/>
      <c r="AO1004" s="1170"/>
      <c r="AP1004" s="1170"/>
      <c r="AQ1004" s="11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82" t="s">
        <v>1886</v>
      </c>
      <c r="E1005" s="1183"/>
      <c r="F1005" s="1183"/>
      <c r="G1005" s="1183"/>
      <c r="H1005" s="1183"/>
      <c r="I1005" s="1183"/>
      <c r="J1005" s="1183"/>
      <c r="K1005" s="1183"/>
      <c r="L1005" s="1183"/>
      <c r="M1005" s="1183"/>
      <c r="N1005" s="1183"/>
      <c r="O1005" s="1183"/>
      <c r="P1005" s="1183"/>
      <c r="Q1005" s="1183"/>
      <c r="R1005" s="1183"/>
      <c r="S1005" s="1183"/>
      <c r="T1005" s="1183"/>
      <c r="U1005" s="1183"/>
      <c r="V1005" s="1183"/>
      <c r="W1005" s="1183"/>
      <c r="X1005" s="1183"/>
      <c r="Y1005" s="1183"/>
      <c r="Z1005" s="1183"/>
      <c r="AA1005" s="1183"/>
      <c r="AB1005" s="1183"/>
      <c r="AC1005" s="1183"/>
      <c r="AD1005" s="1183"/>
      <c r="AE1005" s="1184"/>
      <c r="AF1005" s="1201"/>
      <c r="AG1005" s="1202"/>
      <c r="AH1005" s="1202"/>
      <c r="AI1005" s="1203"/>
      <c r="AJ1005" s="1169"/>
      <c r="AK1005" s="1170"/>
      <c r="AL1005" s="1170"/>
      <c r="AM1005" s="1170"/>
      <c r="AN1005" s="1170"/>
      <c r="AO1005" s="1170"/>
      <c r="AP1005" s="1170"/>
      <c r="AQ1005" s="117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82"/>
      <c r="E1006" s="1183"/>
      <c r="F1006" s="1183"/>
      <c r="G1006" s="1183"/>
      <c r="H1006" s="1183"/>
      <c r="I1006" s="1183"/>
      <c r="J1006" s="1183"/>
      <c r="K1006" s="1183"/>
      <c r="L1006" s="1183"/>
      <c r="M1006" s="1183"/>
      <c r="N1006" s="1183"/>
      <c r="O1006" s="1183"/>
      <c r="P1006" s="1183"/>
      <c r="Q1006" s="1183"/>
      <c r="R1006" s="1183"/>
      <c r="S1006" s="1183"/>
      <c r="T1006" s="1183"/>
      <c r="U1006" s="1183"/>
      <c r="V1006" s="1183"/>
      <c r="W1006" s="1183"/>
      <c r="X1006" s="1183"/>
      <c r="Y1006" s="1183"/>
      <c r="Z1006" s="1183"/>
      <c r="AA1006" s="1183"/>
      <c r="AB1006" s="1183"/>
      <c r="AC1006" s="1183"/>
      <c r="AD1006" s="1183"/>
      <c r="AE1006" s="1184"/>
      <c r="AF1006" s="1523"/>
      <c r="AG1006" s="1523"/>
      <c r="AH1006" s="1523"/>
      <c r="AI1006" s="1523"/>
      <c r="AJ1006" s="1169"/>
      <c r="AK1006" s="1170"/>
      <c r="AL1006" s="1170"/>
      <c r="AM1006" s="1170"/>
      <c r="AN1006" s="1170"/>
      <c r="AO1006" s="1170"/>
      <c r="AP1006" s="1170"/>
      <c r="AQ1006" s="117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98" t="s">
        <v>124</v>
      </c>
      <c r="K1007" s="1199"/>
      <c r="L1007" s="1199"/>
      <c r="M1007" s="1199"/>
      <c r="N1007" s="1199"/>
      <c r="O1007" s="1199"/>
      <c r="P1007" s="1199"/>
      <c r="Q1007" s="1199"/>
      <c r="R1007" s="1199"/>
      <c r="S1007" s="1199"/>
      <c r="T1007" s="1199"/>
      <c r="U1007" s="1199"/>
      <c r="V1007" s="1199"/>
      <c r="W1007" s="1199"/>
      <c r="X1007" s="1199"/>
      <c r="Y1007" s="1199"/>
      <c r="Z1007" s="1199"/>
      <c r="AA1007" s="1199"/>
      <c r="AB1007" s="1199"/>
      <c r="AC1007" s="1199"/>
      <c r="AD1007" s="1199"/>
      <c r="AE1007" s="1200"/>
      <c r="AF1007" s="1523"/>
      <c r="AG1007" s="1523"/>
      <c r="AH1007" s="1523"/>
      <c r="AI1007" s="1523"/>
      <c r="AJ1007" s="1172"/>
      <c r="AK1007" s="1173"/>
      <c r="AL1007" s="1173"/>
      <c r="AM1007" s="1173"/>
      <c r="AN1007" s="1173"/>
      <c r="AO1007" s="1173"/>
      <c r="AP1007" s="1173"/>
      <c r="AQ1007" s="11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89" t="s">
        <v>1887</v>
      </c>
      <c r="E1008" s="1190"/>
      <c r="F1008" s="1190"/>
      <c r="G1008" s="1190"/>
      <c r="H1008" s="1190"/>
      <c r="I1008" s="1190"/>
      <c r="J1008" s="1190"/>
      <c r="K1008" s="1190"/>
      <c r="L1008" s="1190"/>
      <c r="M1008" s="1190"/>
      <c r="N1008" s="1190"/>
      <c r="O1008" s="1190"/>
      <c r="P1008" s="1190"/>
      <c r="Q1008" s="1190"/>
      <c r="R1008" s="1190"/>
      <c r="S1008" s="1190"/>
      <c r="T1008" s="1190"/>
      <c r="U1008" s="1190"/>
      <c r="V1008" s="1190"/>
      <c r="W1008" s="1190"/>
      <c r="X1008" s="1190"/>
      <c r="Y1008" s="1190"/>
      <c r="Z1008" s="1190"/>
      <c r="AA1008" s="1190"/>
      <c r="AB1008" s="1190"/>
      <c r="AC1008" s="1190"/>
      <c r="AD1008" s="1190"/>
      <c r="AE1008" s="1191"/>
      <c r="AF1008" s="82"/>
      <c r="AG1008" s="1156" t="s">
        <v>108</v>
      </c>
      <c r="AH1008" s="1157"/>
      <c r="AI1008" s="85"/>
      <c r="AJ1008" s="1166">
        <f>ROUND(IF(AG1008="Yes",AF1010,0),0)</f>
        <v>650000</v>
      </c>
      <c r="AK1008" s="1167"/>
      <c r="AL1008" s="1167"/>
      <c r="AM1008" s="1167"/>
      <c r="AN1008" s="1167"/>
      <c r="AO1008" s="1167"/>
      <c r="AP1008" s="1167"/>
      <c r="AQ1008" s="116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82" t="s">
        <v>1989</v>
      </c>
      <c r="E1009" s="1183"/>
      <c r="F1009" s="1183"/>
      <c r="G1009" s="1183"/>
      <c r="H1009" s="1183"/>
      <c r="I1009" s="1183"/>
      <c r="J1009" s="1183"/>
      <c r="K1009" s="1183"/>
      <c r="L1009" s="1183"/>
      <c r="M1009" s="1183"/>
      <c r="N1009" s="1183"/>
      <c r="O1009" s="1183"/>
      <c r="P1009" s="1183"/>
      <c r="Q1009" s="1183"/>
      <c r="R1009" s="1183"/>
      <c r="S1009" s="1183"/>
      <c r="T1009" s="1183"/>
      <c r="U1009" s="1183"/>
      <c r="V1009" s="1183"/>
      <c r="W1009" s="1183"/>
      <c r="X1009" s="1183"/>
      <c r="Y1009" s="1183"/>
      <c r="Z1009" s="1183"/>
      <c r="AA1009" s="1183"/>
      <c r="AB1009" s="1183"/>
      <c r="AC1009" s="1183"/>
      <c r="AD1009" s="1183"/>
      <c r="AE1009" s="1184"/>
      <c r="AF1009" s="1524" t="str">
        <f>IF(AG1008="yes","Please Enter Amount:","")</f>
        <v>Please Enter Amount:</v>
      </c>
      <c r="AG1009" s="1525"/>
      <c r="AH1009" s="1525"/>
      <c r="AI1009" s="1526"/>
      <c r="AJ1009" s="1169"/>
      <c r="AK1009" s="1170"/>
      <c r="AL1009" s="1170"/>
      <c r="AM1009" s="1170"/>
      <c r="AN1009" s="1170"/>
      <c r="AO1009" s="1170"/>
      <c r="AP1009" s="1170"/>
      <c r="AQ1009" s="11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82"/>
      <c r="E1010" s="1183"/>
      <c r="F1010" s="1183"/>
      <c r="G1010" s="1183"/>
      <c r="H1010" s="1183"/>
      <c r="I1010" s="1183"/>
      <c r="J1010" s="1183"/>
      <c r="K1010" s="1183"/>
      <c r="L1010" s="1183"/>
      <c r="M1010" s="1183"/>
      <c r="N1010" s="1183"/>
      <c r="O1010" s="1183"/>
      <c r="P1010" s="1183"/>
      <c r="Q1010" s="1183"/>
      <c r="R1010" s="1183"/>
      <c r="S1010" s="1183"/>
      <c r="T1010" s="1183"/>
      <c r="U1010" s="1183"/>
      <c r="V1010" s="1183"/>
      <c r="W1010" s="1183"/>
      <c r="X1010" s="1183"/>
      <c r="Y1010" s="1183"/>
      <c r="Z1010" s="1183"/>
      <c r="AA1010" s="1183"/>
      <c r="AB1010" s="1183"/>
      <c r="AC1010" s="1183"/>
      <c r="AD1010" s="1183"/>
      <c r="AE1010" s="1184"/>
      <c r="AF1010" s="1523">
        <f>'Sources and Uses Budget'!C84</f>
        <v>650000</v>
      </c>
      <c r="AG1010" s="1523"/>
      <c r="AH1010" s="1523"/>
      <c r="AI1010" s="1523"/>
      <c r="AJ1010" s="1169"/>
      <c r="AK1010" s="1170"/>
      <c r="AL1010" s="1170"/>
      <c r="AM1010" s="1170"/>
      <c r="AN1010" s="1170"/>
      <c r="AO1010" s="1170"/>
      <c r="AP1010" s="1170"/>
      <c r="AQ1010" s="117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85"/>
      <c r="E1011" s="1186"/>
      <c r="F1011" s="1186"/>
      <c r="G1011" s="1186"/>
      <c r="H1011" s="1186"/>
      <c r="I1011" s="1186"/>
      <c r="J1011" s="1186"/>
      <c r="K1011" s="1186"/>
      <c r="L1011" s="1186"/>
      <c r="M1011" s="1186"/>
      <c r="N1011" s="1186"/>
      <c r="O1011" s="1186"/>
      <c r="P1011" s="1186"/>
      <c r="Q1011" s="1186"/>
      <c r="R1011" s="1186"/>
      <c r="S1011" s="1186"/>
      <c r="T1011" s="1186"/>
      <c r="U1011" s="1186"/>
      <c r="V1011" s="1186"/>
      <c r="W1011" s="1186"/>
      <c r="X1011" s="1186"/>
      <c r="Y1011" s="1186"/>
      <c r="Z1011" s="1186"/>
      <c r="AA1011" s="1186"/>
      <c r="AB1011" s="1186"/>
      <c r="AC1011" s="1186"/>
      <c r="AD1011" s="1186"/>
      <c r="AE1011" s="1187"/>
      <c r="AF1011" s="1523"/>
      <c r="AG1011" s="1523"/>
      <c r="AH1011" s="1523"/>
      <c r="AI1011" s="1523"/>
      <c r="AJ1011" s="1172"/>
      <c r="AK1011" s="1173"/>
      <c r="AL1011" s="1173"/>
      <c r="AM1011" s="1173"/>
      <c r="AN1011" s="1173"/>
      <c r="AO1011" s="1173"/>
      <c r="AP1011" s="1173"/>
      <c r="AQ1011" s="1174"/>
      <c r="AT1011" s="43"/>
      <c r="AU1011" s="43"/>
      <c r="AV1011" s="43"/>
      <c r="AW1011" s="43"/>
      <c r="AX1011" s="38"/>
      <c r="AY1011" s="38"/>
      <c r="AZ1011" s="21"/>
      <c r="BA1011" s="21"/>
      <c r="BB1011" s="21"/>
      <c r="BC1011" s="43"/>
      <c r="BD1011" s="43"/>
    </row>
    <row r="1012" spans="1:97" ht="12.95" customHeight="1">
      <c r="A1012" s="21"/>
      <c r="B1012" s="82"/>
      <c r="C1012" s="552" t="s">
        <v>578</v>
      </c>
      <c r="D1012" s="1153" t="s">
        <v>1888</v>
      </c>
      <c r="E1012" s="1154"/>
      <c r="F1012" s="1154"/>
      <c r="G1012" s="1154"/>
      <c r="H1012" s="1154"/>
      <c r="I1012" s="1154"/>
      <c r="J1012" s="1154"/>
      <c r="K1012" s="1154"/>
      <c r="L1012" s="1154"/>
      <c r="M1012" s="1154"/>
      <c r="N1012" s="1154"/>
      <c r="O1012" s="1154"/>
      <c r="P1012" s="1154"/>
      <c r="Q1012" s="1154"/>
      <c r="R1012" s="1154"/>
      <c r="S1012" s="1154"/>
      <c r="T1012" s="1154"/>
      <c r="U1012" s="1154"/>
      <c r="V1012" s="1154"/>
      <c r="W1012" s="1154"/>
      <c r="X1012" s="1154"/>
      <c r="Y1012" s="1154"/>
      <c r="Z1012" s="1154"/>
      <c r="AA1012" s="1154"/>
      <c r="AB1012" s="1154"/>
      <c r="AC1012" s="1154"/>
      <c r="AD1012" s="1154"/>
      <c r="AE1012" s="1155"/>
      <c r="AF1012" s="82"/>
      <c r="AG1012" s="1156" t="s">
        <v>108</v>
      </c>
      <c r="AH1012" s="1157"/>
      <c r="AI1012" s="85"/>
      <c r="AJ1012" s="1166">
        <f>ROUND(IF(AG1012="yes",(AJ975*0.1),0),0)</f>
        <v>2329684</v>
      </c>
      <c r="AK1012" s="1167"/>
      <c r="AL1012" s="1167"/>
      <c r="AM1012" s="1167"/>
      <c r="AN1012" s="1167"/>
      <c r="AO1012" s="1167"/>
      <c r="AP1012" s="1167"/>
      <c r="AQ1012" s="1168"/>
      <c r="AT1012" s="43"/>
      <c r="AU1012" s="43"/>
      <c r="AV1012" s="43"/>
      <c r="AW1012" s="43"/>
      <c r="AX1012" s="38"/>
      <c r="AY1012" s="38"/>
      <c r="AZ1012" s="21"/>
      <c r="BA1012" s="21"/>
      <c r="BB1012" s="21"/>
      <c r="BC1012" s="43"/>
      <c r="BD1012" s="43"/>
    </row>
    <row r="1013" spans="1:97" ht="12.95" customHeight="1">
      <c r="A1013" s="21"/>
      <c r="B1013" s="79"/>
      <c r="C1013" s="553"/>
      <c r="D1013" s="1182" t="s">
        <v>1889</v>
      </c>
      <c r="E1013" s="1183"/>
      <c r="F1013" s="1183"/>
      <c r="G1013" s="1183"/>
      <c r="H1013" s="1183"/>
      <c r="I1013" s="1183"/>
      <c r="J1013" s="1183"/>
      <c r="K1013" s="1183"/>
      <c r="L1013" s="1183"/>
      <c r="M1013" s="1183"/>
      <c r="N1013" s="1183"/>
      <c r="O1013" s="1183"/>
      <c r="P1013" s="1183"/>
      <c r="Q1013" s="1183"/>
      <c r="R1013" s="1183"/>
      <c r="S1013" s="1183"/>
      <c r="T1013" s="1183"/>
      <c r="U1013" s="1183"/>
      <c r="V1013" s="1183"/>
      <c r="W1013" s="1183"/>
      <c r="X1013" s="1183"/>
      <c r="Y1013" s="1183"/>
      <c r="Z1013" s="1183"/>
      <c r="AA1013" s="1183"/>
      <c r="AB1013" s="1183"/>
      <c r="AC1013" s="1183"/>
      <c r="AD1013" s="1183"/>
      <c r="AE1013" s="1184"/>
      <c r="AF1013" s="79"/>
      <c r="AG1013" s="21"/>
      <c r="AH1013" s="21"/>
      <c r="AI1013" s="83"/>
      <c r="AJ1013" s="1169"/>
      <c r="AK1013" s="1170"/>
      <c r="AL1013" s="1170"/>
      <c r="AM1013" s="1170"/>
      <c r="AN1013" s="1170"/>
      <c r="AO1013" s="1170"/>
      <c r="AP1013" s="1170"/>
      <c r="AQ1013" s="1171"/>
      <c r="AT1013" s="43"/>
      <c r="AU1013" s="43"/>
      <c r="AV1013" s="43"/>
      <c r="AW1013" s="43"/>
      <c r="AX1013" s="38"/>
      <c r="AY1013" s="38"/>
      <c r="AZ1013" s="21"/>
      <c r="BA1013" s="21"/>
      <c r="BB1013" s="21"/>
      <c r="BC1013" s="43"/>
      <c r="BD1013" s="43"/>
    </row>
    <row r="1014" spans="1:97" ht="12.95" customHeight="1">
      <c r="A1014" s="551"/>
      <c r="B1014" s="80"/>
      <c r="C1014" s="553"/>
      <c r="D1014" s="1185"/>
      <c r="E1014" s="1186"/>
      <c r="F1014" s="1186"/>
      <c r="G1014" s="1186"/>
      <c r="H1014" s="1186"/>
      <c r="I1014" s="1186"/>
      <c r="J1014" s="1186"/>
      <c r="K1014" s="1186"/>
      <c r="L1014" s="1186"/>
      <c r="M1014" s="1186"/>
      <c r="N1014" s="1186"/>
      <c r="O1014" s="1186"/>
      <c r="P1014" s="1186"/>
      <c r="Q1014" s="1186"/>
      <c r="R1014" s="1186"/>
      <c r="S1014" s="1186"/>
      <c r="T1014" s="1186"/>
      <c r="U1014" s="1186"/>
      <c r="V1014" s="1186"/>
      <c r="W1014" s="1186"/>
      <c r="X1014" s="1186"/>
      <c r="Y1014" s="1186"/>
      <c r="Z1014" s="1186"/>
      <c r="AA1014" s="1186"/>
      <c r="AB1014" s="1186"/>
      <c r="AC1014" s="1186"/>
      <c r="AD1014" s="1186"/>
      <c r="AE1014" s="1187"/>
      <c r="AF1014" s="79"/>
      <c r="AG1014" s="21"/>
      <c r="AH1014" s="21"/>
      <c r="AI1014" s="83"/>
      <c r="AJ1014" s="1172"/>
      <c r="AK1014" s="1173"/>
      <c r="AL1014" s="1173"/>
      <c r="AM1014" s="1173"/>
      <c r="AN1014" s="1173"/>
      <c r="AO1014" s="1173"/>
      <c r="AP1014" s="1173"/>
      <c r="AQ1014" s="1174"/>
      <c r="AT1014" s="43"/>
      <c r="AU1014" s="43"/>
      <c r="AV1014" s="43"/>
      <c r="AW1014" s="43"/>
      <c r="AX1014" s="38"/>
      <c r="AY1014" s="38"/>
      <c r="AZ1014" s="21"/>
      <c r="BA1014" s="21"/>
      <c r="BB1014" s="21"/>
      <c r="BC1014" s="43"/>
      <c r="BD1014" s="43"/>
    </row>
    <row r="1015" spans="1:97" ht="12.95" customHeight="1">
      <c r="A1015" s="551"/>
      <c r="B1015" s="79"/>
      <c r="C1015" s="552" t="s">
        <v>581</v>
      </c>
      <c r="D1015" s="1189" t="s">
        <v>1990</v>
      </c>
      <c r="E1015" s="1190"/>
      <c r="F1015" s="1190"/>
      <c r="G1015" s="1190"/>
      <c r="H1015" s="1190"/>
      <c r="I1015" s="1190"/>
      <c r="J1015" s="1190"/>
      <c r="K1015" s="1190"/>
      <c r="L1015" s="1190"/>
      <c r="M1015" s="1190"/>
      <c r="N1015" s="1190"/>
      <c r="O1015" s="1190"/>
      <c r="P1015" s="1190"/>
      <c r="Q1015" s="1190"/>
      <c r="R1015" s="1190"/>
      <c r="S1015" s="1190"/>
      <c r="T1015" s="1190"/>
      <c r="U1015" s="1190"/>
      <c r="V1015" s="1190"/>
      <c r="W1015" s="1190"/>
      <c r="X1015" s="1190"/>
      <c r="Y1015" s="1190"/>
      <c r="Z1015" s="1190"/>
      <c r="AA1015" s="1190"/>
      <c r="AB1015" s="1190"/>
      <c r="AC1015" s="1190"/>
      <c r="AD1015" s="1190"/>
      <c r="AE1015" s="1191"/>
      <c r="AF1015" s="82"/>
      <c r="AG1015" s="1156" t="s">
        <v>482</v>
      </c>
      <c r="AH1015" s="1157"/>
      <c r="AI1015" s="85"/>
      <c r="AJ1015" s="1166">
        <f>ROUND(IF(AG1015="yes",(AJ975*0.15),0),0)</f>
        <v>0</v>
      </c>
      <c r="AK1015" s="1167"/>
      <c r="AL1015" s="1167"/>
      <c r="AM1015" s="1167"/>
      <c r="AN1015" s="1167"/>
      <c r="AO1015" s="1167"/>
      <c r="AP1015" s="1167"/>
      <c r="AQ1015" s="1168"/>
      <c r="AT1015" s="43"/>
      <c r="AU1015" s="43"/>
      <c r="AV1015" s="43"/>
      <c r="AW1015" s="43"/>
      <c r="AX1015" s="43"/>
      <c r="AY1015" s="43"/>
      <c r="AZ1015" s="43"/>
      <c r="BA1015" s="43"/>
      <c r="BB1015" s="43"/>
      <c r="BC1015" s="43"/>
      <c r="BD1015" s="43"/>
    </row>
    <row r="1016" spans="1:97" ht="12.95" customHeight="1">
      <c r="A1016" s="551"/>
      <c r="B1016" s="79"/>
      <c r="C1016" s="553"/>
      <c r="D1016" s="1177"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78"/>
      <c r="AF1016" s="868"/>
      <c r="AG1016" s="869"/>
      <c r="AH1016" s="869"/>
      <c r="AI1016" s="870"/>
      <c r="AJ1016" s="1169"/>
      <c r="AK1016" s="1170"/>
      <c r="AL1016" s="1170"/>
      <c r="AM1016" s="1170"/>
      <c r="AN1016" s="1170"/>
      <c r="AO1016" s="1170"/>
      <c r="AP1016" s="1170"/>
      <c r="AQ1016" s="117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7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78"/>
      <c r="AF1017" s="868"/>
      <c r="AG1017" s="869"/>
      <c r="AH1017" s="869"/>
      <c r="AI1017" s="870"/>
      <c r="AJ1017" s="1169"/>
      <c r="AK1017" s="1170"/>
      <c r="AL1017" s="1170"/>
      <c r="AM1017" s="1170"/>
      <c r="AN1017" s="1170"/>
      <c r="AO1017" s="1170"/>
      <c r="AP1017" s="1170"/>
      <c r="AQ1017" s="11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79"/>
      <c r="E1018" s="1180"/>
      <c r="F1018" s="1180"/>
      <c r="G1018" s="1180"/>
      <c r="H1018" s="1180"/>
      <c r="I1018" s="1180"/>
      <c r="J1018" s="1180"/>
      <c r="K1018" s="1180"/>
      <c r="L1018" s="1180"/>
      <c r="M1018" s="1180"/>
      <c r="N1018" s="1180"/>
      <c r="O1018" s="1180"/>
      <c r="P1018" s="1180"/>
      <c r="Q1018" s="1180"/>
      <c r="R1018" s="1180"/>
      <c r="S1018" s="1180"/>
      <c r="T1018" s="1180"/>
      <c r="U1018" s="1180"/>
      <c r="V1018" s="1180"/>
      <c r="W1018" s="1180"/>
      <c r="X1018" s="1180"/>
      <c r="Y1018" s="1180"/>
      <c r="Z1018" s="1180"/>
      <c r="AA1018" s="1180"/>
      <c r="AB1018" s="1180"/>
      <c r="AC1018" s="1180"/>
      <c r="AD1018" s="1180"/>
      <c r="AE1018" s="1181"/>
      <c r="AF1018" s="871"/>
      <c r="AG1018" s="872"/>
      <c r="AH1018" s="872"/>
      <c r="AI1018" s="873"/>
      <c r="AJ1018" s="1172"/>
      <c r="AK1018" s="1173"/>
      <c r="AL1018" s="1173"/>
      <c r="AM1018" s="1173"/>
      <c r="AN1018" s="1173"/>
      <c r="AO1018" s="1173"/>
      <c r="AP1018" s="1173"/>
      <c r="AQ1018" s="11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53" t="s">
        <v>1992</v>
      </c>
      <c r="E1019" s="1154"/>
      <c r="F1019" s="1154"/>
      <c r="G1019" s="1154"/>
      <c r="H1019" s="1154"/>
      <c r="I1019" s="1154"/>
      <c r="J1019" s="1154"/>
      <c r="K1019" s="1154"/>
      <c r="L1019" s="1154"/>
      <c r="M1019" s="1154"/>
      <c r="N1019" s="1154"/>
      <c r="O1019" s="1154"/>
      <c r="P1019" s="1154"/>
      <c r="Q1019" s="1154"/>
      <c r="R1019" s="1154"/>
      <c r="S1019" s="1154"/>
      <c r="T1019" s="1154"/>
      <c r="U1019" s="1154"/>
      <c r="V1019" s="1154"/>
      <c r="W1019" s="1154"/>
      <c r="X1019" s="1154"/>
      <c r="Y1019" s="1154"/>
      <c r="Z1019" s="1154"/>
      <c r="AA1019" s="1154"/>
      <c r="AB1019" s="1154"/>
      <c r="AC1019" s="1154"/>
      <c r="AD1019" s="1154"/>
      <c r="AE1019" s="1155"/>
      <c r="AF1019" s="79"/>
      <c r="AG1019" s="1175" t="s">
        <v>482</v>
      </c>
      <c r="AH1019" s="1176"/>
      <c r="AI1019" s="83"/>
      <c r="AJ1019" s="1166">
        <f>ROUND(IF(AG1019="yes",(AJ975*0.1),0),0)</f>
        <v>0</v>
      </c>
      <c r="AK1019" s="1167"/>
      <c r="AL1019" s="1167"/>
      <c r="AM1019" s="1167"/>
      <c r="AN1019" s="1167"/>
      <c r="AO1019" s="1167"/>
      <c r="AP1019" s="1167"/>
      <c r="AQ1019" s="11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77"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78"/>
      <c r="AF1020" s="79"/>
      <c r="AG1020" s="21"/>
      <c r="AH1020" s="21"/>
      <c r="AI1020" s="83"/>
      <c r="AJ1020" s="1169"/>
      <c r="AK1020" s="1170"/>
      <c r="AL1020" s="1170"/>
      <c r="AM1020" s="1170"/>
      <c r="AN1020" s="1170"/>
      <c r="AO1020" s="1170"/>
      <c r="AP1020" s="1170"/>
      <c r="AQ1020" s="11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7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78"/>
      <c r="AF1021" s="79"/>
      <c r="AG1021" s="21"/>
      <c r="AH1021" s="21"/>
      <c r="AI1021" s="83"/>
      <c r="AJ1021" s="1169"/>
      <c r="AK1021" s="1170"/>
      <c r="AL1021" s="1170"/>
      <c r="AM1021" s="1170"/>
      <c r="AN1021" s="1170"/>
      <c r="AO1021" s="1170"/>
      <c r="AP1021" s="1170"/>
      <c r="AQ1021" s="117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7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78"/>
      <c r="AF1022" s="79"/>
      <c r="AG1022" s="21"/>
      <c r="AH1022" s="21"/>
      <c r="AI1022" s="83"/>
      <c r="AJ1022" s="1169"/>
      <c r="AK1022" s="1170"/>
      <c r="AL1022" s="1170"/>
      <c r="AM1022" s="1170"/>
      <c r="AN1022" s="1170"/>
      <c r="AO1022" s="1170"/>
      <c r="AP1022" s="1170"/>
      <c r="AQ1022" s="117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79"/>
      <c r="E1023" s="1180"/>
      <c r="F1023" s="1180"/>
      <c r="G1023" s="1180"/>
      <c r="H1023" s="1180"/>
      <c r="I1023" s="1180"/>
      <c r="J1023" s="1180"/>
      <c r="K1023" s="1180"/>
      <c r="L1023" s="1180"/>
      <c r="M1023" s="1180"/>
      <c r="N1023" s="1180"/>
      <c r="O1023" s="1180"/>
      <c r="P1023" s="1180"/>
      <c r="Q1023" s="1180"/>
      <c r="R1023" s="1180"/>
      <c r="S1023" s="1180"/>
      <c r="T1023" s="1180"/>
      <c r="U1023" s="1180"/>
      <c r="V1023" s="1180"/>
      <c r="W1023" s="1180"/>
      <c r="X1023" s="1180"/>
      <c r="Y1023" s="1180"/>
      <c r="Z1023" s="1180"/>
      <c r="AA1023" s="1180"/>
      <c r="AB1023" s="1180"/>
      <c r="AC1023" s="1180"/>
      <c r="AD1023" s="1180"/>
      <c r="AE1023" s="1181"/>
      <c r="AF1023" s="79"/>
      <c r="AG1023" s="21"/>
      <c r="AH1023" s="21"/>
      <c r="AI1023" s="83"/>
      <c r="AJ1023" s="1169"/>
      <c r="AK1023" s="1170"/>
      <c r="AL1023" s="1170"/>
      <c r="AM1023" s="1170"/>
      <c r="AN1023" s="1170"/>
      <c r="AO1023" s="1170"/>
      <c r="AP1023" s="1170"/>
      <c r="AQ1023" s="117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89" t="s">
        <v>1890</v>
      </c>
      <c r="E1024" s="1190"/>
      <c r="F1024" s="1190"/>
      <c r="G1024" s="1190"/>
      <c r="H1024" s="1190"/>
      <c r="I1024" s="1190"/>
      <c r="J1024" s="1190"/>
      <c r="K1024" s="1190"/>
      <c r="L1024" s="1190"/>
      <c r="M1024" s="1190"/>
      <c r="N1024" s="1190"/>
      <c r="O1024" s="1190"/>
      <c r="P1024" s="1190"/>
      <c r="Q1024" s="1190"/>
      <c r="R1024" s="1190"/>
      <c r="S1024" s="1190"/>
      <c r="T1024" s="1190"/>
      <c r="U1024" s="1190"/>
      <c r="V1024" s="1190"/>
      <c r="W1024" s="1190"/>
      <c r="X1024" s="1190"/>
      <c r="Y1024" s="1190"/>
      <c r="Z1024" s="1190"/>
      <c r="AA1024" s="1190"/>
      <c r="AB1024" s="1190"/>
      <c r="AC1024" s="1190"/>
      <c r="AD1024" s="1190"/>
      <c r="AE1024" s="1191"/>
      <c r="AF1024" s="82"/>
      <c r="AG1024" s="1156" t="s">
        <v>482</v>
      </c>
      <c r="AH1024" s="1157"/>
      <c r="AI1024" s="85"/>
      <c r="AJ1024" s="1166">
        <f>ROUND(IF(AG1024="yes",(AJ975*0.1),0),0)</f>
        <v>0</v>
      </c>
      <c r="AK1024" s="1167"/>
      <c r="AL1024" s="1167"/>
      <c r="AM1024" s="1167"/>
      <c r="AN1024" s="1167"/>
      <c r="AO1024" s="1167"/>
      <c r="AP1024" s="1167"/>
      <c r="AQ1024" s="116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82" t="s">
        <v>2198</v>
      </c>
      <c r="E1025" s="1183"/>
      <c r="F1025" s="1183"/>
      <c r="G1025" s="1183"/>
      <c r="H1025" s="1183"/>
      <c r="I1025" s="1183"/>
      <c r="J1025" s="1183"/>
      <c r="K1025" s="1183"/>
      <c r="L1025" s="1183"/>
      <c r="M1025" s="1183"/>
      <c r="N1025" s="1183"/>
      <c r="O1025" s="1183"/>
      <c r="P1025" s="1183"/>
      <c r="Q1025" s="1183"/>
      <c r="R1025" s="1183"/>
      <c r="S1025" s="1183"/>
      <c r="T1025" s="1183"/>
      <c r="U1025" s="1183"/>
      <c r="V1025" s="1183"/>
      <c r="W1025" s="1183"/>
      <c r="X1025" s="1183"/>
      <c r="Y1025" s="1183"/>
      <c r="Z1025" s="1183"/>
      <c r="AA1025" s="1183"/>
      <c r="AB1025" s="1183"/>
      <c r="AC1025" s="1183"/>
      <c r="AD1025" s="1183"/>
      <c r="AE1025" s="1184"/>
      <c r="AF1025" s="79"/>
      <c r="AG1025" s="21"/>
      <c r="AH1025" s="21"/>
      <c r="AI1025" s="83"/>
      <c r="AJ1025" s="1169"/>
      <c r="AK1025" s="1170"/>
      <c r="AL1025" s="1170"/>
      <c r="AM1025" s="1170"/>
      <c r="AN1025" s="1170"/>
      <c r="AO1025" s="1170"/>
      <c r="AP1025" s="1170"/>
      <c r="AQ1025" s="11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82"/>
      <c r="E1026" s="1183"/>
      <c r="F1026" s="1183"/>
      <c r="G1026" s="1183"/>
      <c r="H1026" s="1183"/>
      <c r="I1026" s="1183"/>
      <c r="J1026" s="1183"/>
      <c r="K1026" s="1183"/>
      <c r="L1026" s="1183"/>
      <c r="M1026" s="1183"/>
      <c r="N1026" s="1183"/>
      <c r="O1026" s="1183"/>
      <c r="P1026" s="1183"/>
      <c r="Q1026" s="1183"/>
      <c r="R1026" s="1183"/>
      <c r="S1026" s="1183"/>
      <c r="T1026" s="1183"/>
      <c r="U1026" s="1183"/>
      <c r="V1026" s="1183"/>
      <c r="W1026" s="1183"/>
      <c r="X1026" s="1183"/>
      <c r="Y1026" s="1183"/>
      <c r="Z1026" s="1183"/>
      <c r="AA1026" s="1183"/>
      <c r="AB1026" s="1183"/>
      <c r="AC1026" s="1183"/>
      <c r="AD1026" s="1183"/>
      <c r="AE1026" s="1184"/>
      <c r="AF1026" s="79"/>
      <c r="AG1026" s="21"/>
      <c r="AH1026" s="21"/>
      <c r="AI1026" s="83"/>
      <c r="AJ1026" s="1169"/>
      <c r="AK1026" s="1170"/>
      <c r="AL1026" s="1170"/>
      <c r="AM1026" s="1170"/>
      <c r="AN1026" s="1170"/>
      <c r="AO1026" s="1170"/>
      <c r="AP1026" s="1170"/>
      <c r="AQ1026" s="117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85"/>
      <c r="E1027" s="1186"/>
      <c r="F1027" s="1186"/>
      <c r="G1027" s="1186"/>
      <c r="H1027" s="1186"/>
      <c r="I1027" s="1186"/>
      <c r="J1027" s="1186"/>
      <c r="K1027" s="1186"/>
      <c r="L1027" s="1186"/>
      <c r="M1027" s="1186"/>
      <c r="N1027" s="1186"/>
      <c r="O1027" s="1186"/>
      <c r="P1027" s="1186"/>
      <c r="Q1027" s="1186"/>
      <c r="R1027" s="1186"/>
      <c r="S1027" s="1186"/>
      <c r="T1027" s="1186"/>
      <c r="U1027" s="1186"/>
      <c r="V1027" s="1186"/>
      <c r="W1027" s="1186"/>
      <c r="X1027" s="1186"/>
      <c r="Y1027" s="1186"/>
      <c r="Z1027" s="1186"/>
      <c r="AA1027" s="1186"/>
      <c r="AB1027" s="1186"/>
      <c r="AC1027" s="1186"/>
      <c r="AD1027" s="1186"/>
      <c r="AE1027" s="1187"/>
      <c r="AF1027" s="79"/>
      <c r="AG1027" s="21"/>
      <c r="AH1027" s="21"/>
      <c r="AI1027" s="83"/>
      <c r="AJ1027" s="1172"/>
      <c r="AK1027" s="1173"/>
      <c r="AL1027" s="1173"/>
      <c r="AM1027" s="1173"/>
      <c r="AN1027" s="1173"/>
      <c r="AO1027" s="1173"/>
      <c r="AP1027" s="1173"/>
      <c r="AQ1027" s="11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58" t="s">
        <v>748</v>
      </c>
      <c r="E1028" s="1558"/>
      <c r="F1028" s="1558"/>
      <c r="G1028" s="1558"/>
      <c r="H1028" s="1558"/>
      <c r="I1028" s="1558"/>
      <c r="J1028" s="1558"/>
      <c r="K1028" s="1558"/>
      <c r="L1028" s="1558"/>
      <c r="M1028" s="1558"/>
      <c r="N1028" s="1558"/>
      <c r="O1028" s="1558"/>
      <c r="P1028" s="1558"/>
      <c r="Q1028" s="1558"/>
      <c r="R1028" s="1558"/>
      <c r="S1028" s="1558"/>
      <c r="T1028" s="1558"/>
      <c r="U1028" s="1558"/>
      <c r="V1028" s="1558"/>
      <c r="W1028" s="1558"/>
      <c r="X1028" s="1558"/>
      <c r="Y1028" s="1558"/>
      <c r="Z1028" s="1558"/>
      <c r="AA1028" s="1558"/>
      <c r="AB1028" s="1558"/>
      <c r="AC1028" s="1558"/>
      <c r="AD1028" s="1558"/>
      <c r="AE1028" s="1558"/>
      <c r="AF1028" s="1558"/>
      <c r="AG1028" s="1558"/>
      <c r="AH1028" s="1558"/>
      <c r="AI1028" s="1559"/>
      <c r="AJ1028" s="1560">
        <f>SUM(AJ975:AQ1027)</f>
        <v>31401834</v>
      </c>
      <c r="AK1028" s="1561"/>
      <c r="AL1028" s="1561"/>
      <c r="AM1028" s="1561"/>
      <c r="AN1028" s="1561"/>
      <c r="AO1028" s="1561"/>
      <c r="AP1028" s="1561"/>
      <c r="AQ1028" s="156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396">
        <f ca="1">'Sources and Uses Budget'!S106+'Sources and Uses Budget'!T106</f>
        <v>37718066</v>
      </c>
      <c r="Y1032" s="1396"/>
      <c r="Z1032" s="1396"/>
      <c r="AA1032" s="1396"/>
      <c r="AB1032" s="1396"/>
      <c r="AC1032" s="139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2">
        <f ca="1">IFERROR(X1032/AJ1028,"")</f>
        <v>1.2011421371121189</v>
      </c>
      <c r="Y1033" s="1393"/>
      <c r="Z1033" s="1393"/>
      <c r="AA1033" s="1393"/>
      <c r="AB1033" s="1393"/>
      <c r="AC1033" s="139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90" t="str">
        <f ca="1">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0"/>
      <c r="F1034" s="1190"/>
      <c r="G1034" s="1190"/>
      <c r="H1034" s="1190"/>
      <c r="I1034" s="1190"/>
      <c r="J1034" s="1190"/>
      <c r="K1034" s="1190"/>
      <c r="L1034" s="1190"/>
      <c r="M1034" s="1190"/>
      <c r="N1034" s="1190"/>
      <c r="O1034" s="1190"/>
      <c r="P1034" s="1190"/>
      <c r="Q1034" s="1190"/>
      <c r="R1034" s="1190"/>
      <c r="S1034" s="1190"/>
      <c r="T1034" s="1190"/>
      <c r="U1034" s="1190"/>
      <c r="V1034" s="1190"/>
      <c r="W1034" s="1190"/>
      <c r="X1034" s="1190"/>
      <c r="Y1034" s="1190"/>
      <c r="Z1034" s="1190"/>
      <c r="AA1034" s="1190"/>
      <c r="AB1034" s="1190"/>
      <c r="AC1034" s="1190"/>
      <c r="AD1034" s="1190"/>
      <c r="AE1034" s="1190"/>
      <c r="AF1034" s="1190"/>
      <c r="AG1034" s="1190"/>
      <c r="AH1034" s="1190"/>
      <c r="AI1034" s="1190"/>
      <c r="AJ1034" s="1190"/>
      <c r="AK1034" s="119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90"/>
      <c r="E1035" s="1190"/>
      <c r="F1035" s="1190"/>
      <c r="G1035" s="1190"/>
      <c r="H1035" s="1190"/>
      <c r="I1035" s="1190"/>
      <c r="J1035" s="1190"/>
      <c r="K1035" s="1190"/>
      <c r="L1035" s="1190"/>
      <c r="M1035" s="1190"/>
      <c r="N1035" s="1190"/>
      <c r="O1035" s="1190"/>
      <c r="P1035" s="1190"/>
      <c r="Q1035" s="1190"/>
      <c r="R1035" s="1190"/>
      <c r="S1035" s="1190"/>
      <c r="T1035" s="1190"/>
      <c r="U1035" s="1190"/>
      <c r="V1035" s="1190"/>
      <c r="W1035" s="1190"/>
      <c r="X1035" s="1190"/>
      <c r="Y1035" s="1190"/>
      <c r="Z1035" s="1190"/>
      <c r="AA1035" s="1190"/>
      <c r="AB1035" s="1190"/>
      <c r="AC1035" s="1190"/>
      <c r="AD1035" s="1190"/>
      <c r="AE1035" s="1190"/>
      <c r="AF1035" s="1190"/>
      <c r="AG1035" s="1190"/>
      <c r="AH1035" s="1190"/>
      <c r="AI1035" s="1190"/>
      <c r="AJ1035" s="1190"/>
      <c r="AK1035" s="119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90"/>
      <c r="E1036" s="1190"/>
      <c r="F1036" s="1190"/>
      <c r="G1036" s="1190"/>
      <c r="H1036" s="1190"/>
      <c r="I1036" s="1190"/>
      <c r="J1036" s="1190"/>
      <c r="K1036" s="1190"/>
      <c r="L1036" s="1190"/>
      <c r="M1036" s="1190"/>
      <c r="N1036" s="1190"/>
      <c r="O1036" s="1190"/>
      <c r="P1036" s="1190"/>
      <c r="Q1036" s="1190"/>
      <c r="R1036" s="1190"/>
      <c r="S1036" s="1190"/>
      <c r="T1036" s="1190"/>
      <c r="U1036" s="1190"/>
      <c r="V1036" s="1190"/>
      <c r="W1036" s="1190"/>
      <c r="X1036" s="1190"/>
      <c r="Y1036" s="1190"/>
      <c r="Z1036" s="1190"/>
      <c r="AA1036" s="1190"/>
      <c r="AB1036" s="1190"/>
      <c r="AC1036" s="1190"/>
      <c r="AD1036" s="1190"/>
      <c r="AE1036" s="1190"/>
      <c r="AF1036" s="1190"/>
      <c r="AG1036" s="1190"/>
      <c r="AH1036" s="1190"/>
      <c r="AI1036" s="1190"/>
      <c r="AJ1036" s="1190"/>
      <c r="AK1036" s="119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95"/>
      <c r="C1039" s="1395"/>
      <c r="D1039" s="1395"/>
      <c r="E1039" s="1395"/>
      <c r="F1039" s="1395"/>
      <c r="G1039" s="1395"/>
      <c r="H1039" s="1395"/>
      <c r="I1039" s="1395"/>
      <c r="J1039" s="1395"/>
      <c r="K1039" s="1395"/>
      <c r="L1039" s="1395"/>
      <c r="M1039" s="1395"/>
      <c r="N1039" s="1395"/>
      <c r="O1039" s="1395"/>
      <c r="P1039" s="1395"/>
      <c r="Q1039" s="1395"/>
      <c r="R1039" s="1395"/>
      <c r="S1039" s="1395"/>
      <c r="T1039" s="1395"/>
      <c r="U1039" s="1395"/>
      <c r="V1039" s="1395"/>
      <c r="W1039" s="1395"/>
      <c r="X1039" s="1395"/>
      <c r="Y1039" s="1395"/>
      <c r="Z1039" s="1395"/>
      <c r="AA1039" s="1395"/>
      <c r="AB1039" s="1395"/>
      <c r="AC1039" s="1395"/>
      <c r="AD1039" s="1395"/>
      <c r="AE1039" s="1395"/>
      <c r="AF1039" s="1395"/>
      <c r="AG1039" s="1395"/>
      <c r="AH1039" s="1395"/>
      <c r="AI1039" s="1395"/>
      <c r="AJ1039" s="1395"/>
      <c r="AK1039" s="139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88" t="s">
        <v>989</v>
      </c>
      <c r="B1040" s="1188"/>
      <c r="C1040" s="1188"/>
      <c r="D1040" s="1188"/>
      <c r="E1040" s="1188"/>
      <c r="F1040" s="1188"/>
      <c r="G1040" s="1188"/>
      <c r="H1040" s="1188"/>
      <c r="I1040" s="1188"/>
      <c r="J1040" s="1188"/>
      <c r="K1040" s="1188"/>
      <c r="L1040" s="1188"/>
      <c r="M1040" s="1188"/>
      <c r="N1040" s="1188"/>
      <c r="O1040" s="1188"/>
      <c r="P1040" s="1188"/>
      <c r="Q1040" s="1188"/>
      <c r="R1040" s="1188"/>
      <c r="S1040" s="1188"/>
      <c r="T1040" s="1188"/>
      <c r="U1040" s="1188"/>
      <c r="V1040" s="1188"/>
      <c r="W1040" s="1188"/>
      <c r="X1040" s="1188"/>
      <c r="Y1040" s="1188"/>
      <c r="Z1040" s="1188"/>
      <c r="AA1040" s="1188"/>
      <c r="AB1040" s="1188"/>
      <c r="AC1040" s="1188"/>
      <c r="AD1040" s="1188"/>
      <c r="AE1040" s="1188"/>
      <c r="AF1040" s="1188"/>
      <c r="AG1040" s="1188"/>
      <c r="AH1040" s="1188"/>
      <c r="AI1040" s="1188"/>
      <c r="AJ1040" s="1188"/>
      <c r="AK1040" s="1188"/>
      <c r="AL1040" s="1188"/>
      <c r="AM1040" s="1188"/>
      <c r="AN1040" s="1188"/>
      <c r="AO1040" s="1188"/>
      <c r="AP1040" s="1188"/>
      <c r="AQ1040" s="1188"/>
      <c r="AR1040" s="1188"/>
      <c r="AS1040" s="1188"/>
      <c r="AT1040" s="118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41" t="s">
        <v>124</v>
      </c>
      <c r="B1044" s="1141"/>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41" t="s">
        <v>124</v>
      </c>
      <c r="B1046" s="1141"/>
      <c r="C1046" s="1">
        <v>2</v>
      </c>
      <c r="D1046" s="1543" t="s">
        <v>2309</v>
      </c>
      <c r="E1046" s="1543"/>
      <c r="F1046" s="1543"/>
      <c r="G1046" s="1543"/>
      <c r="H1046" s="1543"/>
      <c r="I1046" s="1543"/>
      <c r="J1046" s="1543"/>
      <c r="K1046" s="1543"/>
      <c r="L1046" s="1543"/>
      <c r="M1046" s="1543"/>
      <c r="N1046" s="1543"/>
      <c r="O1046" s="1543"/>
      <c r="P1046" s="1543"/>
      <c r="Q1046" s="1543"/>
      <c r="R1046" s="1543"/>
      <c r="S1046" s="1543"/>
      <c r="T1046" s="1543"/>
      <c r="U1046" s="1543"/>
      <c r="V1046" s="1543"/>
      <c r="W1046" s="1543"/>
      <c r="X1046" s="1543"/>
      <c r="Y1046" s="1543"/>
      <c r="Z1046" s="1543"/>
      <c r="AA1046" s="1543"/>
      <c r="AB1046" s="1543"/>
      <c r="AC1046" s="1543"/>
      <c r="AD1046" s="1543"/>
      <c r="AE1046" s="1543"/>
      <c r="AF1046" s="1543"/>
      <c r="AG1046" s="1543"/>
      <c r="AH1046" s="1543"/>
      <c r="AI1046" s="1543"/>
      <c r="AJ1046" s="1543"/>
      <c r="AK1046" s="1543"/>
      <c r="AL1046" s="1543"/>
      <c r="AM1046" s="1543"/>
      <c r="AN1046" s="1543"/>
      <c r="AO1046" s="1543"/>
      <c r="AP1046" s="154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43"/>
      <c r="E1047" s="1543"/>
      <c r="F1047" s="1543"/>
      <c r="G1047" s="1543"/>
      <c r="H1047" s="1543"/>
      <c r="I1047" s="1543"/>
      <c r="J1047" s="1543"/>
      <c r="K1047" s="1543"/>
      <c r="L1047" s="1543"/>
      <c r="M1047" s="1543"/>
      <c r="N1047" s="1543"/>
      <c r="O1047" s="1543"/>
      <c r="P1047" s="1543"/>
      <c r="Q1047" s="1543"/>
      <c r="R1047" s="1543"/>
      <c r="S1047" s="1543"/>
      <c r="T1047" s="1543"/>
      <c r="U1047" s="1543"/>
      <c r="V1047" s="1543"/>
      <c r="W1047" s="1543"/>
      <c r="X1047" s="1543"/>
      <c r="Y1047" s="1543"/>
      <c r="Z1047" s="1543"/>
      <c r="AA1047" s="1543"/>
      <c r="AB1047" s="1543"/>
      <c r="AC1047" s="1543"/>
      <c r="AD1047" s="1543"/>
      <c r="AE1047" s="1543"/>
      <c r="AF1047" s="1543"/>
      <c r="AG1047" s="1543"/>
      <c r="AH1047" s="1543"/>
      <c r="AI1047" s="1543"/>
      <c r="AJ1047" s="1543"/>
      <c r="AK1047" s="1543"/>
      <c r="AL1047" s="1543"/>
      <c r="AM1047" s="1543"/>
      <c r="AN1047" s="1543"/>
      <c r="AO1047" s="1543"/>
      <c r="AP1047" s="154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41" t="s">
        <v>124</v>
      </c>
      <c r="B1049" s="1141"/>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41" t="s">
        <v>124</v>
      </c>
      <c r="B1054" s="1141"/>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41" t="s">
        <v>124</v>
      </c>
      <c r="B1059" s="1141"/>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41" t="s">
        <v>124</v>
      </c>
      <c r="B1063" s="1141"/>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41" t="s">
        <v>124</v>
      </c>
      <c r="B1067" s="1141"/>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41" t="s">
        <v>124</v>
      </c>
      <c r="B1071" s="1141"/>
      <c r="C1071" s="964">
        <v>8</v>
      </c>
      <c r="D1071" s="1591" t="s">
        <v>1517</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19" t="s">
        <v>124</v>
      </c>
      <c r="B1074" s="1519"/>
      <c r="C1074" s="964">
        <v>9</v>
      </c>
      <c r="D1074" s="1591" t="s">
        <v>1519</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4"/>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19" t="s">
        <v>124</v>
      </c>
      <c r="B1078" s="1519"/>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19" t="s">
        <v>124</v>
      </c>
      <c r="B1082" s="1519"/>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AA267:AK267"/>
    <mergeCell ref="AA316:AK316"/>
    <mergeCell ref="H306:R306"/>
    <mergeCell ref="H289:R289"/>
    <mergeCell ref="M262:AE262"/>
    <mergeCell ref="AA293:AF293"/>
    <mergeCell ref="M267:T267"/>
    <mergeCell ref="AA301:AF301"/>
    <mergeCell ref="AA307:AK307"/>
    <mergeCell ref="AA300:AK300"/>
    <mergeCell ref="H297:R297"/>
    <mergeCell ref="P301:R301"/>
    <mergeCell ref="H293:M293"/>
    <mergeCell ref="H310:M310"/>
    <mergeCell ref="BE632:BF632"/>
    <mergeCell ref="BG632:BH632"/>
    <mergeCell ref="BI632:BJ632"/>
    <mergeCell ref="BK632:BL632"/>
    <mergeCell ref="AG402:AJ402"/>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H736:AL736"/>
    <mergeCell ref="BE633:BF633"/>
    <mergeCell ref="BG633:BH633"/>
    <mergeCell ref="BI633:BJ633"/>
    <mergeCell ref="BK633:BL633"/>
    <mergeCell ref="BG630:BH630"/>
    <mergeCell ref="BI630:BJ630"/>
    <mergeCell ref="BK630:BL630"/>
    <mergeCell ref="BE631:BF631"/>
    <mergeCell ref="BG631:BH631"/>
    <mergeCell ref="AM733:AO733"/>
    <mergeCell ref="B731:F731"/>
    <mergeCell ref="G731:J731"/>
    <mergeCell ref="K731:N7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CS628:CW628"/>
    <mergeCell ref="BS630:BW630"/>
    <mergeCell ref="BI631:BJ631"/>
    <mergeCell ref="BK631:BL631"/>
    <mergeCell ref="CS627:CW627"/>
    <mergeCell ref="CX627:DB627"/>
    <mergeCell ref="DC627:DG627"/>
    <mergeCell ref="DH627:DL627"/>
    <mergeCell ref="DM627:DQ627"/>
    <mergeCell ref="DR627:DV627"/>
    <mergeCell ref="CS632:CW632"/>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BN632:BR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N633:BR633"/>
    <mergeCell ref="BS633:BW633"/>
    <mergeCell ref="BX633:CB633"/>
    <mergeCell ref="CC633:CG633"/>
    <mergeCell ref="CH633:CL633"/>
    <mergeCell ref="CM633:CQ633"/>
    <mergeCell ref="AM736:AO736"/>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K728:N728"/>
    <mergeCell ref="O728:S728"/>
    <mergeCell ref="T728:X728"/>
    <mergeCell ref="Y728:AB728"/>
    <mergeCell ref="O731:S731"/>
    <mergeCell ref="T731:X731"/>
    <mergeCell ref="Y731:AB731"/>
    <mergeCell ref="AC731:AG731"/>
    <mergeCell ref="AM734:AO734"/>
    <mergeCell ref="B734:F734"/>
    <mergeCell ref="G734:J734"/>
    <mergeCell ref="K734:N734"/>
    <mergeCell ref="O734:S734"/>
    <mergeCell ref="B735:F735"/>
    <mergeCell ref="G735:J735"/>
    <mergeCell ref="K735:N735"/>
    <mergeCell ref="O735:S735"/>
    <mergeCell ref="T735:X735"/>
    <mergeCell ref="Y735:AB735"/>
    <mergeCell ref="AC735:AG735"/>
    <mergeCell ref="AH735:AL735"/>
    <mergeCell ref="AM735:AO735"/>
    <mergeCell ref="AC734:AG734"/>
    <mergeCell ref="AH734:AL734"/>
    <mergeCell ref="AM731:AO731"/>
    <mergeCell ref="B732:F732"/>
    <mergeCell ref="G732:J732"/>
    <mergeCell ref="K732:N732"/>
    <mergeCell ref="O732:S732"/>
    <mergeCell ref="T732:X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AM727:AO727"/>
    <mergeCell ref="B626:L628"/>
    <mergeCell ref="AA690:AK690"/>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J386:U386"/>
    <mergeCell ref="J388:U388"/>
    <mergeCell ref="AC388:AJ388"/>
    <mergeCell ref="Q390:U390"/>
    <mergeCell ref="P350:U350"/>
    <mergeCell ref="P351:Z351"/>
    <mergeCell ref="J387:U387"/>
    <mergeCell ref="D454:AJ454"/>
    <mergeCell ref="W474:Y474"/>
    <mergeCell ref="W470:Y470"/>
    <mergeCell ref="D469:V469"/>
    <mergeCell ref="AC521:AF521"/>
    <mergeCell ref="AH511:AK511"/>
    <mergeCell ref="AH510:AK510"/>
    <mergeCell ref="AC512:AF512"/>
    <mergeCell ref="B517:H519"/>
    <mergeCell ref="AC510:AF510"/>
    <mergeCell ref="B505:H506"/>
    <mergeCell ref="B507:H516"/>
    <mergeCell ref="AC518:AF518"/>
    <mergeCell ref="D472:V472"/>
    <mergeCell ref="W475:Y475"/>
    <mergeCell ref="D475:V475"/>
    <mergeCell ref="AG450:AJ450"/>
    <mergeCell ref="AH512:AK512"/>
    <mergeCell ref="AC504:AF504"/>
    <mergeCell ref="S493:AK494"/>
    <mergeCell ref="Q495:AK495"/>
    <mergeCell ref="AG451:AJ451"/>
    <mergeCell ref="K405:AJ405"/>
    <mergeCell ref="AG392:AJ392"/>
    <mergeCell ref="AG395:AJ395"/>
    <mergeCell ref="AG442:AJ442"/>
    <mergeCell ref="L512:AB512"/>
    <mergeCell ref="J389:U389"/>
    <mergeCell ref="V389:AJ389"/>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N374:AF375"/>
    <mergeCell ref="P348:Z348"/>
    <mergeCell ref="P349:U349"/>
    <mergeCell ref="X349:Z349"/>
    <mergeCell ref="AA340:AK340"/>
    <mergeCell ref="AA321:AK321"/>
    <mergeCell ref="H319:R319"/>
    <mergeCell ref="AA311:AK311"/>
    <mergeCell ref="B976:AE976"/>
    <mergeCell ref="A1054:B1054"/>
    <mergeCell ref="A1063:B1063"/>
    <mergeCell ref="A1049:B1049"/>
    <mergeCell ref="M956:S956"/>
    <mergeCell ref="AC814:AF814"/>
    <mergeCell ref="U900:Z902"/>
    <mergeCell ref="AG817:AJ817"/>
    <mergeCell ref="AE945:AK945"/>
    <mergeCell ref="W849:AC849"/>
    <mergeCell ref="M957:S957"/>
    <mergeCell ref="M953:S953"/>
    <mergeCell ref="M817:P817"/>
    <mergeCell ref="AC816:AF816"/>
    <mergeCell ref="C814:H814"/>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D1046:AP1047"/>
    <mergeCell ref="U918:Z918"/>
    <mergeCell ref="W866:AC866"/>
    <mergeCell ref="U904:Z904"/>
    <mergeCell ref="U819:X819"/>
    <mergeCell ref="Z796:AE796"/>
    <mergeCell ref="Y787:AC787"/>
    <mergeCell ref="P803:Y803"/>
    <mergeCell ref="Y816:AB816"/>
    <mergeCell ref="Y788:AC788"/>
    <mergeCell ref="U810:X811"/>
    <mergeCell ref="J766:K766"/>
    <mergeCell ref="J777:N777"/>
    <mergeCell ref="AB974:AI974"/>
    <mergeCell ref="AJ974:AQ974"/>
    <mergeCell ref="B975:AI975"/>
    <mergeCell ref="M951:S951"/>
    <mergeCell ref="M955:S955"/>
    <mergeCell ref="AA954:AG954"/>
    <mergeCell ref="M954:S954"/>
    <mergeCell ref="AA952:AG952"/>
    <mergeCell ref="AB972:AI972"/>
    <mergeCell ref="D994:AE994"/>
    <mergeCell ref="AG994:AH994"/>
    <mergeCell ref="AJ994:AQ995"/>
    <mergeCell ref="AJ977:AQ983"/>
    <mergeCell ref="D983:AE983"/>
    <mergeCell ref="AE941:AK941"/>
    <mergeCell ref="O778:S778"/>
    <mergeCell ref="O782:S782"/>
    <mergeCell ref="J782:N782"/>
    <mergeCell ref="AA956:AG956"/>
    <mergeCell ref="AC810:AF811"/>
    <mergeCell ref="J770:N773"/>
    <mergeCell ref="F913:T913"/>
    <mergeCell ref="U913:Z913"/>
    <mergeCell ref="AA913:AF913"/>
    <mergeCell ref="F909:T909"/>
    <mergeCell ref="F908:T908"/>
    <mergeCell ref="F910:T910"/>
    <mergeCell ref="T845:V845"/>
    <mergeCell ref="W859:AC859"/>
    <mergeCell ref="AC818:AF818"/>
    <mergeCell ref="C816:H816"/>
    <mergeCell ref="Q817:T817"/>
    <mergeCell ref="U816:X816"/>
    <mergeCell ref="AC777:AG777"/>
    <mergeCell ref="A895:AT896"/>
    <mergeCell ref="M819:P819"/>
    <mergeCell ref="W846:AC846"/>
    <mergeCell ref="Z805:AE805"/>
    <mergeCell ref="U813:X813"/>
    <mergeCell ref="AC813:AF813"/>
    <mergeCell ref="Y813:AB813"/>
    <mergeCell ref="AG816:AJ816"/>
    <mergeCell ref="U815:X815"/>
    <mergeCell ref="AG812:AJ812"/>
    <mergeCell ref="AC882:AH882"/>
    <mergeCell ref="F818:L818"/>
    <mergeCell ref="AC817:AF817"/>
    <mergeCell ref="W842:AC842"/>
    <mergeCell ref="AC874:AH874"/>
    <mergeCell ref="AC876:AH876"/>
    <mergeCell ref="A1074:B1074"/>
    <mergeCell ref="A1071:B1071"/>
    <mergeCell ref="A1044:B1044"/>
    <mergeCell ref="D1034:AK1036"/>
    <mergeCell ref="A1067:B1067"/>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AF1004:AI1005"/>
    <mergeCell ref="AF1006:AI1007"/>
    <mergeCell ref="AF1010:AI1011"/>
    <mergeCell ref="AF1009:AI1009"/>
    <mergeCell ref="O958:P958"/>
    <mergeCell ref="U926:Z926"/>
    <mergeCell ref="F901:T902"/>
    <mergeCell ref="F900:T900"/>
    <mergeCell ref="M810:P811"/>
    <mergeCell ref="Q810:T811"/>
    <mergeCell ref="AC812:AF812"/>
    <mergeCell ref="Z804:AE804"/>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Z885:AE885"/>
    <mergeCell ref="AA903:AF903"/>
    <mergeCell ref="AC881:AH881"/>
    <mergeCell ref="AN883:AO883"/>
    <mergeCell ref="O737:S737"/>
    <mergeCell ref="O741:R741"/>
    <mergeCell ref="B728:F728"/>
    <mergeCell ref="O756:S759"/>
    <mergeCell ref="B737:F737"/>
    <mergeCell ref="X763:AB763"/>
    <mergeCell ref="Y734:AB734"/>
    <mergeCell ref="G722:J722"/>
    <mergeCell ref="G714:J714"/>
    <mergeCell ref="Y810:AB811"/>
    <mergeCell ref="Z803:AE803"/>
    <mergeCell ref="G719:J719"/>
    <mergeCell ref="C739:AH740"/>
    <mergeCell ref="U812:X812"/>
    <mergeCell ref="C812:H812"/>
    <mergeCell ref="C813:H813"/>
    <mergeCell ref="T727:X727"/>
    <mergeCell ref="Y727:AB727"/>
    <mergeCell ref="AC727:AG727"/>
    <mergeCell ref="AH727:AL727"/>
    <mergeCell ref="B727:F727"/>
    <mergeCell ref="O727:S727"/>
    <mergeCell ref="AG813:AJ813"/>
    <mergeCell ref="Y812:AB812"/>
    <mergeCell ref="O760:S760"/>
    <mergeCell ref="K737:N737"/>
    <mergeCell ref="Y732:AB732"/>
    <mergeCell ref="O774:S774"/>
    <mergeCell ref="J775:N775"/>
    <mergeCell ref="B733:F733"/>
    <mergeCell ref="G733:J733"/>
    <mergeCell ref="O764:S764"/>
    <mergeCell ref="M630:P630"/>
    <mergeCell ref="AK630:AN630"/>
    <mergeCell ref="AK626:AN628"/>
    <mergeCell ref="M634:P634"/>
    <mergeCell ref="M635:P635"/>
    <mergeCell ref="W635:Y635"/>
    <mergeCell ref="W632:Y632"/>
    <mergeCell ref="AO629:AS629"/>
    <mergeCell ref="M633:P633"/>
    <mergeCell ref="AK632:AN632"/>
    <mergeCell ref="H584:R584"/>
    <mergeCell ref="AC635:AE635"/>
    <mergeCell ref="W639:Y639"/>
    <mergeCell ref="G706:J706"/>
    <mergeCell ref="T640:V640"/>
    <mergeCell ref="B725:F725"/>
    <mergeCell ref="W637:Y637"/>
    <mergeCell ref="H658:R658"/>
    <mergeCell ref="B703:F703"/>
    <mergeCell ref="AO640:AS640"/>
    <mergeCell ref="G708:J708"/>
    <mergeCell ref="B714:F714"/>
    <mergeCell ref="G713:J713"/>
    <mergeCell ref="G711:J711"/>
    <mergeCell ref="M631:P631"/>
    <mergeCell ref="T631:V631"/>
    <mergeCell ref="T632:V632"/>
    <mergeCell ref="M632:P632"/>
    <mergeCell ref="AO631:AS631"/>
    <mergeCell ref="AO632:AS632"/>
    <mergeCell ref="Q631:S631"/>
    <mergeCell ref="K736:N736"/>
    <mergeCell ref="O736:S736"/>
    <mergeCell ref="T736:X736"/>
    <mergeCell ref="Y736:AB736"/>
    <mergeCell ref="AC736:AG736"/>
    <mergeCell ref="B738:F738"/>
    <mergeCell ref="O775:S775"/>
    <mergeCell ref="T775:W775"/>
    <mergeCell ref="X775:AB775"/>
    <mergeCell ref="AC775:AG775"/>
    <mergeCell ref="T776:W776"/>
    <mergeCell ref="J774:N774"/>
    <mergeCell ref="O777:S777"/>
    <mergeCell ref="T778:W778"/>
    <mergeCell ref="X778:AB778"/>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Z435:AA435"/>
    <mergeCell ref="B523:H545"/>
    <mergeCell ref="G715:J715"/>
    <mergeCell ref="G718:J718"/>
    <mergeCell ref="AC778:AG778"/>
    <mergeCell ref="T779:W779"/>
    <mergeCell ref="X779:AB779"/>
    <mergeCell ref="AC779:AG779"/>
    <mergeCell ref="B745:AL746"/>
    <mergeCell ref="B715:F715"/>
    <mergeCell ref="B709:F709"/>
    <mergeCell ref="B713:F713"/>
    <mergeCell ref="O523:AA523"/>
    <mergeCell ref="AH523:AK523"/>
    <mergeCell ref="AH525:AK525"/>
    <mergeCell ref="AC505:AF505"/>
    <mergeCell ref="B554:L556"/>
    <mergeCell ref="C558:L558"/>
    <mergeCell ref="M558:P558"/>
    <mergeCell ref="W631:Y631"/>
    <mergeCell ref="G724:J724"/>
    <mergeCell ref="K733:N733"/>
    <mergeCell ref="O733:S733"/>
    <mergeCell ref="J763:N763"/>
    <mergeCell ref="T733:X733"/>
    <mergeCell ref="Y733:AB733"/>
    <mergeCell ref="AC733:AG733"/>
    <mergeCell ref="AH733:AL733"/>
    <mergeCell ref="B736:F736"/>
    <mergeCell ref="AF638:AJ638"/>
    <mergeCell ref="AK638:AN638"/>
    <mergeCell ref="G736:J736"/>
    <mergeCell ref="AA314:AK314"/>
    <mergeCell ref="AP884:AS884"/>
    <mergeCell ref="E872:AB872"/>
    <mergeCell ref="AA934:AF934"/>
    <mergeCell ref="U907:Z907"/>
    <mergeCell ref="AC880:AH880"/>
    <mergeCell ref="I934:T934"/>
    <mergeCell ref="AA932:AF932"/>
    <mergeCell ref="I931:T931"/>
    <mergeCell ref="U929:Z929"/>
    <mergeCell ref="AA929:AF929"/>
    <mergeCell ref="I932:T932"/>
    <mergeCell ref="U921:Z921"/>
    <mergeCell ref="AA927:AF927"/>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G648:R648"/>
    <mergeCell ref="V378:W378"/>
    <mergeCell ref="B719:F719"/>
    <mergeCell ref="B721:F721"/>
    <mergeCell ref="AG741:AJ741"/>
    <mergeCell ref="P317:R317"/>
    <mergeCell ref="H302:M302"/>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T269:X269"/>
    <mergeCell ref="AC263:AE263"/>
    <mergeCell ref="M258:AE258"/>
    <mergeCell ref="Y280:AD280"/>
    <mergeCell ref="M261:AE261"/>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AA306:AK306"/>
    <mergeCell ref="M265:R265"/>
    <mergeCell ref="L282:AD282"/>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AI301:AK301"/>
    <mergeCell ref="L277:AD277"/>
    <mergeCell ref="W255:X255"/>
    <mergeCell ref="Y180:Z180"/>
    <mergeCell ref="W198:X198"/>
    <mergeCell ref="AC219:AM219"/>
    <mergeCell ref="I184:AE184"/>
    <mergeCell ref="M251:T251"/>
    <mergeCell ref="D208:M208"/>
    <mergeCell ref="M245:AE245"/>
    <mergeCell ref="T193:U193"/>
    <mergeCell ref="M253:AE253"/>
    <mergeCell ref="R199:AB199"/>
    <mergeCell ref="U249:W249"/>
    <mergeCell ref="M249:R249"/>
    <mergeCell ref="AA251:AK251"/>
    <mergeCell ref="AK196:AL196"/>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AF253:AK253"/>
    <mergeCell ref="AC255:AE255"/>
    <mergeCell ref="M256:AE256"/>
    <mergeCell ref="O164:AH164"/>
    <mergeCell ref="O163:T163"/>
    <mergeCell ref="O157:AH157"/>
    <mergeCell ref="U175:V175"/>
    <mergeCell ref="U176:V17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M263:T263"/>
    <mergeCell ref="D272:H272"/>
    <mergeCell ref="H305:R305"/>
    <mergeCell ref="AA313:AK313"/>
    <mergeCell ref="H311:R311"/>
    <mergeCell ref="H317:M317"/>
    <mergeCell ref="AA291:AK291"/>
    <mergeCell ref="H291:R291"/>
    <mergeCell ref="AA290:AK290"/>
    <mergeCell ref="AG378:AH378"/>
    <mergeCell ref="AA309:AF309"/>
    <mergeCell ref="AA294:AF294"/>
    <mergeCell ref="AA310:AF310"/>
    <mergeCell ref="Z265:AE265"/>
    <mergeCell ref="AA297:AK29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O707:S707"/>
    <mergeCell ref="K703:N703"/>
    <mergeCell ref="O703:S703"/>
    <mergeCell ref="F912:T912"/>
    <mergeCell ref="U912:Z912"/>
    <mergeCell ref="AA912:AF912"/>
    <mergeCell ref="AO633:AS633"/>
    <mergeCell ref="W633:Y633"/>
    <mergeCell ref="W634:Y634"/>
    <mergeCell ref="AH729:AL729"/>
    <mergeCell ref="W640:Y640"/>
    <mergeCell ref="Q636:S636"/>
    <mergeCell ref="Q637:S637"/>
    <mergeCell ref="Q638:S638"/>
    <mergeCell ref="T634:V634"/>
    <mergeCell ref="AC640:AE640"/>
    <mergeCell ref="AF640:AJ640"/>
    <mergeCell ref="C637:L637"/>
    <mergeCell ref="AC704:AG704"/>
    <mergeCell ref="AH731:AL731"/>
    <mergeCell ref="T734:X734"/>
    <mergeCell ref="G738:J738"/>
    <mergeCell ref="AG810:AJ811"/>
    <mergeCell ref="T714:X714"/>
    <mergeCell ref="Y714:AB714"/>
    <mergeCell ref="AC714:AG714"/>
    <mergeCell ref="B720:F720"/>
    <mergeCell ref="T633:V633"/>
    <mergeCell ref="Q634:S634"/>
    <mergeCell ref="Q635:S635"/>
    <mergeCell ref="AM714:AO714"/>
    <mergeCell ref="G737:J737"/>
    <mergeCell ref="Q632:S632"/>
    <mergeCell ref="Z637:AB637"/>
    <mergeCell ref="Z638:AB638"/>
    <mergeCell ref="T635:V635"/>
    <mergeCell ref="T636:V636"/>
    <mergeCell ref="AO638:AS638"/>
    <mergeCell ref="AO639:AS639"/>
    <mergeCell ref="T637:V637"/>
    <mergeCell ref="Z633:AB633"/>
    <mergeCell ref="Z634:AB634"/>
    <mergeCell ref="Z635:AB635"/>
    <mergeCell ref="AC634:AE634"/>
    <mergeCell ref="AF634:AJ634"/>
    <mergeCell ref="Z636:AB636"/>
    <mergeCell ref="W636:Y636"/>
    <mergeCell ref="AO634:AS634"/>
    <mergeCell ref="Q633:S633"/>
    <mergeCell ref="AO636:AS636"/>
    <mergeCell ref="AC637:AE637"/>
    <mergeCell ref="AF637:AJ637"/>
    <mergeCell ref="AK637:AN637"/>
    <mergeCell ref="AO637:AS637"/>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Y703:AB703"/>
    <mergeCell ref="AC703:AG703"/>
    <mergeCell ref="B708:F708"/>
    <mergeCell ref="AH707:AL707"/>
    <mergeCell ref="AH708:AL708"/>
    <mergeCell ref="AH716:AL716"/>
    <mergeCell ref="AG814:AJ814"/>
    <mergeCell ref="O763:S763"/>
    <mergeCell ref="B723:F723"/>
    <mergeCell ref="X781:AB781"/>
    <mergeCell ref="J776:N776"/>
    <mergeCell ref="AM713:AO713"/>
    <mergeCell ref="AC709:AG709"/>
    <mergeCell ref="Y730:AB730"/>
    <mergeCell ref="AC728:AG728"/>
    <mergeCell ref="AH728:AL728"/>
    <mergeCell ref="AM728:AO728"/>
    <mergeCell ref="Y704:AB704"/>
    <mergeCell ref="AH709:AL709"/>
    <mergeCell ref="D995:AE995"/>
    <mergeCell ref="W629:Y629"/>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C639:L639"/>
    <mergeCell ref="C640:L640"/>
    <mergeCell ref="Z639:AB639"/>
    <mergeCell ref="Z640:AB640"/>
    <mergeCell ref="M639:P639"/>
    <mergeCell ref="M640:P640"/>
    <mergeCell ref="Q639:S639"/>
    <mergeCell ref="Q640:S640"/>
    <mergeCell ref="Z647:AK647"/>
    <mergeCell ref="B643:AN643"/>
    <mergeCell ref="AC781:AG781"/>
    <mergeCell ref="Z793:AE793"/>
    <mergeCell ref="T783:W783"/>
    <mergeCell ref="O761:S761"/>
    <mergeCell ref="J760:N760"/>
    <mergeCell ref="G726:J726"/>
    <mergeCell ref="J762:N762"/>
    <mergeCell ref="Q630:S630"/>
    <mergeCell ref="AK633:AN633"/>
    <mergeCell ref="AC633:AE633"/>
    <mergeCell ref="AF633:AJ633"/>
    <mergeCell ref="Z631:AB631"/>
    <mergeCell ref="Z632:AB632"/>
    <mergeCell ref="T639:V639"/>
    <mergeCell ref="AO630:AS630"/>
    <mergeCell ref="D982:AE982"/>
    <mergeCell ref="D973:Q973"/>
    <mergeCell ref="R973:AA973"/>
    <mergeCell ref="AB973:AI973"/>
    <mergeCell ref="AJ973:AQ973"/>
    <mergeCell ref="R970:AA970"/>
    <mergeCell ref="AB970:AI970"/>
    <mergeCell ref="AJ970:AQ970"/>
    <mergeCell ref="D971:Q971"/>
    <mergeCell ref="R971:AA971"/>
    <mergeCell ref="AB971:AI971"/>
    <mergeCell ref="AJ975:AQ975"/>
    <mergeCell ref="AJ971:AQ971"/>
    <mergeCell ref="AC639:AE639"/>
    <mergeCell ref="AF639:AJ639"/>
    <mergeCell ref="AK639:AN639"/>
    <mergeCell ref="B641:AN641"/>
    <mergeCell ref="G647:R647"/>
    <mergeCell ref="G712:J712"/>
    <mergeCell ref="M636:P636"/>
    <mergeCell ref="M637:P637"/>
    <mergeCell ref="W630:Y630"/>
    <mergeCell ref="AH706:AL706"/>
    <mergeCell ref="C636:L636"/>
    <mergeCell ref="G614:R614"/>
    <mergeCell ref="Z613:AK613"/>
    <mergeCell ref="AO626:AS628"/>
    <mergeCell ref="Z607:AE607"/>
    <mergeCell ref="P575:R575"/>
    <mergeCell ref="Z581:AK581"/>
    <mergeCell ref="G604:R604"/>
    <mergeCell ref="P607:R607"/>
    <mergeCell ref="G615:L615"/>
    <mergeCell ref="H608:R608"/>
    <mergeCell ref="G599:L599"/>
    <mergeCell ref="Z615:AE615"/>
    <mergeCell ref="AF632:AJ632"/>
    <mergeCell ref="AC626:AE628"/>
    <mergeCell ref="AF626:AJ628"/>
    <mergeCell ref="AC630:AE630"/>
    <mergeCell ref="AF630:AJ630"/>
    <mergeCell ref="AK629:AN629"/>
    <mergeCell ref="T626:V628"/>
    <mergeCell ref="AC629:AE629"/>
    <mergeCell ref="AF629:AJ629"/>
    <mergeCell ref="Z626:AB628"/>
    <mergeCell ref="Z629:AB629"/>
    <mergeCell ref="Z630:AB630"/>
    <mergeCell ref="W626:Y628"/>
    <mergeCell ref="Q626:S628"/>
    <mergeCell ref="P615:R615"/>
    <mergeCell ref="AC631:AE631"/>
    <mergeCell ref="AF631:AJ631"/>
    <mergeCell ref="AK631:AN631"/>
    <mergeCell ref="AC632:AE632"/>
    <mergeCell ref="Q629:S629"/>
    <mergeCell ref="C564:L564"/>
    <mergeCell ref="M564:P564"/>
    <mergeCell ref="P599:R599"/>
    <mergeCell ref="AI568:AL568"/>
    <mergeCell ref="W563:Y563"/>
    <mergeCell ref="AE568:AH568"/>
    <mergeCell ref="G596:R596"/>
    <mergeCell ref="AA592:AK592"/>
    <mergeCell ref="Z598:AK598"/>
    <mergeCell ref="G591:L591"/>
    <mergeCell ref="P591:R591"/>
    <mergeCell ref="AK634:AN634"/>
    <mergeCell ref="T629:V629"/>
    <mergeCell ref="T630:V630"/>
    <mergeCell ref="Z580:AK580"/>
    <mergeCell ref="G572:R572"/>
    <mergeCell ref="G571:R571"/>
    <mergeCell ref="P583:R583"/>
    <mergeCell ref="G575:L575"/>
    <mergeCell ref="G597:R597"/>
    <mergeCell ref="G595:R595"/>
    <mergeCell ref="G607:L607"/>
    <mergeCell ref="G612:R612"/>
    <mergeCell ref="Z596:AK596"/>
    <mergeCell ref="Z590:AK590"/>
    <mergeCell ref="G589:R589"/>
    <mergeCell ref="G603:R603"/>
    <mergeCell ref="AA584:AK584"/>
    <mergeCell ref="N617:O617"/>
    <mergeCell ref="A619:AT620"/>
    <mergeCell ref="AA608:AK608"/>
    <mergeCell ref="G613:R613"/>
    <mergeCell ref="G611:R611"/>
    <mergeCell ref="Z572:AK572"/>
    <mergeCell ref="G587:R587"/>
    <mergeCell ref="N609:O609"/>
    <mergeCell ref="AI591:AK591"/>
    <mergeCell ref="AG593:AH593"/>
    <mergeCell ref="Z605:AK605"/>
    <mergeCell ref="AA600:AK600"/>
    <mergeCell ref="AG601:AH601"/>
    <mergeCell ref="Q568:S568"/>
    <mergeCell ref="C565:L565"/>
    <mergeCell ref="Z571:AK571"/>
    <mergeCell ref="Z597:AK597"/>
    <mergeCell ref="G581:R581"/>
    <mergeCell ref="Q567:S567"/>
    <mergeCell ref="B569:AL569"/>
    <mergeCell ref="G606:R606"/>
    <mergeCell ref="G605:R605"/>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O33:P33"/>
    <mergeCell ref="O159:AH159"/>
    <mergeCell ref="O158:AH158"/>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S402:U402"/>
    <mergeCell ref="AE554:AH556"/>
    <mergeCell ref="AI554:AL556"/>
    <mergeCell ref="Q554:S556"/>
    <mergeCell ref="T554:V556"/>
    <mergeCell ref="Z554:AD556"/>
    <mergeCell ref="Z579:AK579"/>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C560:L560"/>
    <mergeCell ref="M560:P560"/>
    <mergeCell ref="AI564:AL564"/>
    <mergeCell ref="C562:L562"/>
    <mergeCell ref="M562:P562"/>
    <mergeCell ref="C563:L563"/>
    <mergeCell ref="M563:P563"/>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77:O577"/>
    <mergeCell ref="Z574:AK574"/>
    <mergeCell ref="O535:AA535"/>
    <mergeCell ref="AI558:AL558"/>
    <mergeCell ref="N585:O585"/>
    <mergeCell ref="Z587:AK58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Z603:AK603"/>
    <mergeCell ref="BK608:BL608"/>
    <mergeCell ref="BI607:BJ607"/>
    <mergeCell ref="BK613:BL613"/>
    <mergeCell ref="BG609:BH609"/>
    <mergeCell ref="BE608:BF608"/>
    <mergeCell ref="BE607:BF607"/>
    <mergeCell ref="BI609:BJ609"/>
    <mergeCell ref="BG607:BH607"/>
    <mergeCell ref="Z604:AK60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K612:BL612"/>
    <mergeCell ref="BG620:BH620"/>
    <mergeCell ref="BG615:BH615"/>
    <mergeCell ref="BE611:BF611"/>
    <mergeCell ref="BE614:BF614"/>
    <mergeCell ref="BI619:BJ619"/>
    <mergeCell ref="BE621:BF621"/>
    <mergeCell ref="BI606:BJ606"/>
    <mergeCell ref="BI612:BJ612"/>
    <mergeCell ref="BG613:BH613"/>
    <mergeCell ref="BK620:BL620"/>
    <mergeCell ref="BE604:BF604"/>
    <mergeCell ref="BI614:BJ614"/>
    <mergeCell ref="BG614:BH614"/>
    <mergeCell ref="BG606:BH606"/>
    <mergeCell ref="BE605:BF605"/>
    <mergeCell ref="BK619:BL6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20:BJ620"/>
    <mergeCell ref="BI617:BJ617"/>
    <mergeCell ref="BE634:BF634"/>
    <mergeCell ref="BG619:BH619"/>
    <mergeCell ref="BI605:BJ605"/>
    <mergeCell ref="BK621:BL621"/>
    <mergeCell ref="BG623:BH623"/>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J779:N779"/>
    <mergeCell ref="O779:S779"/>
    <mergeCell ref="O780:S780"/>
    <mergeCell ref="AC783:AG783"/>
    <mergeCell ref="X1033:AC1033"/>
    <mergeCell ref="B1039:AK1039"/>
    <mergeCell ref="X1032:AC1032"/>
    <mergeCell ref="U933:Z933"/>
    <mergeCell ref="L941:S941"/>
    <mergeCell ref="L940:S940"/>
    <mergeCell ref="U934:Z934"/>
    <mergeCell ref="L944:S944"/>
    <mergeCell ref="G720:J720"/>
    <mergeCell ref="G721:J721"/>
    <mergeCell ref="B724:F724"/>
    <mergeCell ref="B711:F711"/>
    <mergeCell ref="G709:J709"/>
    <mergeCell ref="B707:F707"/>
    <mergeCell ref="T707:X707"/>
    <mergeCell ref="Y707:AB707"/>
    <mergeCell ref="B726:F726"/>
    <mergeCell ref="G725:J725"/>
    <mergeCell ref="T724:X724"/>
    <mergeCell ref="AM712:AO712"/>
    <mergeCell ref="AM705:AO705"/>
    <mergeCell ref="K706:N706"/>
    <mergeCell ref="O706:S706"/>
    <mergeCell ref="T706:X706"/>
    <mergeCell ref="K711:N711"/>
    <mergeCell ref="O711:S711"/>
    <mergeCell ref="T711:X711"/>
    <mergeCell ref="Y711:AB711"/>
    <mergeCell ref="AM711:AO711"/>
    <mergeCell ref="K712:N712"/>
    <mergeCell ref="O712:S712"/>
    <mergeCell ref="T712:X712"/>
    <mergeCell ref="Y712:AB712"/>
    <mergeCell ref="AH712:AL712"/>
    <mergeCell ref="AC712:AG712"/>
    <mergeCell ref="K713:N713"/>
    <mergeCell ref="O713:S713"/>
    <mergeCell ref="T713:X713"/>
    <mergeCell ref="AC715:AG715"/>
    <mergeCell ref="AH714:AL714"/>
    <mergeCell ref="K704:N704"/>
    <mergeCell ref="G728:J728"/>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AC705:AG705"/>
    <mergeCell ref="AH705:AL705"/>
    <mergeCell ref="K709:N709"/>
    <mergeCell ref="O709:S709"/>
    <mergeCell ref="G687:R687"/>
    <mergeCell ref="Z689:AE689"/>
    <mergeCell ref="B710:F710"/>
    <mergeCell ref="K699:N702"/>
    <mergeCell ref="G703:J703"/>
    <mergeCell ref="T703:X703"/>
    <mergeCell ref="B704:F704"/>
    <mergeCell ref="H690:R690"/>
    <mergeCell ref="N691:O691"/>
    <mergeCell ref="G688:R688"/>
    <mergeCell ref="Z685:AK685"/>
    <mergeCell ref="AA674:AK674"/>
    <mergeCell ref="AH713:AL713"/>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Z664:AK664"/>
    <mergeCell ref="G664:R664"/>
    <mergeCell ref="H666:R666"/>
    <mergeCell ref="C638:L638"/>
    <mergeCell ref="T638:V638"/>
    <mergeCell ref="G661:R661"/>
    <mergeCell ref="P657:R657"/>
    <mergeCell ref="N659:O659"/>
    <mergeCell ref="AA658:AK658"/>
    <mergeCell ref="Z657:AE657"/>
    <mergeCell ref="AI657:AK657"/>
    <mergeCell ref="AI673:AK673"/>
    <mergeCell ref="G649:L649"/>
    <mergeCell ref="G670:R670"/>
    <mergeCell ref="G678:R678"/>
    <mergeCell ref="H674:R674"/>
    <mergeCell ref="P665:R665"/>
    <mergeCell ref="G673:L673"/>
    <mergeCell ref="Z656:AK656"/>
    <mergeCell ref="AC638:AE638"/>
    <mergeCell ref="AI649:AK649"/>
    <mergeCell ref="Z677:AK677"/>
    <mergeCell ref="G669:R669"/>
    <mergeCell ref="N651:O651"/>
    <mergeCell ref="H650:R650"/>
    <mergeCell ref="G686:R686"/>
    <mergeCell ref="G699:J702"/>
    <mergeCell ref="AH703:AL703"/>
    <mergeCell ref="AA650:AK650"/>
    <mergeCell ref="G677:R677"/>
    <mergeCell ref="AC636:AE636"/>
    <mergeCell ref="Z649:AE649"/>
    <mergeCell ref="Z662:AK662"/>
    <mergeCell ref="AG659:AH659"/>
    <mergeCell ref="Z661:AK661"/>
    <mergeCell ref="Z669:AK669"/>
    <mergeCell ref="Z665:AE665"/>
    <mergeCell ref="AG691:AH691"/>
    <mergeCell ref="AA666:AK666"/>
    <mergeCell ref="B642:AN642"/>
    <mergeCell ref="Z681:AE681"/>
    <mergeCell ref="G663:R663"/>
    <mergeCell ref="Z673:AE673"/>
    <mergeCell ref="Z678:AK678"/>
    <mergeCell ref="G657:L657"/>
    <mergeCell ref="G654:R654"/>
    <mergeCell ref="G672:R672"/>
    <mergeCell ref="N683:O683"/>
    <mergeCell ref="Z663:AK663"/>
    <mergeCell ref="AI665:AK665"/>
    <mergeCell ref="Z687:AK687"/>
    <mergeCell ref="P689:R689"/>
    <mergeCell ref="AE563:AH563"/>
    <mergeCell ref="AI563:AL563"/>
    <mergeCell ref="AM563:AS563"/>
    <mergeCell ref="AC711:AG711"/>
    <mergeCell ref="AH711:AL711"/>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Z688:AK688"/>
    <mergeCell ref="AO642:AS642"/>
    <mergeCell ref="AK635:AN635"/>
    <mergeCell ref="AF635:AJ635"/>
    <mergeCell ref="AM708:AO708"/>
    <mergeCell ref="AM703:AO703"/>
    <mergeCell ref="AM699:AO702"/>
    <mergeCell ref="AM704:AO704"/>
    <mergeCell ref="W554:Y556"/>
    <mergeCell ref="AI615:AK615"/>
    <mergeCell ref="AG675:AH675"/>
    <mergeCell ref="AI681:AK681"/>
    <mergeCell ref="Q557:S557"/>
    <mergeCell ref="Z563:AD563"/>
    <mergeCell ref="AC543:AF543"/>
    <mergeCell ref="Q559:S559"/>
    <mergeCell ref="AM569:AS569"/>
    <mergeCell ref="Q560:S560"/>
    <mergeCell ref="AC527:AF527"/>
    <mergeCell ref="AM560:AS560"/>
    <mergeCell ref="Q561:S561"/>
    <mergeCell ref="AF636:AJ636"/>
    <mergeCell ref="T561:V561"/>
    <mergeCell ref="W561:Y561"/>
    <mergeCell ref="AM561:AS561"/>
    <mergeCell ref="O529:AA529"/>
    <mergeCell ref="AC529:AF529"/>
    <mergeCell ref="T559:V559"/>
    <mergeCell ref="W559:Y559"/>
    <mergeCell ref="Z561:AD561"/>
    <mergeCell ref="AE561:AH561"/>
    <mergeCell ref="AK636:AN636"/>
    <mergeCell ref="Z562:AD562"/>
    <mergeCell ref="T564:V564"/>
    <mergeCell ref="AH531:AK531"/>
    <mergeCell ref="AC532:AF532"/>
    <mergeCell ref="AH532:AK532"/>
    <mergeCell ref="AC528:AF528"/>
    <mergeCell ref="AI561:AL561"/>
    <mergeCell ref="AC540:AF540"/>
    <mergeCell ref="AH535:AK535"/>
    <mergeCell ref="AH537:AK537"/>
    <mergeCell ref="AC542:AF542"/>
    <mergeCell ref="AC544:AF544"/>
    <mergeCell ref="C561:L561"/>
    <mergeCell ref="C559:L559"/>
    <mergeCell ref="M554:P556"/>
    <mergeCell ref="S406:AJ406"/>
    <mergeCell ref="AG455:AJ455"/>
    <mergeCell ref="AC516:AF516"/>
    <mergeCell ref="AG448:AJ448"/>
    <mergeCell ref="M499:P499"/>
    <mergeCell ref="R413:S413"/>
    <mergeCell ref="AF419:AH419"/>
    <mergeCell ref="Q498:AK498"/>
    <mergeCell ref="AG456:AJ456"/>
    <mergeCell ref="AG394:AJ394"/>
    <mergeCell ref="Q395:U395"/>
    <mergeCell ref="D440:AF440"/>
    <mergeCell ref="S403:U403"/>
    <mergeCell ref="AE403:AJ403"/>
    <mergeCell ref="AG446:AJ446"/>
    <mergeCell ref="D445:AF445"/>
    <mergeCell ref="I419:K419"/>
    <mergeCell ref="D439:AF439"/>
    <mergeCell ref="K404:AJ404"/>
    <mergeCell ref="AC507:AF507"/>
    <mergeCell ref="AC508:AF508"/>
    <mergeCell ref="AC511:AF511"/>
    <mergeCell ref="AH507:AK507"/>
    <mergeCell ref="W472:Y472"/>
    <mergeCell ref="Q489:AK489"/>
    <mergeCell ref="D451:AF451"/>
    <mergeCell ref="AC456:AF456"/>
    <mergeCell ref="AH504:AK504"/>
    <mergeCell ref="AH509:AK509"/>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Q493:R494"/>
    <mergeCell ref="S378:T378"/>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G477:V477"/>
    <mergeCell ref="AG396:AJ396"/>
    <mergeCell ref="F428:AH429"/>
    <mergeCell ref="D407:AJ408"/>
    <mergeCell ref="I422:K422"/>
    <mergeCell ref="D452:AJ453"/>
    <mergeCell ref="D438:AF438"/>
    <mergeCell ref="P426:Q426"/>
    <mergeCell ref="E421:AJ421"/>
    <mergeCell ref="D468:V468"/>
    <mergeCell ref="AC455:AF455"/>
    <mergeCell ref="AI398:AJ398"/>
    <mergeCell ref="T399:AJ399"/>
    <mergeCell ref="T400:AJ400"/>
    <mergeCell ref="AM564:AS564"/>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AC522:AF522"/>
    <mergeCell ref="AC536:AF536"/>
    <mergeCell ref="AC525:AF525"/>
    <mergeCell ref="AC531:AF531"/>
    <mergeCell ref="CC604:CG604"/>
    <mergeCell ref="BS605:BW605"/>
    <mergeCell ref="BX605:CB605"/>
    <mergeCell ref="CC605:CG605"/>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CC599:CG599"/>
    <mergeCell ref="BX602:CB602"/>
    <mergeCell ref="CC602:CG602"/>
    <mergeCell ref="BS603:BW603"/>
    <mergeCell ref="BX603:CB603"/>
    <mergeCell ref="CC603:CG603"/>
    <mergeCell ref="BS604:BW604"/>
    <mergeCell ref="BX604:CB604"/>
    <mergeCell ref="DR603:DV603"/>
    <mergeCell ref="DR604:DV604"/>
    <mergeCell ref="T566:V566"/>
    <mergeCell ref="Q565:S565"/>
    <mergeCell ref="T565:V565"/>
    <mergeCell ref="W565:Y565"/>
    <mergeCell ref="Z565:AD565"/>
    <mergeCell ref="AE565:AH565"/>
    <mergeCell ref="AI565:AL565"/>
    <mergeCell ref="AM565:AS565"/>
    <mergeCell ref="T568:V568"/>
    <mergeCell ref="W568:Y568"/>
    <mergeCell ref="Z568:AD568"/>
    <mergeCell ref="AM566:AS566"/>
    <mergeCell ref="AI566:AL566"/>
    <mergeCell ref="AM567:AS567"/>
    <mergeCell ref="AM568:AS568"/>
    <mergeCell ref="G598:R598"/>
    <mergeCell ref="N593:O593"/>
    <mergeCell ref="N601:O601"/>
    <mergeCell ref="AA576:AK576"/>
    <mergeCell ref="Z575:AE575"/>
    <mergeCell ref="AI575:AK575"/>
    <mergeCell ref="Z589:AK589"/>
    <mergeCell ref="DR605:DV605"/>
    <mergeCell ref="DR606:DV606"/>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E602:BF602"/>
    <mergeCell ref="BG602:BH602"/>
    <mergeCell ref="BE601:BF601"/>
    <mergeCell ref="BE606:BF606"/>
    <mergeCell ref="AG585:AH585"/>
    <mergeCell ref="BK600:BL600"/>
    <mergeCell ref="BE600:BF600"/>
    <mergeCell ref="Z595:AK595"/>
    <mergeCell ref="BI603:BJ603"/>
    <mergeCell ref="BG600:BH600"/>
    <mergeCell ref="BI600:BJ600"/>
    <mergeCell ref="BI602:BJ602"/>
    <mergeCell ref="BK601:BL601"/>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BS606:BW606"/>
    <mergeCell ref="BX606:CB606"/>
    <mergeCell ref="CC606:CG606"/>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G653:R653"/>
    <mergeCell ref="AG683:AH683"/>
    <mergeCell ref="AG667:AH667"/>
    <mergeCell ref="O704:S704"/>
    <mergeCell ref="AH704:AL704"/>
    <mergeCell ref="G705:J705"/>
    <mergeCell ref="AM710:AO710"/>
    <mergeCell ref="AA682:AK68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81:R681"/>
    <mergeCell ref="T699:X702"/>
    <mergeCell ref="Y699:AB702"/>
    <mergeCell ref="AC699:AG702"/>
    <mergeCell ref="AH699:AL702"/>
    <mergeCell ref="Z679:AK679"/>
    <mergeCell ref="O699:S702"/>
    <mergeCell ref="G655:R655"/>
    <mergeCell ref="Z655:AK655"/>
    <mergeCell ref="O710:S710"/>
    <mergeCell ref="T710:X710"/>
    <mergeCell ref="Y710:AB710"/>
    <mergeCell ref="AC710:AG710"/>
    <mergeCell ref="AH710:AL710"/>
    <mergeCell ref="P673:R673"/>
    <mergeCell ref="Z686:AK686"/>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X760:AB760"/>
    <mergeCell ref="AC760:AG760"/>
    <mergeCell ref="Z744:AB744"/>
    <mergeCell ref="AC763:AG763"/>
    <mergeCell ref="T737:X737"/>
    <mergeCell ref="Y737:AB737"/>
    <mergeCell ref="AC737:AG737"/>
    <mergeCell ref="AH737:AL737"/>
    <mergeCell ref="T782:W782"/>
    <mergeCell ref="X782:AB782"/>
    <mergeCell ref="D972:Q972"/>
    <mergeCell ref="R972:AA972"/>
    <mergeCell ref="F916:T916"/>
    <mergeCell ref="F917:T917"/>
    <mergeCell ref="F918:T918"/>
    <mergeCell ref="D1016:AE1018"/>
    <mergeCell ref="C819:L819"/>
    <mergeCell ref="M818:P818"/>
    <mergeCell ref="AA904:AF904"/>
    <mergeCell ref="AA906:AF906"/>
    <mergeCell ref="U906:Z906"/>
    <mergeCell ref="L939:S939"/>
    <mergeCell ref="U931:Z931"/>
    <mergeCell ref="U932:Z932"/>
    <mergeCell ref="AC871:AH871"/>
    <mergeCell ref="AB902:AE902"/>
    <mergeCell ref="W834:AC834"/>
    <mergeCell ref="E881:AB881"/>
    <mergeCell ref="Y818:AB818"/>
    <mergeCell ref="Q819:T819"/>
    <mergeCell ref="AA908:AF908"/>
    <mergeCell ref="W850:AC850"/>
    <mergeCell ref="AG818:AJ818"/>
    <mergeCell ref="U927:Z927"/>
    <mergeCell ref="F903:T903"/>
    <mergeCell ref="F904:T904"/>
    <mergeCell ref="F905:T905"/>
    <mergeCell ref="F906:T906"/>
    <mergeCell ref="F907:T907"/>
    <mergeCell ref="D996:AE996"/>
    <mergeCell ref="AG819:AJ819"/>
    <mergeCell ref="AC872:AH872"/>
    <mergeCell ref="AC819:AF819"/>
    <mergeCell ref="J836:V836"/>
    <mergeCell ref="T847:V847"/>
    <mergeCell ref="Y819:AB819"/>
    <mergeCell ref="D991:AE99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A928:AF928"/>
    <mergeCell ref="F928:T928"/>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AA916:AF916"/>
    <mergeCell ref="F914:T914"/>
    <mergeCell ref="U914:Z914"/>
    <mergeCell ref="AA914:AF914"/>
    <mergeCell ref="T760:W760"/>
    <mergeCell ref="M813:P813"/>
    <mergeCell ref="Q812:T812"/>
    <mergeCell ref="Q813:T813"/>
    <mergeCell ref="M816:P816"/>
    <mergeCell ref="Q814:T814"/>
    <mergeCell ref="Q815:T815"/>
    <mergeCell ref="Q816:T816"/>
    <mergeCell ref="M815:P815"/>
    <mergeCell ref="M814:P814"/>
    <mergeCell ref="M812:P812"/>
    <mergeCell ref="C824:AJ824"/>
    <mergeCell ref="W831:AC831"/>
    <mergeCell ref="W830:AC830"/>
    <mergeCell ref="W829:AC829"/>
    <mergeCell ref="W832:AC832"/>
    <mergeCell ref="W833:AC833"/>
    <mergeCell ref="M833:V833"/>
    <mergeCell ref="AC782:AG782"/>
    <mergeCell ref="T774:W774"/>
    <mergeCell ref="T780:W780"/>
    <mergeCell ref="X780:AB780"/>
    <mergeCell ref="X764:AB764"/>
    <mergeCell ref="AC764:AG764"/>
    <mergeCell ref="T770:W773"/>
    <mergeCell ref="X770:AB773"/>
    <mergeCell ref="X774:AB774"/>
    <mergeCell ref="AC774:AG774"/>
    <mergeCell ref="AG815:AJ815"/>
    <mergeCell ref="X783:AB783"/>
    <mergeCell ref="O762:S762"/>
    <mergeCell ref="J764:N764"/>
    <mergeCell ref="AC875:AH875"/>
    <mergeCell ref="AC873:AH873"/>
    <mergeCell ref="AC878:AH878"/>
    <mergeCell ref="W836:AC836"/>
    <mergeCell ref="W840:AC840"/>
    <mergeCell ref="W838:AC838"/>
    <mergeCell ref="W839:AC839"/>
    <mergeCell ref="W841:AC841"/>
    <mergeCell ref="W844:AC844"/>
    <mergeCell ref="M848:V848"/>
    <mergeCell ref="W848:AC848"/>
    <mergeCell ref="W852:AC852"/>
    <mergeCell ref="W857:AC857"/>
    <mergeCell ref="W853:AC853"/>
    <mergeCell ref="W856:AC856"/>
    <mergeCell ref="W854:AC854"/>
    <mergeCell ref="W855:AC855"/>
    <mergeCell ref="W858:AC858"/>
    <mergeCell ref="M858:V858"/>
    <mergeCell ref="W865:AC865"/>
    <mergeCell ref="M865:V865"/>
    <mergeCell ref="M864:V864"/>
    <mergeCell ref="W863:AC863"/>
    <mergeCell ref="M861:V861"/>
    <mergeCell ref="W861:AC861"/>
    <mergeCell ref="W862:AC862"/>
    <mergeCell ref="M863:V863"/>
    <mergeCell ref="M862:V862"/>
    <mergeCell ref="W864:AC864"/>
    <mergeCell ref="AC877:AH877"/>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I10" sqref="I10:J10"/>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1)Perm loan</v>
      </c>
      <c r="G2" s="231" t="str">
        <f>Application!B630&amp;Application!C630</f>
        <v>2)Land donation via lease</v>
      </c>
      <c r="H2" s="231" t="str">
        <f>Application!B631&amp;Application!C631</f>
        <v>3)HCD- NHTF</v>
      </c>
      <c r="I2" s="231" t="str">
        <f>Application!B632&amp;Application!C632</f>
        <v>4)Alameda Affordable Housing Trust Fund/AAHC</v>
      </c>
      <c r="J2" s="231" t="str">
        <f>Application!B633&amp;Application!C633</f>
        <v>5)City of Alameda PLHA</v>
      </c>
      <c r="K2" s="231" t="str">
        <f>Application!B634&amp;Application!C634</f>
        <v>6)AHP</v>
      </c>
      <c r="L2" s="231" t="str">
        <f>Application!B635&amp;Application!C635</f>
        <v>7)Alameda Housing Authority</v>
      </c>
      <c r="M2" s="231" t="str">
        <f>Application!B636&amp;Application!C636</f>
        <v>8)City of Alameda HOME</v>
      </c>
      <c r="N2" s="231" t="str">
        <f>Application!B637&amp;Application!C637</f>
        <v>9)GP equity</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1253674</v>
      </c>
      <c r="C4" s="239">
        <f>G4</f>
        <v>1253674</v>
      </c>
      <c r="D4" s="239"/>
      <c r="E4" s="239"/>
      <c r="F4" s="239"/>
      <c r="G4" s="239">
        <f>Application!AO630</f>
        <v>1253674</v>
      </c>
      <c r="H4" s="239"/>
      <c r="I4" s="239"/>
      <c r="J4" s="239"/>
      <c r="K4" s="239"/>
      <c r="L4" s="239"/>
      <c r="M4" s="239"/>
      <c r="N4" s="239"/>
      <c r="O4" s="239"/>
      <c r="P4" s="239"/>
      <c r="Q4" s="239"/>
      <c r="R4" s="239">
        <f>C4</f>
        <v>1253674</v>
      </c>
      <c r="S4" s="240"/>
      <c r="T4" s="240"/>
      <c r="U4" s="235"/>
    </row>
    <row r="5" spans="1:21" s="236" customFormat="1" ht="13.5">
      <c r="A5" s="298" t="s">
        <v>68</v>
      </c>
      <c r="B5" s="238">
        <f>SUM(C5+D5)</f>
        <v>0</v>
      </c>
      <c r="C5" s="239"/>
      <c r="D5" s="239"/>
      <c r="E5" s="239">
        <f t="shared" ref="E5:E7" si="0">C5-SUM(F5:P5)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38499</v>
      </c>
      <c r="C6" s="239">
        <f>[2]budgets!$C$34+99</f>
        <v>38499</v>
      </c>
      <c r="D6" s="239"/>
      <c r="E6" s="239">
        <f>C6-SUM(F6:P6)</f>
        <v>38499</v>
      </c>
      <c r="F6" s="239"/>
      <c r="G6" s="239"/>
      <c r="H6" s="239"/>
      <c r="I6" s="239"/>
      <c r="J6" s="239"/>
      <c r="K6" s="239"/>
      <c r="L6" s="239"/>
      <c r="M6" s="239"/>
      <c r="N6" s="239"/>
      <c r="O6" s="239"/>
      <c r="P6" s="239"/>
      <c r="Q6" s="239"/>
      <c r="R6" s="239">
        <f>SUM(E6:Q6)</f>
        <v>38499</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1292173</v>
      </c>
      <c r="C8" s="238">
        <f t="shared" ref="C8:R8" si="1">SUM(C4:C7)</f>
        <v>1292173</v>
      </c>
      <c r="D8" s="238">
        <f t="shared" si="1"/>
        <v>0</v>
      </c>
      <c r="E8" s="238">
        <f t="shared" si="1"/>
        <v>38499</v>
      </c>
      <c r="F8" s="238">
        <f t="shared" si="1"/>
        <v>0</v>
      </c>
      <c r="G8" s="238">
        <f t="shared" si="1"/>
        <v>1253674</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1292173</v>
      </c>
      <c r="S8" s="240"/>
      <c r="T8" s="240"/>
      <c r="U8" s="235"/>
    </row>
    <row r="9" spans="1:21" s="236" customFormat="1">
      <c r="A9" s="237" t="s">
        <v>1713</v>
      </c>
      <c r="B9" s="238">
        <f>SUM(C9+D9)</f>
        <v>0</v>
      </c>
      <c r="C9" s="239"/>
      <c r="D9" s="239"/>
      <c r="E9" s="239">
        <f t="shared" ref="E9:E10" si="2">C9-SUM(F9:P9)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684488</v>
      </c>
      <c r="C10" s="239">
        <f>[2]budgets!$C$35+[2]budgets!$C$46-1325512</f>
        <v>684488</v>
      </c>
      <c r="D10" s="239"/>
      <c r="E10" s="239">
        <f t="shared" si="2"/>
        <v>0</v>
      </c>
      <c r="F10" s="239"/>
      <c r="G10" s="239"/>
      <c r="H10" s="239"/>
      <c r="I10" s="239">
        <f>C10-J10</f>
        <v>132906</v>
      </c>
      <c r="J10" s="239">
        <f>Application!AM561</f>
        <v>551582</v>
      </c>
      <c r="K10" s="239"/>
      <c r="L10" s="239"/>
      <c r="M10" s="239"/>
      <c r="N10" s="239"/>
      <c r="O10" s="239"/>
      <c r="P10" s="239"/>
      <c r="Q10" s="239"/>
      <c r="R10" s="239">
        <f>SUM(E10:Q10)</f>
        <v>684488</v>
      </c>
      <c r="S10" s="239">
        <f>C10-[2]budgets!$C$35</f>
        <v>342244</v>
      </c>
      <c r="T10" s="239"/>
      <c r="U10" s="235"/>
    </row>
    <row r="11" spans="1:21" s="236" customFormat="1">
      <c r="A11" s="241" t="s">
        <v>586</v>
      </c>
      <c r="B11" s="238">
        <f>SUM(C11:D11)</f>
        <v>684488</v>
      </c>
      <c r="C11" s="238">
        <f t="shared" ref="C11:T11" si="3">SUM(C9:C10)</f>
        <v>684488</v>
      </c>
      <c r="D11" s="238">
        <f t="shared" si="3"/>
        <v>0</v>
      </c>
      <c r="E11" s="238">
        <f t="shared" si="3"/>
        <v>0</v>
      </c>
      <c r="F11" s="238">
        <f t="shared" si="3"/>
        <v>0</v>
      </c>
      <c r="G11" s="238">
        <f t="shared" si="3"/>
        <v>0</v>
      </c>
      <c r="H11" s="238">
        <f t="shared" si="3"/>
        <v>0</v>
      </c>
      <c r="I11" s="238">
        <f t="shared" si="3"/>
        <v>132906</v>
      </c>
      <c r="J11" s="238">
        <f t="shared" si="3"/>
        <v>551582</v>
      </c>
      <c r="K11" s="238">
        <f t="shared" si="3"/>
        <v>0</v>
      </c>
      <c r="L11" s="238">
        <f t="shared" si="3"/>
        <v>0</v>
      </c>
      <c r="M11" s="238">
        <f t="shared" si="3"/>
        <v>0</v>
      </c>
      <c r="N11" s="238">
        <f t="shared" si="3"/>
        <v>0</v>
      </c>
      <c r="O11" s="238">
        <f t="shared" si="3"/>
        <v>0</v>
      </c>
      <c r="P11" s="238">
        <f t="shared" si="3"/>
        <v>0</v>
      </c>
      <c r="Q11" s="238">
        <f t="shared" si="3"/>
        <v>0</v>
      </c>
      <c r="R11" s="238">
        <f t="shared" si="3"/>
        <v>684488</v>
      </c>
      <c r="S11" s="240"/>
      <c r="T11" s="238">
        <f t="shared" si="3"/>
        <v>0</v>
      </c>
      <c r="U11" s="235"/>
    </row>
    <row r="12" spans="1:21" s="236" customFormat="1">
      <c r="A12" s="241" t="s">
        <v>711</v>
      </c>
      <c r="B12" s="238">
        <f t="shared" ref="B12:R12" si="4">SUM(B8+B11)</f>
        <v>1976661</v>
      </c>
      <c r="C12" s="238">
        <f t="shared" si="4"/>
        <v>1976661</v>
      </c>
      <c r="D12" s="238">
        <f t="shared" si="4"/>
        <v>0</v>
      </c>
      <c r="E12" s="238">
        <f t="shared" si="4"/>
        <v>38499</v>
      </c>
      <c r="F12" s="238">
        <f t="shared" si="4"/>
        <v>0</v>
      </c>
      <c r="G12" s="238">
        <f t="shared" si="4"/>
        <v>1253674</v>
      </c>
      <c r="H12" s="238">
        <f t="shared" si="4"/>
        <v>0</v>
      </c>
      <c r="I12" s="238">
        <f t="shared" si="4"/>
        <v>132906</v>
      </c>
      <c r="J12" s="238">
        <f t="shared" si="4"/>
        <v>551582</v>
      </c>
      <c r="K12" s="238">
        <f t="shared" si="4"/>
        <v>0</v>
      </c>
      <c r="L12" s="238">
        <f t="shared" si="4"/>
        <v>0</v>
      </c>
      <c r="M12" s="238">
        <f t="shared" si="4"/>
        <v>0</v>
      </c>
      <c r="N12" s="238">
        <f t="shared" si="4"/>
        <v>0</v>
      </c>
      <c r="O12" s="238">
        <f t="shared" si="4"/>
        <v>0</v>
      </c>
      <c r="P12" s="238">
        <f t="shared" si="4"/>
        <v>0</v>
      </c>
      <c r="Q12" s="238">
        <f t="shared" si="4"/>
        <v>0</v>
      </c>
      <c r="R12" s="238">
        <f t="shared" si="4"/>
        <v>1976661</v>
      </c>
      <c r="S12" s="240"/>
      <c r="T12" s="240"/>
      <c r="U12" s="235"/>
    </row>
    <row r="13" spans="1:21" s="236" customFormat="1">
      <c r="A13" s="453" t="s">
        <v>1110</v>
      </c>
      <c r="B13" s="238">
        <f>SUM(C13+D13)</f>
        <v>371000</v>
      </c>
      <c r="C13" s="239">
        <f>[2]budgets!$C$31</f>
        <v>371000</v>
      </c>
      <c r="D13" s="239"/>
      <c r="E13" s="239">
        <f>C13-SUM(F13:P13)</f>
        <v>371000</v>
      </c>
      <c r="F13" s="239"/>
      <c r="G13" s="239"/>
      <c r="H13" s="239"/>
      <c r="I13" s="239"/>
      <c r="J13" s="239"/>
      <c r="K13" s="239"/>
      <c r="L13" s="239"/>
      <c r="M13" s="239"/>
      <c r="N13" s="239"/>
      <c r="O13" s="239"/>
      <c r="P13" s="239"/>
      <c r="Q13" s="239"/>
      <c r="R13" s="239">
        <f>SUM(E13:Q13)</f>
        <v>371000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914</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915</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916</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1940</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533</v>
      </c>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222</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917</v>
      </c>
      <c r="B27" s="238">
        <f t="shared" si="5"/>
        <v>0</v>
      </c>
      <c r="C27" s="239"/>
      <c r="D27" s="239"/>
      <c r="E27" s="239"/>
      <c r="F27" s="239"/>
      <c r="G27" s="239"/>
      <c r="H27" s="239"/>
      <c r="I27" s="239"/>
      <c r="J27" s="239"/>
      <c r="K27" s="239"/>
      <c r="L27" s="239"/>
      <c r="M27" s="239"/>
      <c r="N27" s="239"/>
      <c r="O27" s="239"/>
      <c r="P27" s="239"/>
      <c r="Q27" s="239"/>
      <c r="R27" s="239">
        <f t="shared" si="6"/>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8">SUM(C29+D29)</f>
        <v>2242094</v>
      </c>
      <c r="C29" s="239">
        <f>[2]budgets!$C$47+1325512</f>
        <v>2242094</v>
      </c>
      <c r="D29" s="239"/>
      <c r="E29" s="239">
        <f t="shared" ref="E29:E37" si="9">C29-SUM(F29:P29)</f>
        <v>1462488</v>
      </c>
      <c r="F29" s="239"/>
      <c r="G29" s="239"/>
      <c r="H29" s="239"/>
      <c r="I29" s="239"/>
      <c r="J29" s="239"/>
      <c r="K29" s="239">
        <f>Application!AO634</f>
        <v>690000</v>
      </c>
      <c r="L29" s="239"/>
      <c r="M29" s="239">
        <f>Application!AO636</f>
        <v>89506</v>
      </c>
      <c r="N29" s="239">
        <f>Application!AO637</f>
        <v>100</v>
      </c>
      <c r="O29" s="239"/>
      <c r="P29" s="239"/>
      <c r="Q29" s="239"/>
      <c r="R29" s="239">
        <f t="shared" ref="R29:R37" si="10">SUM(E29:Q29)</f>
        <v>2242094</v>
      </c>
      <c r="S29" s="239">
        <f>R29</f>
        <v>2242094</v>
      </c>
      <c r="T29" s="239"/>
      <c r="U29" s="235"/>
    </row>
    <row r="30" spans="1:21" s="236" customFormat="1">
      <c r="A30" s="237" t="s">
        <v>911</v>
      </c>
      <c r="B30" s="238">
        <f t="shared" ca="1" si="8"/>
        <v>17509291</v>
      </c>
      <c r="C30" s="239">
        <f ca="1">[2]budgets!$C$48+[2]budgets!$C$53-C34</f>
        <v>17509291</v>
      </c>
      <c r="D30" s="239"/>
      <c r="E30" s="239">
        <f t="shared" ca="1" si="9"/>
        <v>929056</v>
      </c>
      <c r="F30" s="239">
        <f>Application!AO629</f>
        <v>1451600</v>
      </c>
      <c r="G30" s="239"/>
      <c r="H30" s="239">
        <f>Application!AO631</f>
        <v>9761541</v>
      </c>
      <c r="I30" s="239">
        <f>Application!AO632-I12</f>
        <v>4867094</v>
      </c>
      <c r="J30" s="239"/>
      <c r="K30" s="239"/>
      <c r="L30" s="239">
        <f>Application!AO635</f>
        <v>500000</v>
      </c>
      <c r="M30" s="239"/>
      <c r="N30" s="239"/>
      <c r="O30" s="239"/>
      <c r="P30" s="239"/>
      <c r="Q30" s="239"/>
      <c r="R30" s="239">
        <f t="shared" ca="1" si="10"/>
        <v>17509291</v>
      </c>
      <c r="S30" s="239">
        <f t="shared" ref="S30:S37" ca="1" si="11">R30</f>
        <v>17509291</v>
      </c>
      <c r="T30" s="239"/>
      <c r="U30" s="235"/>
    </row>
    <row r="31" spans="1:21" s="236" customFormat="1">
      <c r="A31" s="237" t="s">
        <v>912</v>
      </c>
      <c r="B31" s="238">
        <f t="shared" si="8"/>
        <v>1738170</v>
      </c>
      <c r="C31" s="239">
        <f>[2]budgets!$C$49</f>
        <v>1738170</v>
      </c>
      <c r="D31" s="239"/>
      <c r="E31" s="239">
        <f t="shared" si="9"/>
        <v>1738170</v>
      </c>
      <c r="F31" s="239"/>
      <c r="G31" s="239"/>
      <c r="H31" s="239"/>
      <c r="I31" s="239"/>
      <c r="J31" s="239"/>
      <c r="K31" s="239"/>
      <c r="L31" s="239"/>
      <c r="M31" s="239"/>
      <c r="N31" s="239"/>
      <c r="O31" s="239"/>
      <c r="P31" s="239"/>
      <c r="Q31" s="239"/>
      <c r="R31" s="239">
        <f t="shared" si="10"/>
        <v>1738170</v>
      </c>
      <c r="S31" s="239">
        <f t="shared" si="11"/>
        <v>1738170</v>
      </c>
      <c r="T31" s="239"/>
      <c r="U31" s="235"/>
    </row>
    <row r="32" spans="1:21" s="236" customFormat="1">
      <c r="A32" s="237" t="s">
        <v>913</v>
      </c>
      <c r="B32" s="238">
        <f t="shared" si="8"/>
        <v>397201</v>
      </c>
      <c r="C32" s="239">
        <f>[2]budgets!$C$51/2</f>
        <v>397201</v>
      </c>
      <c r="D32" s="239"/>
      <c r="E32" s="239">
        <f t="shared" si="9"/>
        <v>397201</v>
      </c>
      <c r="F32" s="239"/>
      <c r="G32" s="239"/>
      <c r="H32" s="239"/>
      <c r="I32" s="239"/>
      <c r="J32" s="239"/>
      <c r="K32" s="239"/>
      <c r="L32" s="239"/>
      <c r="M32" s="239"/>
      <c r="N32" s="239"/>
      <c r="O32" s="239"/>
      <c r="P32" s="239"/>
      <c r="Q32" s="239"/>
      <c r="R32" s="239">
        <f t="shared" si="10"/>
        <v>397201</v>
      </c>
      <c r="S32" s="239">
        <f t="shared" si="11"/>
        <v>397201</v>
      </c>
      <c r="T32" s="239"/>
      <c r="U32" s="235"/>
    </row>
    <row r="33" spans="1:21" s="236" customFormat="1">
      <c r="A33" s="237" t="s">
        <v>914</v>
      </c>
      <c r="B33" s="238">
        <f t="shared" si="8"/>
        <v>397201</v>
      </c>
      <c r="C33" s="239">
        <f>C32</f>
        <v>397201</v>
      </c>
      <c r="D33" s="239"/>
      <c r="E33" s="239">
        <f t="shared" si="9"/>
        <v>397201</v>
      </c>
      <c r="F33" s="239"/>
      <c r="G33" s="239"/>
      <c r="H33" s="239"/>
      <c r="I33" s="239"/>
      <c r="J33" s="239"/>
      <c r="K33" s="239"/>
      <c r="L33" s="239"/>
      <c r="M33" s="239"/>
      <c r="N33" s="239"/>
      <c r="O33" s="239"/>
      <c r="P33" s="239"/>
      <c r="Q33" s="239"/>
      <c r="R33" s="239">
        <f t="shared" si="10"/>
        <v>397201</v>
      </c>
      <c r="S33" s="239">
        <f t="shared" si="11"/>
        <v>397201</v>
      </c>
      <c r="T33" s="239"/>
      <c r="U33" s="235"/>
    </row>
    <row r="34" spans="1:21" s="236" customFormat="1">
      <c r="A34" s="237" t="s">
        <v>915</v>
      </c>
      <c r="B34" s="238">
        <f t="shared" ca="1" si="8"/>
        <v>3950277</v>
      </c>
      <c r="C34" s="239">
        <f ca="1">ROUND((C30+C29)*0.2,0)</f>
        <v>3950277</v>
      </c>
      <c r="D34" s="239"/>
      <c r="E34" s="239">
        <f t="shared" ca="1" si="9"/>
        <v>3950277</v>
      </c>
      <c r="F34" s="239"/>
      <c r="G34" s="239"/>
      <c r="H34" s="239"/>
      <c r="I34" s="239"/>
      <c r="J34" s="239"/>
      <c r="K34" s="239"/>
      <c r="L34" s="239"/>
      <c r="M34" s="239"/>
      <c r="N34" s="239"/>
      <c r="O34" s="239"/>
      <c r="P34" s="239"/>
      <c r="Q34" s="239"/>
      <c r="R34" s="239">
        <f t="shared" ca="1" si="10"/>
        <v>3950277</v>
      </c>
      <c r="S34" s="239">
        <f t="shared" ca="1" si="11"/>
        <v>3950277</v>
      </c>
      <c r="T34" s="239"/>
      <c r="U34" s="235"/>
    </row>
    <row r="35" spans="1:21" s="236" customFormat="1">
      <c r="A35" s="237" t="s">
        <v>916</v>
      </c>
      <c r="B35" s="238">
        <f t="shared" si="8"/>
        <v>433878</v>
      </c>
      <c r="C35" s="239">
        <f>[2]budgets!$C$50</f>
        <v>433878</v>
      </c>
      <c r="D35" s="239"/>
      <c r="E35" s="239">
        <f t="shared" si="9"/>
        <v>433878</v>
      </c>
      <c r="F35" s="239"/>
      <c r="G35" s="239"/>
      <c r="H35" s="239"/>
      <c r="I35" s="239"/>
      <c r="J35" s="239"/>
      <c r="K35" s="239"/>
      <c r="L35" s="239"/>
      <c r="M35" s="239"/>
      <c r="N35" s="239"/>
      <c r="O35" s="239"/>
      <c r="P35" s="239"/>
      <c r="Q35" s="239"/>
      <c r="R35" s="239">
        <f t="shared" si="10"/>
        <v>433878</v>
      </c>
      <c r="S35" s="239">
        <f t="shared" si="11"/>
        <v>433878</v>
      </c>
      <c r="T35" s="239"/>
      <c r="U35" s="235"/>
    </row>
    <row r="36" spans="1:21" s="236" customFormat="1">
      <c r="A36" s="248" t="s">
        <v>1940</v>
      </c>
      <c r="B36" s="238">
        <f t="shared" si="8"/>
        <v>96000</v>
      </c>
      <c r="C36" s="239">
        <f>[2]budgets!$C$94</f>
        <v>96000</v>
      </c>
      <c r="D36" s="239"/>
      <c r="E36" s="239">
        <f t="shared" si="9"/>
        <v>96000</v>
      </c>
      <c r="F36" s="239"/>
      <c r="G36" s="239"/>
      <c r="H36" s="239"/>
      <c r="I36" s="239"/>
      <c r="J36" s="239"/>
      <c r="K36" s="239"/>
      <c r="L36" s="239"/>
      <c r="M36" s="239"/>
      <c r="N36" s="239"/>
      <c r="O36" s="239"/>
      <c r="P36" s="239"/>
      <c r="Q36" s="239"/>
      <c r="R36" s="239">
        <f t="shared" si="10"/>
        <v>96000</v>
      </c>
      <c r="S36" s="239">
        <f t="shared" si="11"/>
        <v>96000</v>
      </c>
      <c r="T36" s="239"/>
      <c r="U36" s="235"/>
    </row>
    <row r="37" spans="1:21" s="236" customFormat="1">
      <c r="A37" s="244" t="s">
        <v>2505</v>
      </c>
      <c r="B37" s="238">
        <f t="shared" si="8"/>
        <v>196091</v>
      </c>
      <c r="C37" s="239">
        <f>[2]budgets!$C$52</f>
        <v>196091</v>
      </c>
      <c r="D37" s="239"/>
      <c r="E37" s="239">
        <f t="shared" si="9"/>
        <v>196091</v>
      </c>
      <c r="F37" s="239"/>
      <c r="G37" s="239"/>
      <c r="H37" s="239"/>
      <c r="I37" s="239"/>
      <c r="J37" s="239"/>
      <c r="K37" s="239"/>
      <c r="L37" s="239"/>
      <c r="M37" s="239"/>
      <c r="N37" s="239"/>
      <c r="O37" s="239"/>
      <c r="P37" s="239"/>
      <c r="Q37" s="239"/>
      <c r="R37" s="239">
        <f t="shared" si="10"/>
        <v>196091</v>
      </c>
      <c r="S37" s="239">
        <f t="shared" si="11"/>
        <v>196091</v>
      </c>
      <c r="T37" s="239"/>
      <c r="U37" s="235"/>
    </row>
    <row r="38" spans="1:21" s="236" customFormat="1">
      <c r="A38" s="241" t="s">
        <v>919</v>
      </c>
      <c r="B38" s="238">
        <f t="shared" ca="1" si="8"/>
        <v>26960203</v>
      </c>
      <c r="C38" s="238">
        <f ca="1">SUM(C29:C37)</f>
        <v>26960203</v>
      </c>
      <c r="D38" s="238">
        <f>SUM(D29:D37)</f>
        <v>0</v>
      </c>
      <c r="E38" s="238">
        <f ca="1">SUM(E29:E37)</f>
        <v>9600362</v>
      </c>
      <c r="F38" s="238">
        <f t="shared" ref="F38:T38" si="12">SUM(F29:F37)</f>
        <v>1451600</v>
      </c>
      <c r="G38" s="238">
        <f t="shared" si="12"/>
        <v>0</v>
      </c>
      <c r="H38" s="238">
        <f t="shared" si="12"/>
        <v>9761541</v>
      </c>
      <c r="I38" s="238">
        <f t="shared" si="12"/>
        <v>4867094</v>
      </c>
      <c r="J38" s="238">
        <f t="shared" si="12"/>
        <v>0</v>
      </c>
      <c r="K38" s="238">
        <f t="shared" si="12"/>
        <v>690000</v>
      </c>
      <c r="L38" s="238">
        <f t="shared" si="12"/>
        <v>500000</v>
      </c>
      <c r="M38" s="238">
        <f t="shared" si="12"/>
        <v>89506</v>
      </c>
      <c r="N38" s="238">
        <f t="shared" si="12"/>
        <v>100</v>
      </c>
      <c r="O38" s="238">
        <f t="shared" si="12"/>
        <v>0</v>
      </c>
      <c r="P38" s="238">
        <f t="shared" si="12"/>
        <v>0</v>
      </c>
      <c r="Q38" s="238">
        <f t="shared" si="12"/>
        <v>0</v>
      </c>
      <c r="R38" s="238">
        <f t="shared" ca="1" si="12"/>
        <v>26960203</v>
      </c>
      <c r="S38" s="242">
        <f t="shared" ca="1" si="12"/>
        <v>26960203</v>
      </c>
      <c r="T38" s="242">
        <f t="shared" si="12"/>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902717</v>
      </c>
      <c r="C40" s="239">
        <f>[2]budgets!$C$56</f>
        <v>902717</v>
      </c>
      <c r="D40" s="239"/>
      <c r="E40" s="239">
        <f t="shared" ref="E40:E41" si="13">C40-SUM(F40:P40)</f>
        <v>902717</v>
      </c>
      <c r="F40" s="239"/>
      <c r="G40" s="239"/>
      <c r="H40" s="239"/>
      <c r="I40" s="239"/>
      <c r="J40" s="239"/>
      <c r="K40" s="239"/>
      <c r="L40" s="239"/>
      <c r="M40" s="239"/>
      <c r="N40" s="239"/>
      <c r="O40" s="239"/>
      <c r="P40" s="239"/>
      <c r="Q40" s="239"/>
      <c r="R40" s="239">
        <f>SUM(E40:Q40)</f>
        <v>902717</v>
      </c>
      <c r="S40" s="239">
        <f>R40</f>
        <v>902717</v>
      </c>
      <c r="T40" s="239"/>
      <c r="U40" s="235"/>
    </row>
    <row r="41" spans="1:21" s="236" customFormat="1">
      <c r="A41" s="237" t="s">
        <v>922</v>
      </c>
      <c r="B41" s="238">
        <f>SUM(C41+D41)</f>
        <v>0</v>
      </c>
      <c r="C41" s="239"/>
      <c r="D41" s="239"/>
      <c r="E41" s="239">
        <f t="shared" si="13"/>
        <v>0</v>
      </c>
      <c r="F41" s="239"/>
      <c r="G41" s="239"/>
      <c r="H41" s="239"/>
      <c r="I41" s="239"/>
      <c r="J41" s="239"/>
      <c r="K41" s="239"/>
      <c r="L41" s="239"/>
      <c r="M41" s="239"/>
      <c r="N41" s="239"/>
      <c r="O41" s="239"/>
      <c r="P41" s="239"/>
      <c r="Q41" s="239"/>
      <c r="R41" s="239">
        <f>SUM(E41:Q41)</f>
        <v>0</v>
      </c>
      <c r="S41" s="239">
        <f>R41</f>
        <v>0</v>
      </c>
      <c r="T41" s="239"/>
      <c r="U41" s="235"/>
    </row>
    <row r="42" spans="1:21" s="236" customFormat="1">
      <c r="A42" s="241" t="s">
        <v>923</v>
      </c>
      <c r="B42" s="238">
        <f>SUM(C42:D42)</f>
        <v>902717</v>
      </c>
      <c r="C42" s="238">
        <f>SUM(C39:C41)</f>
        <v>902717</v>
      </c>
      <c r="D42" s="238">
        <f>SUM(D39:D41)</f>
        <v>0</v>
      </c>
      <c r="E42" s="238">
        <f t="shared" ref="E42:T42" si="14">SUM(E40:E41)</f>
        <v>902717</v>
      </c>
      <c r="F42" s="238">
        <f t="shared" si="14"/>
        <v>0</v>
      </c>
      <c r="G42" s="238">
        <f t="shared" si="14"/>
        <v>0</v>
      </c>
      <c r="H42" s="238">
        <f t="shared" si="14"/>
        <v>0</v>
      </c>
      <c r="I42" s="238">
        <f t="shared" si="14"/>
        <v>0</v>
      </c>
      <c r="J42" s="238">
        <f t="shared" si="14"/>
        <v>0</v>
      </c>
      <c r="K42" s="238">
        <f t="shared" si="14"/>
        <v>0</v>
      </c>
      <c r="L42" s="238">
        <f t="shared" si="14"/>
        <v>0</v>
      </c>
      <c r="M42" s="238">
        <f t="shared" si="14"/>
        <v>0</v>
      </c>
      <c r="N42" s="238">
        <f t="shared" si="14"/>
        <v>0</v>
      </c>
      <c r="O42" s="238">
        <f t="shared" si="14"/>
        <v>0</v>
      </c>
      <c r="P42" s="238">
        <f t="shared" si="14"/>
        <v>0</v>
      </c>
      <c r="Q42" s="238">
        <f t="shared" si="14"/>
        <v>0</v>
      </c>
      <c r="R42" s="238">
        <f t="shared" si="14"/>
        <v>902717</v>
      </c>
      <c r="S42" s="242">
        <f t="shared" si="14"/>
        <v>902717</v>
      </c>
      <c r="T42" s="242">
        <f t="shared" si="14"/>
        <v>0</v>
      </c>
      <c r="U42" s="235"/>
    </row>
    <row r="43" spans="1:21" s="236" customFormat="1">
      <c r="A43" s="241" t="s">
        <v>924</v>
      </c>
      <c r="B43" s="238">
        <f>SUM(C43:D43)</f>
        <v>581700</v>
      </c>
      <c r="C43" s="239">
        <f>[2]budgets!$C$59</f>
        <v>581700</v>
      </c>
      <c r="D43" s="239"/>
      <c r="E43" s="239">
        <f>C43-SUM(F43:P43)</f>
        <v>581700</v>
      </c>
      <c r="F43" s="239">
        <v>0</v>
      </c>
      <c r="G43" s="239"/>
      <c r="H43" s="239"/>
      <c r="I43" s="239"/>
      <c r="J43" s="239"/>
      <c r="K43" s="239"/>
      <c r="L43" s="239"/>
      <c r="M43" s="239"/>
      <c r="N43" s="239"/>
      <c r="O43" s="239"/>
      <c r="P43" s="239"/>
      <c r="Q43" s="239"/>
      <c r="R43" s="239">
        <f>SUM(E43:Q43)</f>
        <v>581700</v>
      </c>
      <c r="S43" s="239">
        <f>R43</f>
        <v>581700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5">SUM(C45+D45)</f>
        <v>1995183</v>
      </c>
      <c r="C45" s="239">
        <f>ROUND([2]budgets!$C$61,0)</f>
        <v>1995183</v>
      </c>
      <c r="D45" s="239"/>
      <c r="E45" s="239">
        <f t="shared" ref="E45:E52" si="16">C45-SUM(F45:P45)</f>
        <v>1995183</v>
      </c>
      <c r="F45" s="239"/>
      <c r="G45" s="239"/>
      <c r="H45" s="239"/>
      <c r="I45" s="239"/>
      <c r="J45" s="239"/>
      <c r="K45" s="239"/>
      <c r="L45" s="239"/>
      <c r="M45" s="239"/>
      <c r="N45" s="239"/>
      <c r="O45" s="239"/>
      <c r="P45" s="239"/>
      <c r="Q45" s="239"/>
      <c r="R45" s="239">
        <f t="shared" ref="R45:R52" si="17">SUM(E45:Q45)</f>
        <v>1995183</v>
      </c>
      <c r="S45" s="239">
        <f>ROUND([2]budgets!$F$61,0)</f>
        <v>1075214</v>
      </c>
      <c r="T45" s="239"/>
      <c r="U45" s="235"/>
    </row>
    <row r="46" spans="1:21" s="236" customFormat="1">
      <c r="A46" s="237" t="s">
        <v>927</v>
      </c>
      <c r="B46" s="238">
        <f t="shared" si="15"/>
        <v>192754</v>
      </c>
      <c r="C46" s="239">
        <f>ROUND([2]budgets!$C$63,0)</f>
        <v>192754</v>
      </c>
      <c r="D46" s="239"/>
      <c r="E46" s="239">
        <f t="shared" si="16"/>
        <v>192754</v>
      </c>
      <c r="F46" s="239"/>
      <c r="G46" s="239"/>
      <c r="H46" s="239"/>
      <c r="I46" s="239"/>
      <c r="J46" s="239"/>
      <c r="K46" s="239"/>
      <c r="L46" s="239"/>
      <c r="M46" s="239"/>
      <c r="N46" s="239"/>
      <c r="O46" s="239"/>
      <c r="P46" s="239"/>
      <c r="Q46" s="239"/>
      <c r="R46" s="239">
        <f t="shared" si="17"/>
        <v>192754</v>
      </c>
      <c r="S46" s="239">
        <f>R46</f>
        <v>192754</v>
      </c>
      <c r="T46" s="239"/>
      <c r="U46" s="235"/>
    </row>
    <row r="47" spans="1:21" s="236" customFormat="1" ht="12" customHeight="1">
      <c r="A47" s="237" t="s">
        <v>928</v>
      </c>
      <c r="B47" s="238">
        <f t="shared" si="15"/>
        <v>0</v>
      </c>
      <c r="C47" s="239"/>
      <c r="D47" s="239"/>
      <c r="E47" s="239">
        <f t="shared" si="16"/>
        <v>0</v>
      </c>
      <c r="F47" s="239"/>
      <c r="G47" s="239"/>
      <c r="H47" s="239"/>
      <c r="I47" s="239"/>
      <c r="J47" s="239"/>
      <c r="K47" s="239"/>
      <c r="L47" s="239"/>
      <c r="M47" s="239"/>
      <c r="N47" s="239"/>
      <c r="O47" s="239"/>
      <c r="P47" s="239"/>
      <c r="Q47" s="239"/>
      <c r="R47" s="239">
        <f t="shared" si="17"/>
        <v>0</v>
      </c>
      <c r="S47" s="239"/>
      <c r="T47" s="239"/>
      <c r="U47" s="235"/>
    </row>
    <row r="48" spans="1:21" s="236" customFormat="1">
      <c r="A48" s="237" t="s">
        <v>929</v>
      </c>
      <c r="B48" s="238">
        <f t="shared" si="15"/>
        <v>0</v>
      </c>
      <c r="C48" s="239"/>
      <c r="D48" s="239"/>
      <c r="E48" s="239">
        <f t="shared" si="16"/>
        <v>0</v>
      </c>
      <c r="F48" s="239"/>
      <c r="G48" s="239"/>
      <c r="H48" s="239"/>
      <c r="I48" s="239"/>
      <c r="J48" s="239"/>
      <c r="K48" s="239"/>
      <c r="L48" s="239"/>
      <c r="M48" s="239"/>
      <c r="N48" s="239"/>
      <c r="O48" s="239"/>
      <c r="P48" s="239"/>
      <c r="Q48" s="239"/>
      <c r="R48" s="239">
        <f t="shared" si="17"/>
        <v>0</v>
      </c>
      <c r="S48" s="239"/>
      <c r="T48" s="239"/>
      <c r="U48" s="235"/>
    </row>
    <row r="49" spans="1:21" s="236" customFormat="1">
      <c r="A49" s="237" t="s">
        <v>932</v>
      </c>
      <c r="B49" s="238">
        <f t="shared" si="15"/>
        <v>100000</v>
      </c>
      <c r="C49" s="239">
        <f>[2]budgets!$C$66</f>
        <v>100000</v>
      </c>
      <c r="D49" s="239"/>
      <c r="E49" s="239">
        <f t="shared" si="16"/>
        <v>100000</v>
      </c>
      <c r="F49" s="239"/>
      <c r="G49" s="239"/>
      <c r="H49" s="239"/>
      <c r="I49" s="239"/>
      <c r="J49" s="239"/>
      <c r="K49" s="239"/>
      <c r="L49" s="239"/>
      <c r="M49" s="239"/>
      <c r="N49" s="239"/>
      <c r="O49" s="239"/>
      <c r="P49" s="239"/>
      <c r="Q49" s="239"/>
      <c r="R49" s="239">
        <f t="shared" si="17"/>
        <v>100000</v>
      </c>
      <c r="S49" s="239">
        <f>R49</f>
        <v>100000</v>
      </c>
      <c r="T49" s="239"/>
      <c r="U49" s="235"/>
    </row>
    <row r="50" spans="1:21" s="236" customFormat="1">
      <c r="A50" s="237" t="s">
        <v>930</v>
      </c>
      <c r="B50" s="238">
        <f t="shared" si="15"/>
        <v>85000</v>
      </c>
      <c r="C50" s="239">
        <f>[2]budgets!$C$64</f>
        <v>85000</v>
      </c>
      <c r="D50" s="239"/>
      <c r="E50" s="239">
        <f t="shared" si="16"/>
        <v>85000</v>
      </c>
      <c r="F50" s="239"/>
      <c r="G50" s="239"/>
      <c r="H50" s="239"/>
      <c r="I50" s="239"/>
      <c r="J50" s="239"/>
      <c r="K50" s="239"/>
      <c r="L50" s="239"/>
      <c r="M50" s="239"/>
      <c r="N50" s="239"/>
      <c r="O50" s="239"/>
      <c r="P50" s="239"/>
      <c r="Q50" s="239"/>
      <c r="R50" s="239">
        <f t="shared" si="17"/>
        <v>85000</v>
      </c>
      <c r="S50" s="239">
        <f>R50</f>
        <v>85000</v>
      </c>
      <c r="T50" s="239"/>
      <c r="U50" s="235"/>
    </row>
    <row r="51" spans="1:21" s="236" customFormat="1">
      <c r="A51" s="237" t="s">
        <v>931</v>
      </c>
      <c r="B51" s="238">
        <f t="shared" si="15"/>
        <v>400000</v>
      </c>
      <c r="C51" s="239">
        <f>[2]budgets!$C$65</f>
        <v>400000</v>
      </c>
      <c r="D51" s="239"/>
      <c r="E51" s="239">
        <f t="shared" si="16"/>
        <v>400000</v>
      </c>
      <c r="F51" s="239"/>
      <c r="G51" s="239"/>
      <c r="H51" s="239"/>
      <c r="I51" s="239"/>
      <c r="J51" s="239"/>
      <c r="K51" s="239"/>
      <c r="L51" s="239"/>
      <c r="M51" s="239"/>
      <c r="N51" s="239"/>
      <c r="O51" s="239"/>
      <c r="P51" s="239"/>
      <c r="Q51" s="239"/>
      <c r="R51" s="239">
        <f t="shared" si="17"/>
        <v>400000</v>
      </c>
      <c r="S51" s="239">
        <f>R51</f>
        <v>400000</v>
      </c>
      <c r="T51" s="239"/>
      <c r="U51" s="235"/>
    </row>
    <row r="52" spans="1:21" s="236" customFormat="1">
      <c r="A52" s="244" t="s">
        <v>533</v>
      </c>
      <c r="B52" s="238">
        <f t="shared" si="15"/>
        <v>0</v>
      </c>
      <c r="C52" s="239"/>
      <c r="D52" s="239"/>
      <c r="E52" s="239">
        <f t="shared" si="16"/>
        <v>0</v>
      </c>
      <c r="F52" s="239"/>
      <c r="G52" s="239"/>
      <c r="H52" s="239"/>
      <c r="I52" s="239"/>
      <c r="J52" s="239"/>
      <c r="K52" s="239"/>
      <c r="L52" s="239"/>
      <c r="M52" s="239"/>
      <c r="N52" s="239"/>
      <c r="O52" s="239"/>
      <c r="P52" s="239"/>
      <c r="Q52" s="239"/>
      <c r="R52" s="239">
        <f t="shared" si="17"/>
        <v>0</v>
      </c>
      <c r="S52" s="239"/>
      <c r="T52" s="239"/>
      <c r="U52" s="235"/>
    </row>
    <row r="53" spans="1:21" s="246" customFormat="1">
      <c r="A53" s="241" t="s">
        <v>933</v>
      </c>
      <c r="B53" s="242">
        <f>SUM(C53:D53)</f>
        <v>2772937</v>
      </c>
      <c r="C53" s="242">
        <f t="shared" ref="C53:T53" si="18">SUM(C45:C52)</f>
        <v>2772937</v>
      </c>
      <c r="D53" s="242">
        <f t="shared" si="18"/>
        <v>0</v>
      </c>
      <c r="E53" s="242">
        <f t="shared" si="18"/>
        <v>2772937</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2772937</v>
      </c>
      <c r="S53" s="242">
        <f t="shared" si="18"/>
        <v>1852968</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14516</v>
      </c>
      <c r="C55" s="239">
        <f>[2]budgets!$C$69</f>
        <v>14516</v>
      </c>
      <c r="D55" s="239"/>
      <c r="E55" s="239">
        <f t="shared" ref="E55:E60" si="20">C55-SUM(F55:P55)</f>
        <v>14516</v>
      </c>
      <c r="F55" s="239"/>
      <c r="G55" s="239"/>
      <c r="H55" s="239"/>
      <c r="I55" s="239"/>
      <c r="J55" s="239"/>
      <c r="K55" s="239"/>
      <c r="L55" s="239"/>
      <c r="M55" s="239"/>
      <c r="N55" s="239"/>
      <c r="O55" s="239"/>
      <c r="P55" s="239"/>
      <c r="Q55" s="239"/>
      <c r="R55" s="239">
        <f t="shared" ref="R55:R60" si="21">SUM(E55:Q55)</f>
        <v>14516</v>
      </c>
      <c r="S55" s="240"/>
      <c r="T55" s="240"/>
      <c r="U55" s="235"/>
    </row>
    <row r="56" spans="1:21" s="236" customFormat="1" ht="12" customHeight="1">
      <c r="A56" s="237" t="s">
        <v>928</v>
      </c>
      <c r="B56" s="238">
        <f t="shared" si="19"/>
        <v>0</v>
      </c>
      <c r="C56" s="239"/>
      <c r="D56" s="239"/>
      <c r="E56" s="239">
        <f t="shared" si="20"/>
        <v>0</v>
      </c>
      <c r="F56" s="239"/>
      <c r="G56" s="239"/>
      <c r="H56" s="239"/>
      <c r="I56" s="239"/>
      <c r="J56" s="239"/>
      <c r="K56" s="239"/>
      <c r="L56" s="239"/>
      <c r="M56" s="239"/>
      <c r="N56" s="239"/>
      <c r="O56" s="239"/>
      <c r="P56" s="239"/>
      <c r="Q56" s="239"/>
      <c r="R56" s="239">
        <f t="shared" si="21"/>
        <v>0</v>
      </c>
      <c r="S56" s="240"/>
      <c r="T56" s="240"/>
      <c r="U56" s="235"/>
    </row>
    <row r="57" spans="1:21" s="236" customFormat="1">
      <c r="A57" s="237" t="s">
        <v>932</v>
      </c>
      <c r="B57" s="238">
        <f t="shared" si="19"/>
        <v>10000</v>
      </c>
      <c r="C57" s="239">
        <f>[2]budgets!$C$72</f>
        <v>10000</v>
      </c>
      <c r="D57" s="239"/>
      <c r="E57" s="239">
        <f t="shared" si="20"/>
        <v>10000</v>
      </c>
      <c r="F57" s="239"/>
      <c r="G57" s="239"/>
      <c r="H57" s="239"/>
      <c r="I57" s="239"/>
      <c r="J57" s="239"/>
      <c r="K57" s="239"/>
      <c r="L57" s="239"/>
      <c r="M57" s="239"/>
      <c r="N57" s="239"/>
      <c r="O57" s="239"/>
      <c r="P57" s="239"/>
      <c r="Q57" s="239"/>
      <c r="R57" s="239">
        <f t="shared" si="21"/>
        <v>10000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2506</v>
      </c>
      <c r="B60" s="238">
        <f t="shared" si="19"/>
        <v>35000</v>
      </c>
      <c r="C60" s="239">
        <f>[2]budgets!$C$73</f>
        <v>35000</v>
      </c>
      <c r="D60" s="239"/>
      <c r="E60" s="239">
        <f t="shared" si="20"/>
        <v>35000</v>
      </c>
      <c r="F60" s="239"/>
      <c r="G60" s="239"/>
      <c r="H60" s="239"/>
      <c r="I60" s="239"/>
      <c r="J60" s="239"/>
      <c r="K60" s="239"/>
      <c r="L60" s="239"/>
      <c r="M60" s="239"/>
      <c r="N60" s="239"/>
      <c r="O60" s="239"/>
      <c r="P60" s="239"/>
      <c r="Q60" s="239"/>
      <c r="R60" s="239">
        <f t="shared" si="21"/>
        <v>35000</v>
      </c>
      <c r="S60" s="240"/>
      <c r="T60" s="240"/>
      <c r="U60" s="235"/>
    </row>
    <row r="61" spans="1:21" s="236" customFormat="1" ht="13.9" customHeight="1">
      <c r="A61" s="241" t="s">
        <v>500</v>
      </c>
      <c r="B61" s="238">
        <f>SUM(C61:D61)</f>
        <v>59516</v>
      </c>
      <c r="C61" s="238">
        <f t="shared" ref="C61:R61" si="22">SUM(C55:C60)</f>
        <v>59516</v>
      </c>
      <c r="D61" s="238">
        <f t="shared" si="22"/>
        <v>0</v>
      </c>
      <c r="E61" s="238">
        <f t="shared" si="22"/>
        <v>59516</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59516</v>
      </c>
      <c r="S61" s="240"/>
      <c r="T61" s="240"/>
      <c r="U61" s="235"/>
    </row>
    <row r="62" spans="1:21" s="236" customFormat="1">
      <c r="A62" s="247" t="s">
        <v>501</v>
      </c>
      <c r="B62" s="238">
        <f ca="1">SUM(C62:D62)</f>
        <v>33624734</v>
      </c>
      <c r="C62" s="238">
        <f t="shared" ref="C62:R62" ca="1" si="23">SUM(C8+C11+C13+C14+C15+C26+C27+C38+C42+C43+C53+C61)</f>
        <v>33624734</v>
      </c>
      <c r="D62" s="238">
        <f t="shared" si="23"/>
        <v>0</v>
      </c>
      <c r="E62" s="238">
        <f t="shared" ca="1" si="23"/>
        <v>14326731</v>
      </c>
      <c r="F62" s="238">
        <f t="shared" si="23"/>
        <v>1451600</v>
      </c>
      <c r="G62" s="238">
        <f t="shared" si="23"/>
        <v>1253674</v>
      </c>
      <c r="H62" s="238">
        <f t="shared" si="23"/>
        <v>9761541</v>
      </c>
      <c r="I62" s="238">
        <f t="shared" si="23"/>
        <v>5000000</v>
      </c>
      <c r="J62" s="238">
        <f t="shared" si="23"/>
        <v>551582</v>
      </c>
      <c r="K62" s="238">
        <f t="shared" si="23"/>
        <v>690000</v>
      </c>
      <c r="L62" s="238">
        <f t="shared" si="23"/>
        <v>500000</v>
      </c>
      <c r="M62" s="238">
        <f t="shared" si="23"/>
        <v>89506</v>
      </c>
      <c r="N62" s="238">
        <f t="shared" si="23"/>
        <v>100</v>
      </c>
      <c r="O62" s="238">
        <f t="shared" si="23"/>
        <v>0</v>
      </c>
      <c r="P62" s="238">
        <f t="shared" si="23"/>
        <v>0</v>
      </c>
      <c r="Q62" s="238">
        <f t="shared" si="23"/>
        <v>0</v>
      </c>
      <c r="R62" s="238">
        <f t="shared" ca="1" si="23"/>
        <v>33624734</v>
      </c>
      <c r="S62" s="238">
        <f ca="1">SUM(S10+S13+S14+S15+S26+S27+S38+S42+S43+S53)</f>
        <v>30639832</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115000</v>
      </c>
      <c r="C64" s="239">
        <f>[2]budgets!$C$77</f>
        <v>115000</v>
      </c>
      <c r="D64" s="239"/>
      <c r="E64" s="239">
        <f t="shared" ref="E64:E68" si="24">C64-SUM(F64:P64)</f>
        <v>115000</v>
      </c>
      <c r="F64" s="239"/>
      <c r="G64" s="239"/>
      <c r="H64" s="239"/>
      <c r="I64" s="239"/>
      <c r="J64" s="239"/>
      <c r="K64" s="239"/>
      <c r="L64" s="239"/>
      <c r="M64" s="239"/>
      <c r="N64" s="239"/>
      <c r="O64" s="239"/>
      <c r="P64" s="239"/>
      <c r="Q64" s="239"/>
      <c r="R64" s="239">
        <f>SUM(E64:Q64)</f>
        <v>115000</v>
      </c>
      <c r="S64" s="239">
        <f>R64</f>
        <v>115000</v>
      </c>
      <c r="T64" s="239"/>
      <c r="U64" s="235"/>
    </row>
    <row r="65" spans="1:21" s="236" customFormat="1" ht="24">
      <c r="A65" s="237" t="s">
        <v>1942</v>
      </c>
      <c r="B65" s="238">
        <f>SUM(C65+D65)</f>
        <v>0</v>
      </c>
      <c r="C65" s="239"/>
      <c r="D65" s="239"/>
      <c r="E65" s="239">
        <f t="shared" si="24"/>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4"/>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c r="T67" s="239"/>
      <c r="U67" s="235"/>
    </row>
    <row r="68" spans="1:21" s="236" customFormat="1">
      <c r="A68" s="244" t="s">
        <v>2507</v>
      </c>
      <c r="B68" s="238">
        <f>SUM(C68+D68)</f>
        <v>145000</v>
      </c>
      <c r="C68" s="239">
        <f>[2]budgets!$C$79</f>
        <v>145000</v>
      </c>
      <c r="D68" s="239"/>
      <c r="E68" s="239">
        <f t="shared" si="24"/>
        <v>145000</v>
      </c>
      <c r="F68" s="239"/>
      <c r="G68" s="239"/>
      <c r="H68" s="239"/>
      <c r="I68" s="239"/>
      <c r="J68" s="239"/>
      <c r="K68" s="239"/>
      <c r="L68" s="239"/>
      <c r="M68" s="239"/>
      <c r="N68" s="239"/>
      <c r="O68" s="239"/>
      <c r="P68" s="239"/>
      <c r="Q68" s="239"/>
      <c r="R68" s="239">
        <f>SUM(E68:Q68)</f>
        <v>145000</v>
      </c>
      <c r="S68" s="239">
        <f>R68</f>
        <v>145000</v>
      </c>
      <c r="T68" s="239"/>
      <c r="U68" s="235"/>
    </row>
    <row r="69" spans="1:21" s="236" customFormat="1">
      <c r="A69" s="241" t="s">
        <v>1945</v>
      </c>
      <c r="B69" s="238">
        <f>SUM(C69:D69)</f>
        <v>260000</v>
      </c>
      <c r="C69" s="238">
        <f>SUM(C63:C68)</f>
        <v>260000</v>
      </c>
      <c r="D69" s="238">
        <f>SUM(D63:D68)</f>
        <v>0</v>
      </c>
      <c r="E69" s="238">
        <f t="shared" ref="E69:T69" si="25">SUM(E64:E68)</f>
        <v>260000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260000</v>
      </c>
      <c r="S69" s="242">
        <f t="shared" si="25"/>
        <v>260000</v>
      </c>
      <c r="T69" s="242">
        <f t="shared" si="25"/>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6">C71-SUM(F71:P71)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6"/>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6"/>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350008</v>
      </c>
      <c r="C74" s="239">
        <f>ROUND([2]budgets!$C$82,)</f>
        <v>350008</v>
      </c>
      <c r="D74" s="239"/>
      <c r="E74" s="239">
        <f t="shared" si="26"/>
        <v>350008</v>
      </c>
      <c r="F74" s="239"/>
      <c r="G74" s="239"/>
      <c r="H74" s="239"/>
      <c r="I74" s="239"/>
      <c r="J74" s="239"/>
      <c r="K74" s="239"/>
      <c r="L74" s="239"/>
      <c r="M74" s="239"/>
      <c r="N74" s="239"/>
      <c r="O74" s="239"/>
      <c r="P74" s="239"/>
      <c r="Q74" s="239"/>
      <c r="R74" s="239">
        <f>SUM(E74:Q74)</f>
        <v>350008</v>
      </c>
      <c r="S74" s="240"/>
      <c r="T74" s="240"/>
      <c r="U74" s="235"/>
    </row>
    <row r="75" spans="1:21" s="236" customFormat="1">
      <c r="A75" s="244" t="s">
        <v>2508</v>
      </c>
      <c r="B75" s="238">
        <f>SUM(C75+D75)</f>
        <v>174024</v>
      </c>
      <c r="C75" s="239">
        <f>ROUND([2]budgets!$C$86,0)</f>
        <v>174024</v>
      </c>
      <c r="D75" s="239"/>
      <c r="E75" s="239">
        <f t="shared" si="26"/>
        <v>174024</v>
      </c>
      <c r="F75" s="239"/>
      <c r="G75" s="239"/>
      <c r="H75" s="239"/>
      <c r="I75" s="239"/>
      <c r="J75" s="239"/>
      <c r="K75" s="239"/>
      <c r="L75" s="239"/>
      <c r="M75" s="239"/>
      <c r="N75" s="239"/>
      <c r="O75" s="239"/>
      <c r="P75" s="239"/>
      <c r="Q75" s="239"/>
      <c r="R75" s="239">
        <f>SUM(E75:Q75)</f>
        <v>174024</v>
      </c>
      <c r="S75" s="240"/>
      <c r="T75" s="240"/>
      <c r="U75" s="235"/>
    </row>
    <row r="76" spans="1:21" s="236" customFormat="1">
      <c r="A76" s="241" t="s">
        <v>289</v>
      </c>
      <c r="B76" s="238">
        <f>SUM(C76:D76)</f>
        <v>524032</v>
      </c>
      <c r="C76" s="238">
        <f t="shared" ref="C76:Q76" si="27">SUM(C71:C75)</f>
        <v>524032</v>
      </c>
      <c r="D76" s="238">
        <f t="shared" si="27"/>
        <v>0</v>
      </c>
      <c r="E76" s="238">
        <f>SUM(E71:E75)</f>
        <v>524032</v>
      </c>
      <c r="F76" s="238">
        <f>SUM(F71:F75)</f>
        <v>0</v>
      </c>
      <c r="G76" s="238">
        <f>SUM(G71:G75)</f>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SUM(R71:R75)</f>
        <v>524032</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1385511</v>
      </c>
      <c r="C78" s="239">
        <f>ROUND([2]budgets!$C$89,0)</f>
        <v>1385511</v>
      </c>
      <c r="D78" s="239"/>
      <c r="E78" s="239">
        <f t="shared" ref="E78:E79" si="28">C78-SUM(F78:P78)</f>
        <v>1385511</v>
      </c>
      <c r="F78" s="239"/>
      <c r="G78" s="239"/>
      <c r="H78" s="239"/>
      <c r="I78" s="239"/>
      <c r="J78" s="239"/>
      <c r="K78" s="239"/>
      <c r="L78" s="239"/>
      <c r="M78" s="239"/>
      <c r="N78" s="239"/>
      <c r="O78" s="239"/>
      <c r="P78" s="239"/>
      <c r="Q78" s="239"/>
      <c r="R78" s="239">
        <f>SUM(E78:Q78)</f>
        <v>1385511</v>
      </c>
      <c r="S78" s="239">
        <f>R78</f>
        <v>1385511</v>
      </c>
      <c r="T78" s="239"/>
      <c r="U78" s="235"/>
    </row>
    <row r="79" spans="1:21" s="236" customFormat="1">
      <c r="A79" s="237" t="s">
        <v>538</v>
      </c>
      <c r="B79" s="238">
        <f>SUM(C79+D79)</f>
        <v>450000</v>
      </c>
      <c r="C79" s="239">
        <f>[2]budgets!$C$101</f>
        <v>450000</v>
      </c>
      <c r="D79" s="239"/>
      <c r="E79" s="239">
        <f t="shared" si="28"/>
        <v>450000</v>
      </c>
      <c r="F79" s="239"/>
      <c r="G79" s="239"/>
      <c r="H79" s="239"/>
      <c r="I79" s="239"/>
      <c r="J79" s="239"/>
      <c r="K79" s="239"/>
      <c r="L79" s="239"/>
      <c r="M79" s="239"/>
      <c r="N79" s="239"/>
      <c r="O79" s="239"/>
      <c r="P79" s="239"/>
      <c r="Q79" s="239"/>
      <c r="R79" s="239">
        <f>SUM(E79:Q79)</f>
        <v>450000</v>
      </c>
      <c r="S79" s="239">
        <f>R79</f>
        <v>450000</v>
      </c>
      <c r="T79" s="239"/>
      <c r="U79" s="235"/>
    </row>
    <row r="80" spans="1:21" s="236" customFormat="1">
      <c r="A80" s="241" t="s">
        <v>1734</v>
      </c>
      <c r="B80" s="238">
        <f>SUM(C80:D80)</f>
        <v>1835511</v>
      </c>
      <c r="C80" s="663">
        <f>SUM(C78:C79)</f>
        <v>1835511</v>
      </c>
      <c r="D80" s="663">
        <f t="shared" ref="D80:R80" si="29">SUM(D78:D79)</f>
        <v>0</v>
      </c>
      <c r="E80" s="663">
        <f t="shared" si="29"/>
        <v>1835511</v>
      </c>
      <c r="F80" s="663">
        <f t="shared" si="29"/>
        <v>0</v>
      </c>
      <c r="G80" s="663">
        <f t="shared" si="29"/>
        <v>0</v>
      </c>
      <c r="H80" s="663">
        <f t="shared" si="29"/>
        <v>0</v>
      </c>
      <c r="I80" s="663">
        <f t="shared" si="29"/>
        <v>0</v>
      </c>
      <c r="J80" s="663">
        <f t="shared" si="29"/>
        <v>0</v>
      </c>
      <c r="K80" s="663">
        <f t="shared" si="29"/>
        <v>0</v>
      </c>
      <c r="L80" s="663">
        <f t="shared" si="29"/>
        <v>0</v>
      </c>
      <c r="M80" s="663">
        <f t="shared" si="29"/>
        <v>0</v>
      </c>
      <c r="N80" s="663">
        <f t="shared" si="29"/>
        <v>0</v>
      </c>
      <c r="O80" s="663">
        <f t="shared" si="29"/>
        <v>0</v>
      </c>
      <c r="P80" s="663">
        <f t="shared" si="29"/>
        <v>0</v>
      </c>
      <c r="Q80" s="663">
        <f t="shared" si="29"/>
        <v>0</v>
      </c>
      <c r="R80" s="663">
        <f t="shared" si="29"/>
        <v>1835511</v>
      </c>
      <c r="S80" s="663">
        <f>SUM(S78:S79)</f>
        <v>1835511</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133500</v>
      </c>
      <c r="C82" s="239">
        <f>ROUND([2]budgets!$C$91,0)</f>
        <v>133500</v>
      </c>
      <c r="D82" s="239"/>
      <c r="E82" s="239">
        <f t="shared" ref="E82:E94" si="30">C82-SUM(F82:P82)</f>
        <v>133500</v>
      </c>
      <c r="F82" s="239"/>
      <c r="G82" s="239"/>
      <c r="H82" s="239"/>
      <c r="I82" s="239"/>
      <c r="J82" s="239"/>
      <c r="K82" s="239"/>
      <c r="L82" s="239"/>
      <c r="M82" s="239"/>
      <c r="N82" s="239"/>
      <c r="O82" s="239"/>
      <c r="P82" s="239"/>
      <c r="Q82" s="239"/>
      <c r="R82" s="239">
        <f>SUM(E82:Q82)</f>
        <v>133500</v>
      </c>
      <c r="S82" s="240"/>
      <c r="T82" s="240"/>
      <c r="U82" s="235"/>
    </row>
    <row r="83" spans="1:21" s="236" customFormat="1">
      <c r="A83" s="237" t="s">
        <v>516</v>
      </c>
      <c r="B83" s="238">
        <f t="shared" ref="B83:B93" si="31">SUM(C83+D83)</f>
        <v>92223</v>
      </c>
      <c r="C83" s="239">
        <f>[2]budgets!$C$93</f>
        <v>92223</v>
      </c>
      <c r="D83" s="239"/>
      <c r="E83" s="239">
        <f t="shared" si="30"/>
        <v>92223</v>
      </c>
      <c r="F83" s="239"/>
      <c r="G83" s="239"/>
      <c r="H83" s="239"/>
      <c r="I83" s="239"/>
      <c r="J83" s="239"/>
      <c r="K83" s="239"/>
      <c r="L83" s="239"/>
      <c r="M83" s="239"/>
      <c r="N83" s="239"/>
      <c r="O83" s="239"/>
      <c r="P83" s="239"/>
      <c r="Q83" s="239"/>
      <c r="R83" s="239">
        <f t="shared" ref="R83:R93" si="32">SUM(E83:Q83)</f>
        <v>92223</v>
      </c>
      <c r="S83" s="239">
        <f>R83</f>
        <v>92223</v>
      </c>
      <c r="T83" s="239"/>
      <c r="U83" s="235"/>
    </row>
    <row r="84" spans="1:21" s="236" customFormat="1">
      <c r="A84" s="237" t="s">
        <v>517</v>
      </c>
      <c r="B84" s="238">
        <f t="shared" si="31"/>
        <v>650000</v>
      </c>
      <c r="C84" s="239">
        <f>[2]budgets!$C$96</f>
        <v>650000</v>
      </c>
      <c r="D84" s="239"/>
      <c r="E84" s="239">
        <f t="shared" si="30"/>
        <v>650000</v>
      </c>
      <c r="F84" s="239"/>
      <c r="G84" s="239"/>
      <c r="H84" s="239"/>
      <c r="I84" s="239"/>
      <c r="J84" s="239"/>
      <c r="K84" s="239"/>
      <c r="L84" s="239"/>
      <c r="M84" s="239"/>
      <c r="N84" s="239"/>
      <c r="O84" s="239"/>
      <c r="P84" s="239"/>
      <c r="Q84" s="239"/>
      <c r="R84" s="239">
        <f t="shared" si="32"/>
        <v>650000</v>
      </c>
      <c r="S84" s="239">
        <f>R84</f>
        <v>650000</v>
      </c>
      <c r="T84" s="239"/>
      <c r="U84" s="235"/>
    </row>
    <row r="85" spans="1:21" s="236" customFormat="1">
      <c r="A85" s="237" t="s">
        <v>518</v>
      </c>
      <c r="B85" s="238">
        <f t="shared" si="31"/>
        <v>740000</v>
      </c>
      <c r="C85" s="239">
        <f>[2]budgets!$C$97</f>
        <v>740000</v>
      </c>
      <c r="D85" s="239"/>
      <c r="E85" s="239">
        <f t="shared" si="30"/>
        <v>740000</v>
      </c>
      <c r="F85" s="239"/>
      <c r="G85" s="239"/>
      <c r="H85" s="239"/>
      <c r="I85" s="239"/>
      <c r="J85" s="239"/>
      <c r="K85" s="239"/>
      <c r="L85" s="239"/>
      <c r="M85" s="239"/>
      <c r="N85" s="239"/>
      <c r="O85" s="239"/>
      <c r="P85" s="239"/>
      <c r="Q85" s="239"/>
      <c r="R85" s="239">
        <f t="shared" si="32"/>
        <v>740000</v>
      </c>
      <c r="S85" s="239">
        <f>R85</f>
        <v>740000</v>
      </c>
      <c r="T85" s="239"/>
      <c r="U85" s="235"/>
    </row>
    <row r="86" spans="1:21" s="236" customFormat="1">
      <c r="A86" s="237" t="s">
        <v>519</v>
      </c>
      <c r="B86" s="238">
        <f t="shared" si="31"/>
        <v>0</v>
      </c>
      <c r="C86" s="239"/>
      <c r="D86" s="239"/>
      <c r="E86" s="239">
        <f t="shared" si="30"/>
        <v>0</v>
      </c>
      <c r="F86" s="239"/>
      <c r="G86" s="239"/>
      <c r="H86" s="239"/>
      <c r="I86" s="239"/>
      <c r="J86" s="239"/>
      <c r="K86" s="239"/>
      <c r="L86" s="239"/>
      <c r="M86" s="239"/>
      <c r="N86" s="239"/>
      <c r="O86" s="239"/>
      <c r="P86" s="239"/>
      <c r="Q86" s="239"/>
      <c r="R86" s="239">
        <f t="shared" si="32"/>
        <v>0</v>
      </c>
      <c r="S86" s="239"/>
      <c r="T86" s="239"/>
      <c r="U86" s="235"/>
    </row>
    <row r="87" spans="1:21" s="236" customFormat="1">
      <c r="A87" s="237" t="s">
        <v>520</v>
      </c>
      <c r="B87" s="238">
        <f t="shared" si="31"/>
        <v>306000</v>
      </c>
      <c r="C87" s="239">
        <f>[2]budgets!$C$99</f>
        <v>306000</v>
      </c>
      <c r="D87" s="239"/>
      <c r="E87" s="239">
        <f t="shared" si="30"/>
        <v>306000</v>
      </c>
      <c r="F87" s="239"/>
      <c r="G87" s="239"/>
      <c r="H87" s="239"/>
      <c r="I87" s="239"/>
      <c r="J87" s="239"/>
      <c r="K87" s="239"/>
      <c r="L87" s="239"/>
      <c r="M87" s="239"/>
      <c r="N87" s="239"/>
      <c r="O87" s="239"/>
      <c r="P87" s="239"/>
      <c r="Q87" s="239"/>
      <c r="R87" s="239">
        <f t="shared" si="32"/>
        <v>306000</v>
      </c>
      <c r="S87" s="240"/>
      <c r="T87" s="240"/>
      <c r="U87" s="235"/>
    </row>
    <row r="88" spans="1:21" s="236" customFormat="1">
      <c r="A88" s="237" t="s">
        <v>521</v>
      </c>
      <c r="B88" s="238">
        <f t="shared" si="31"/>
        <v>185500</v>
      </c>
      <c r="C88" s="239">
        <f>[2]budgets!$C$100</f>
        <v>185500</v>
      </c>
      <c r="D88" s="239"/>
      <c r="E88" s="239">
        <f t="shared" si="30"/>
        <v>185500</v>
      </c>
      <c r="F88" s="239"/>
      <c r="G88" s="239"/>
      <c r="H88" s="239"/>
      <c r="I88" s="239"/>
      <c r="J88" s="239"/>
      <c r="K88" s="239"/>
      <c r="L88" s="239"/>
      <c r="M88" s="239"/>
      <c r="N88" s="239"/>
      <c r="O88" s="239"/>
      <c r="P88" s="239"/>
      <c r="Q88" s="239"/>
      <c r="R88" s="239">
        <f t="shared" si="32"/>
        <v>185500</v>
      </c>
      <c r="S88" s="239">
        <f>R88</f>
        <v>185500</v>
      </c>
      <c r="T88" s="239"/>
      <c r="U88" s="235"/>
    </row>
    <row r="89" spans="1:21" s="236" customFormat="1">
      <c r="A89" s="237" t="s">
        <v>522</v>
      </c>
      <c r="B89" s="238">
        <f t="shared" si="31"/>
        <v>17000</v>
      </c>
      <c r="C89" s="239">
        <f>[2]budgets!$C$98</f>
        <v>17000</v>
      </c>
      <c r="D89" s="239"/>
      <c r="E89" s="239">
        <f t="shared" si="30"/>
        <v>17000</v>
      </c>
      <c r="F89" s="239"/>
      <c r="G89" s="239"/>
      <c r="H89" s="239"/>
      <c r="I89" s="239"/>
      <c r="J89" s="239"/>
      <c r="K89" s="239"/>
      <c r="L89" s="239"/>
      <c r="M89" s="239"/>
      <c r="N89" s="239"/>
      <c r="O89" s="239"/>
      <c r="P89" s="239"/>
      <c r="Q89" s="239"/>
      <c r="R89" s="239">
        <f t="shared" si="32"/>
        <v>17000</v>
      </c>
      <c r="S89" s="239"/>
      <c r="T89" s="239"/>
      <c r="U89" s="235"/>
    </row>
    <row r="90" spans="1:21" s="236" customFormat="1">
      <c r="A90" s="248" t="s">
        <v>1315</v>
      </c>
      <c r="B90" s="238">
        <f t="shared" si="31"/>
        <v>0</v>
      </c>
      <c r="C90" s="239"/>
      <c r="D90" s="239"/>
      <c r="E90" s="239">
        <f t="shared" si="30"/>
        <v>0</v>
      </c>
      <c r="F90" s="239"/>
      <c r="G90" s="239"/>
      <c r="H90" s="239"/>
      <c r="I90" s="239"/>
      <c r="J90" s="239"/>
      <c r="K90" s="239"/>
      <c r="L90" s="239"/>
      <c r="M90" s="239"/>
      <c r="N90" s="239"/>
      <c r="O90" s="239"/>
      <c r="P90" s="239"/>
      <c r="Q90" s="239"/>
      <c r="R90" s="239">
        <f t="shared" si="32"/>
        <v>0</v>
      </c>
      <c r="S90" s="239"/>
      <c r="T90" s="239"/>
      <c r="U90" s="235"/>
    </row>
    <row r="91" spans="1:21" s="236" customFormat="1">
      <c r="A91" s="248" t="s">
        <v>1732</v>
      </c>
      <c r="B91" s="238">
        <f t="shared" si="31"/>
        <v>25000</v>
      </c>
      <c r="C91" s="239">
        <f>[2]budgets!$C$88</f>
        <v>25000</v>
      </c>
      <c r="D91" s="239"/>
      <c r="E91" s="239">
        <f t="shared" si="30"/>
        <v>25000</v>
      </c>
      <c r="F91" s="239"/>
      <c r="G91" s="239"/>
      <c r="H91" s="239"/>
      <c r="I91" s="239"/>
      <c r="J91" s="239"/>
      <c r="K91" s="239"/>
      <c r="L91" s="239"/>
      <c r="M91" s="239"/>
      <c r="N91" s="239"/>
      <c r="O91" s="239"/>
      <c r="P91" s="239"/>
      <c r="Q91" s="239"/>
      <c r="R91" s="239">
        <f t="shared" si="32"/>
        <v>25000</v>
      </c>
      <c r="S91" s="239">
        <f>R91</f>
        <v>25000</v>
      </c>
      <c r="T91" s="239"/>
      <c r="U91" s="235"/>
    </row>
    <row r="92" spans="1:21" s="236" customFormat="1">
      <c r="A92" s="244" t="s">
        <v>2509</v>
      </c>
      <c r="B92" s="238">
        <f t="shared" si="31"/>
        <v>350000</v>
      </c>
      <c r="C92" s="239">
        <f>[2]budgets!$C$95</f>
        <v>350000</v>
      </c>
      <c r="D92" s="239"/>
      <c r="E92" s="239">
        <f t="shared" si="30"/>
        <v>350000</v>
      </c>
      <c r="F92" s="239"/>
      <c r="G92" s="239"/>
      <c r="H92" s="239"/>
      <c r="I92" s="239"/>
      <c r="J92" s="239"/>
      <c r="K92" s="239"/>
      <c r="L92" s="239"/>
      <c r="M92" s="239"/>
      <c r="N92" s="239"/>
      <c r="O92" s="239"/>
      <c r="P92" s="239"/>
      <c r="Q92" s="239"/>
      <c r="R92" s="239">
        <f t="shared" si="32"/>
        <v>350000</v>
      </c>
      <c r="S92" s="239">
        <f>R92</f>
        <v>350000</v>
      </c>
      <c r="T92" s="239"/>
      <c r="U92" s="235"/>
    </row>
    <row r="93" spans="1:21" s="236" customFormat="1">
      <c r="A93" s="244" t="s">
        <v>2510</v>
      </c>
      <c r="B93" s="238">
        <f t="shared" si="31"/>
        <v>140000</v>
      </c>
      <c r="C93" s="239">
        <f>[2]budgets!$C$92</f>
        <v>140000</v>
      </c>
      <c r="D93" s="239"/>
      <c r="E93" s="239">
        <f t="shared" si="30"/>
        <v>140000</v>
      </c>
      <c r="F93" s="239"/>
      <c r="G93" s="239"/>
      <c r="H93" s="239"/>
      <c r="I93" s="239"/>
      <c r="J93" s="239"/>
      <c r="K93" s="239"/>
      <c r="L93" s="239"/>
      <c r="M93" s="239"/>
      <c r="N93" s="239"/>
      <c r="O93" s="239"/>
      <c r="P93" s="239"/>
      <c r="Q93" s="239"/>
      <c r="R93" s="239">
        <f t="shared" si="32"/>
        <v>140000</v>
      </c>
      <c r="S93" s="239">
        <f>R93</f>
        <v>140000</v>
      </c>
      <c r="T93" s="239"/>
      <c r="U93" s="235"/>
    </row>
    <row r="94" spans="1:21" s="236" customFormat="1">
      <c r="A94" s="244" t="s">
        <v>533</v>
      </c>
      <c r="B94" s="238">
        <f>SUM(C94+D94)</f>
        <v>0</v>
      </c>
      <c r="C94" s="239"/>
      <c r="D94" s="239"/>
      <c r="E94" s="239">
        <f t="shared" si="30"/>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2639223</v>
      </c>
      <c r="C95" s="238">
        <f t="shared" ref="C95:R95" si="33">SUM(C82:C94)</f>
        <v>2639223</v>
      </c>
      <c r="D95" s="238">
        <f t="shared" si="33"/>
        <v>0</v>
      </c>
      <c r="E95" s="238">
        <f t="shared" si="33"/>
        <v>2639223</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2639223</v>
      </c>
      <c r="S95" s="242">
        <f>SUM(S83:S86,S88:S94)</f>
        <v>2182723</v>
      </c>
      <c r="T95" s="238">
        <f>SUM(T83:T86,T88:T94)</f>
        <v>0</v>
      </c>
      <c r="U95" s="235"/>
    </row>
    <row r="96" spans="1:21" s="236" customFormat="1">
      <c r="A96" s="241" t="s">
        <v>524</v>
      </c>
      <c r="B96" s="238">
        <f ca="1">SUM(C96:D96)</f>
        <v>38883500</v>
      </c>
      <c r="C96" s="238">
        <f t="shared" ref="C96:R96" ca="1" si="34">SUM(C62+C69+C76+C80+C95)</f>
        <v>38883500</v>
      </c>
      <c r="D96" s="238">
        <f t="shared" si="34"/>
        <v>0</v>
      </c>
      <c r="E96" s="238">
        <f t="shared" ca="1" si="34"/>
        <v>19585497</v>
      </c>
      <c r="F96" s="238">
        <f t="shared" si="34"/>
        <v>1451600</v>
      </c>
      <c r="G96" s="238">
        <f t="shared" si="34"/>
        <v>1253674</v>
      </c>
      <c r="H96" s="238">
        <f t="shared" si="34"/>
        <v>9761541</v>
      </c>
      <c r="I96" s="238">
        <f t="shared" si="34"/>
        <v>5000000</v>
      </c>
      <c r="J96" s="238">
        <f t="shared" si="34"/>
        <v>551582</v>
      </c>
      <c r="K96" s="238">
        <f t="shared" si="34"/>
        <v>690000</v>
      </c>
      <c r="L96" s="238">
        <f t="shared" si="34"/>
        <v>500000</v>
      </c>
      <c r="M96" s="238">
        <f t="shared" si="34"/>
        <v>89506</v>
      </c>
      <c r="N96" s="238">
        <f t="shared" si="34"/>
        <v>100</v>
      </c>
      <c r="O96" s="238">
        <f t="shared" si="34"/>
        <v>0</v>
      </c>
      <c r="P96" s="238">
        <f t="shared" si="34"/>
        <v>0</v>
      </c>
      <c r="Q96" s="238">
        <f t="shared" si="34"/>
        <v>0</v>
      </c>
      <c r="R96" s="238">
        <f t="shared" ca="1" si="34"/>
        <v>38883500</v>
      </c>
      <c r="S96" s="242">
        <f ca="1">SUM(+S62+S69+S80+S95)</f>
        <v>34918066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f>[2]budgets!$C$105</f>
        <v>2800000</v>
      </c>
      <c r="D98" s="239"/>
      <c r="E98" s="239">
        <f t="shared" ref="E98:E101" si="35">C98-SUM(F98:P98)</f>
        <v>2800000</v>
      </c>
      <c r="F98" s="239"/>
      <c r="G98" s="239"/>
      <c r="H98" s="239"/>
      <c r="I98" s="239"/>
      <c r="J98" s="239"/>
      <c r="K98" s="239"/>
      <c r="L98" s="239"/>
      <c r="M98" s="239"/>
      <c r="N98" s="239"/>
      <c r="O98" s="239"/>
      <c r="P98" s="239"/>
      <c r="Q98" s="239"/>
      <c r="R98" s="239">
        <f>SUM(E98:Q98)</f>
        <v>2800000</v>
      </c>
      <c r="S98" s="239">
        <f>R98</f>
        <v>2800000</v>
      </c>
      <c r="T98" s="239"/>
      <c r="U98" s="235"/>
    </row>
    <row r="99" spans="1:21" s="236" customFormat="1">
      <c r="A99" s="237" t="s">
        <v>1946</v>
      </c>
      <c r="B99" s="238">
        <f>SUM(C99+D99)</f>
        <v>0</v>
      </c>
      <c r="C99" s="239"/>
      <c r="D99" s="239"/>
      <c r="E99" s="239">
        <f t="shared" si="35"/>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35"/>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f t="shared" si="35"/>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6">SUM(C98:C102)</f>
        <v>2800000</v>
      </c>
      <c r="D103" s="238">
        <f t="shared" si="36"/>
        <v>0</v>
      </c>
      <c r="E103" s="238">
        <f t="shared" si="36"/>
        <v>2800000</v>
      </c>
      <c r="F103" s="238">
        <f t="shared" si="36"/>
        <v>0</v>
      </c>
      <c r="G103" s="238">
        <f t="shared" si="36"/>
        <v>0</v>
      </c>
      <c r="H103" s="238">
        <f t="shared" si="36"/>
        <v>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2800000</v>
      </c>
      <c r="S103" s="242">
        <f t="shared" si="36"/>
        <v>2800000</v>
      </c>
      <c r="T103" s="242">
        <f t="shared" si="36"/>
        <v>0</v>
      </c>
      <c r="U103" s="235"/>
    </row>
    <row r="104" spans="1:21" s="236" customFormat="1">
      <c r="A104" s="241" t="s">
        <v>1156</v>
      </c>
      <c r="B104" s="242">
        <f ca="1">SUM(C104:D104)</f>
        <v>41683500</v>
      </c>
      <c r="C104" s="242">
        <f t="shared" ref="C104:R104" ca="1" si="37">SUM(C96+C103)</f>
        <v>41683500</v>
      </c>
      <c r="D104" s="242">
        <f t="shared" si="37"/>
        <v>0</v>
      </c>
      <c r="E104" s="242">
        <f t="shared" ca="1" si="37"/>
        <v>22385497</v>
      </c>
      <c r="F104" s="242">
        <f t="shared" si="37"/>
        <v>1451600</v>
      </c>
      <c r="G104" s="242">
        <f t="shared" si="37"/>
        <v>1253674</v>
      </c>
      <c r="H104" s="242">
        <f t="shared" si="37"/>
        <v>9761541</v>
      </c>
      <c r="I104" s="242">
        <f t="shared" si="37"/>
        <v>5000000</v>
      </c>
      <c r="J104" s="242">
        <f t="shared" si="37"/>
        <v>551582</v>
      </c>
      <c r="K104" s="242">
        <f t="shared" si="37"/>
        <v>690000</v>
      </c>
      <c r="L104" s="242">
        <f t="shared" si="37"/>
        <v>500000</v>
      </c>
      <c r="M104" s="242">
        <f t="shared" si="37"/>
        <v>89506</v>
      </c>
      <c r="N104" s="242">
        <f t="shared" si="37"/>
        <v>100</v>
      </c>
      <c r="O104" s="242">
        <f t="shared" si="37"/>
        <v>0</v>
      </c>
      <c r="P104" s="242">
        <f t="shared" si="37"/>
        <v>0</v>
      </c>
      <c r="Q104" s="242">
        <f t="shared" si="37"/>
        <v>0</v>
      </c>
      <c r="R104" s="238">
        <f t="shared" ca="1" si="37"/>
        <v>41683500</v>
      </c>
      <c r="S104" s="242">
        <f ca="1">S96+S103</f>
        <v>37718066</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 ca="1">S104+S105</f>
        <v>37718066</v>
      </c>
      <c r="T106" s="242">
        <f>T104+T105</f>
        <v>0</v>
      </c>
      <c r="U106" s="254"/>
    </row>
    <row r="107" spans="1:21" s="256" customFormat="1">
      <c r="A107" s="255" t="s">
        <v>1107</v>
      </c>
      <c r="B107" s="250"/>
      <c r="C107" s="250"/>
      <c r="D107" s="250"/>
      <c r="E107" s="238">
        <f>Application!AO642</f>
        <v>22385497</v>
      </c>
      <c r="F107" s="238">
        <f>Application!AO629</f>
        <v>1451600</v>
      </c>
      <c r="G107" s="238">
        <f>Application!AO630</f>
        <v>1253674</v>
      </c>
      <c r="H107" s="238">
        <f>Application!AO631</f>
        <v>9761541</v>
      </c>
      <c r="I107" s="238">
        <f>Application!AO632</f>
        <v>5000000</v>
      </c>
      <c r="J107" s="238">
        <f>Application!AO633</f>
        <v>551582</v>
      </c>
      <c r="K107" s="238">
        <f>Application!AO634</f>
        <v>690000</v>
      </c>
      <c r="L107" s="238">
        <f>Application!AO635</f>
        <v>500000</v>
      </c>
      <c r="M107" s="238">
        <f>Application!AO636</f>
        <v>89506</v>
      </c>
      <c r="N107" s="238">
        <f>Application!AO637</f>
        <v>100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2" t="s">
        <v>1291</v>
      </c>
      <c r="E122" s="1602"/>
      <c r="F122" s="1602"/>
      <c r="U122" s="254"/>
    </row>
    <row r="123" spans="1:21" s="251" customFormat="1">
      <c r="A123" s="251" t="s">
        <v>1292</v>
      </c>
      <c r="B123" s="543"/>
      <c r="D123" s="1595" t="s">
        <v>1316</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1293</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1294</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1298</v>
      </c>
      <c r="E129" s="1601"/>
      <c r="F129" s="1601"/>
      <c r="G129" s="1601"/>
      <c r="H129" s="1601"/>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67"/>
      <c r="E131" s="1567"/>
      <c r="F131" s="1567"/>
      <c r="G131" s="1567"/>
      <c r="H131" s="1567"/>
      <c r="I131" s="207"/>
      <c r="J131" s="1567"/>
      <c r="K131" s="1567"/>
      <c r="L131" s="1567"/>
      <c r="M131" s="1567"/>
      <c r="N131" s="207"/>
      <c r="O131" s="207"/>
      <c r="P131" s="207"/>
      <c r="Q131" s="207"/>
      <c r="R131" s="207"/>
      <c r="S131" s="207"/>
      <c r="U131" s="254"/>
    </row>
    <row r="132" spans="1:21" s="251" customFormat="1" ht="12.75">
      <c r="A132" s="545"/>
      <c r="B132" s="207"/>
      <c r="C132" s="207"/>
      <c r="D132" s="1591" t="s">
        <v>1301</v>
      </c>
      <c r="E132" s="1591"/>
      <c r="F132" s="1591"/>
      <c r="G132" s="1591"/>
      <c r="H132" s="1591"/>
      <c r="I132" s="207"/>
      <c r="J132" s="1591" t="s">
        <v>1302</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1304</v>
      </c>
      <c r="B139" s="1593"/>
      <c r="C139" s="1593"/>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Y15" sqref="Y15:AC1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1738</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NON-DDA/
NON-QCT Building(s)</v>
      </c>
      <c r="U7" s="1622"/>
      <c r="V7" s="1622"/>
      <c r="W7" s="1622"/>
      <c r="X7" s="1622"/>
      <c r="Y7" s="1622" t="str">
        <f>IF(T25=100%,"",'Sources and Basis Breakdown'!G2)</f>
        <v/>
      </c>
      <c r="Z7" s="1622"/>
      <c r="AA7" s="1622"/>
      <c r="AB7" s="1622"/>
      <c r="AC7" s="1622"/>
      <c r="AD7" s="1622" t="str">
        <f>IF(T25=100%,'Sources and Basis Breakdown'!J2,'Sources and Basis Breakdown'!I2)</f>
        <v>30% PVC for Acquisition
NON-DDA/
NON-QCT Building(s)</v>
      </c>
      <c r="AE7" s="1622"/>
      <c r="AF7" s="1622"/>
      <c r="AG7" s="1622"/>
      <c r="AH7" s="1622"/>
      <c r="AI7" s="1622" t="str">
        <f>IF(T25=100%,"",'Sources and Basis Breakdown'!J2)</f>
        <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087" t="s">
        <v>508</v>
      </c>
      <c r="C11" s="1088"/>
      <c r="D11" s="1088"/>
      <c r="E11" s="1088"/>
      <c r="F11" s="1088"/>
      <c r="G11" s="1088"/>
      <c r="H11" s="1088"/>
      <c r="I11" s="1088"/>
      <c r="J11" s="1088"/>
      <c r="K11" s="1088"/>
      <c r="L11" s="1088"/>
      <c r="M11" s="1088"/>
      <c r="N11" s="1088"/>
      <c r="O11" s="1088"/>
      <c r="P11" s="1088"/>
      <c r="Q11" s="1088"/>
      <c r="R11" s="1088"/>
      <c r="S11" s="1089"/>
      <c r="T11" s="1630">
        <f ca="1">IF('Sources and Basis Breakdown'!F105=0,'Sources and Basis Breakdown'!E105,'Sources and Basis Breakdown'!F105)</f>
        <v>37718066</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110"/>
      <c r="U14" s="1077"/>
      <c r="V14" s="1077"/>
      <c r="W14" s="1077"/>
      <c r="X14" s="1077"/>
      <c r="Y14" s="1110"/>
      <c r="Z14" s="1077"/>
      <c r="AA14" s="1077"/>
      <c r="AB14" s="1077"/>
      <c r="AC14" s="1077"/>
      <c r="AD14" s="1077"/>
      <c r="AE14" s="1077"/>
      <c r="AF14" s="1077"/>
      <c r="AG14" s="1077"/>
      <c r="AH14" s="1077"/>
      <c r="AI14" s="1077"/>
      <c r="AJ14" s="1077"/>
      <c r="AK14" s="1077"/>
      <c r="AL14" s="1077"/>
      <c r="AM14" s="1077"/>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110"/>
      <c r="U15" s="1077"/>
      <c r="V15" s="1077"/>
      <c r="W15" s="1077"/>
      <c r="X15" s="1077"/>
      <c r="Y15" s="1110"/>
      <c r="Z15" s="1077"/>
      <c r="AA15" s="1077"/>
      <c r="AB15" s="1077"/>
      <c r="AC15" s="1077"/>
      <c r="AD15" s="1077"/>
      <c r="AE15" s="1077"/>
      <c r="AF15" s="1077"/>
      <c r="AG15" s="1077"/>
      <c r="AH15" s="1077"/>
      <c r="AI15" s="1077"/>
      <c r="AJ15" s="1077"/>
      <c r="AK15" s="1077"/>
      <c r="AL15" s="1077"/>
      <c r="AM15" s="1077"/>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110"/>
      <c r="U16" s="1077"/>
      <c r="V16" s="1077"/>
      <c r="W16" s="1077"/>
      <c r="X16" s="1077"/>
      <c r="Y16" s="1110"/>
      <c r="Z16" s="1077"/>
      <c r="AA16" s="1077"/>
      <c r="AB16" s="1077"/>
      <c r="AC16" s="1077"/>
      <c r="AD16" s="1077"/>
      <c r="AE16" s="1077"/>
      <c r="AF16" s="1077"/>
      <c r="AG16" s="1077"/>
      <c r="AH16" s="1077"/>
      <c r="AI16" s="1077"/>
      <c r="AJ16" s="1077"/>
      <c r="AK16" s="1077"/>
      <c r="AL16" s="1077"/>
      <c r="AM16" s="1077"/>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110"/>
      <c r="U17" s="1077"/>
      <c r="V17" s="1077"/>
      <c r="W17" s="1077"/>
      <c r="X17" s="1077"/>
      <c r="Y17" s="1110"/>
      <c r="Z17" s="1077"/>
      <c r="AA17" s="1077"/>
      <c r="AB17" s="1077"/>
      <c r="AC17" s="1077"/>
      <c r="AD17" s="1077"/>
      <c r="AE17" s="1077"/>
      <c r="AF17" s="1077"/>
      <c r="AG17" s="1077"/>
      <c r="AH17" s="1077"/>
      <c r="AI17" s="1077"/>
      <c r="AJ17" s="1077"/>
      <c r="AK17" s="1077"/>
      <c r="AL17" s="1077"/>
      <c r="AM17" s="1077"/>
    </row>
    <row r="18" spans="1:39" ht="12.95" customHeight="1">
      <c r="B18" s="937"/>
      <c r="C18" s="1603" t="s">
        <v>1217</v>
      </c>
      <c r="D18" s="1603"/>
      <c r="E18" s="1603"/>
      <c r="F18" s="1603"/>
      <c r="G18" s="1603"/>
      <c r="H18" s="1603"/>
      <c r="I18" s="1603"/>
      <c r="J18" s="1603"/>
      <c r="K18" s="1603"/>
      <c r="L18" s="1603"/>
      <c r="M18" s="1603"/>
      <c r="N18" s="1603"/>
      <c r="O18" s="1603"/>
      <c r="P18" s="1603"/>
      <c r="Q18" s="1603"/>
      <c r="R18" s="1603"/>
      <c r="S18" s="1604"/>
      <c r="T18" s="1108"/>
      <c r="U18" s="1109"/>
      <c r="V18" s="1109"/>
      <c r="W18" s="1109"/>
      <c r="X18" s="1110"/>
      <c r="Y18" s="1110"/>
      <c r="Z18" s="1077"/>
      <c r="AA18" s="1077"/>
      <c r="AB18" s="1077"/>
      <c r="AC18" s="1077"/>
      <c r="AD18" s="1077"/>
      <c r="AE18" s="1077"/>
      <c r="AF18" s="1077"/>
      <c r="AG18" s="1077"/>
      <c r="AH18" s="1077"/>
      <c r="AI18" s="1077"/>
      <c r="AJ18" s="1077"/>
      <c r="AK18" s="1077"/>
      <c r="AL18" s="1077"/>
      <c r="AM18" s="1077"/>
    </row>
    <row r="19" spans="1:39" ht="12.95" customHeight="1">
      <c r="B19" s="481"/>
      <c r="C19" s="1603" t="s">
        <v>1217</v>
      </c>
      <c r="D19" s="1603"/>
      <c r="E19" s="1603"/>
      <c r="F19" s="1603"/>
      <c r="G19" s="1603"/>
      <c r="H19" s="1603"/>
      <c r="I19" s="1603"/>
      <c r="J19" s="1603"/>
      <c r="K19" s="1603"/>
      <c r="L19" s="1603"/>
      <c r="M19" s="1603"/>
      <c r="N19" s="1603"/>
      <c r="O19" s="1603"/>
      <c r="P19" s="1603"/>
      <c r="Q19" s="1603"/>
      <c r="R19" s="1603"/>
      <c r="S19" s="1604"/>
      <c r="T19" s="1110"/>
      <c r="U19" s="1077"/>
      <c r="V19" s="1077"/>
      <c r="W19" s="1077"/>
      <c r="X19" s="1077"/>
      <c r="Y19" s="1110"/>
      <c r="Z19" s="1077"/>
      <c r="AA19" s="1077"/>
      <c r="AB19" s="1077"/>
      <c r="AC19" s="1077"/>
      <c r="AD19" s="1077"/>
      <c r="AE19" s="1077"/>
      <c r="AF19" s="1077"/>
      <c r="AG19" s="1077"/>
      <c r="AH19" s="1077"/>
      <c r="AI19" s="1077"/>
      <c r="AJ19" s="1077"/>
      <c r="AK19" s="1077"/>
      <c r="AL19" s="1077"/>
      <c r="AM19" s="1077"/>
    </row>
    <row r="20" spans="1:39" ht="12.95" customHeight="1">
      <c r="B20" s="1087" t="s">
        <v>771</v>
      </c>
      <c r="C20" s="1088"/>
      <c r="D20" s="1088"/>
      <c r="E20" s="1088"/>
      <c r="F20" s="1088"/>
      <c r="G20" s="1088"/>
      <c r="H20" s="1088"/>
      <c r="I20" s="1088"/>
      <c r="J20" s="1088"/>
      <c r="K20" s="1088"/>
      <c r="L20" s="1088"/>
      <c r="M20" s="1088"/>
      <c r="N20" s="1088"/>
      <c r="O20" s="1088"/>
      <c r="P20" s="1088"/>
      <c r="Q20" s="1088"/>
      <c r="R20" s="1088"/>
      <c r="S20" s="1089"/>
      <c r="T20" s="1615">
        <f>SUM(T13:X19)</f>
        <v>0</v>
      </c>
      <c r="U20" s="1220"/>
      <c r="V20" s="1220"/>
      <c r="W20" s="1220"/>
      <c r="X20" s="1220"/>
      <c r="Y20" s="1615">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87" t="s">
        <v>1705</v>
      </c>
      <c r="C21" s="1088"/>
      <c r="D21" s="1088"/>
      <c r="E21" s="1088"/>
      <c r="F21" s="1088"/>
      <c r="G21" s="1088"/>
      <c r="H21" s="1088"/>
      <c r="I21" s="1088"/>
      <c r="J21" s="1088"/>
      <c r="K21" s="1088"/>
      <c r="L21" s="1088"/>
      <c r="M21" s="1088"/>
      <c r="N21" s="1088"/>
      <c r="O21" s="1088"/>
      <c r="P21" s="1088"/>
      <c r="Q21" s="1088"/>
      <c r="R21" s="1088"/>
      <c r="S21" s="1089"/>
      <c r="T21" s="1110">
        <f ca="1">ROUND((T11-[2]budgets!$C$130),0)</f>
        <v>9940288</v>
      </c>
      <c r="U21" s="1077"/>
      <c r="V21" s="1077"/>
      <c r="W21" s="1077"/>
      <c r="X21" s="1077"/>
      <c r="Y21" s="1110"/>
      <c r="Z21" s="1077"/>
      <c r="AA21" s="1077"/>
      <c r="AB21" s="1077"/>
      <c r="AC21" s="1077"/>
      <c r="AD21" s="1110"/>
      <c r="AE21" s="1077"/>
      <c r="AF21" s="1077"/>
      <c r="AG21" s="1077"/>
      <c r="AH21" s="1077"/>
      <c r="AI21" s="1110"/>
      <c r="AJ21" s="1077"/>
      <c r="AK21" s="1077"/>
      <c r="AL21" s="1077"/>
      <c r="AM21" s="1077"/>
    </row>
    <row r="22" spans="1:39" ht="12.95" customHeight="1">
      <c r="B22" s="1087" t="s">
        <v>772</v>
      </c>
      <c r="C22" s="1088"/>
      <c r="D22" s="1088"/>
      <c r="E22" s="1088"/>
      <c r="F22" s="1088"/>
      <c r="G22" s="1088"/>
      <c r="H22" s="1088"/>
      <c r="I22" s="1088"/>
      <c r="J22" s="1088"/>
      <c r="K22" s="1088"/>
      <c r="L22" s="1088"/>
      <c r="M22" s="1088"/>
      <c r="N22" s="1088"/>
      <c r="O22" s="1088"/>
      <c r="P22" s="1088"/>
      <c r="Q22" s="1088"/>
      <c r="R22" s="1088"/>
      <c r="S22" s="1089"/>
      <c r="T22" s="1616">
        <f ca="1">(ABS(T20)+ABS(T21))*-1</f>
        <v>-9940288</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087" t="s">
        <v>1894</v>
      </c>
      <c r="C23" s="1088"/>
      <c r="D23" s="1088"/>
      <c r="E23" s="1088"/>
      <c r="F23" s="1088"/>
      <c r="G23" s="1088"/>
      <c r="H23" s="1088"/>
      <c r="I23" s="1088"/>
      <c r="J23" s="1088"/>
      <c r="K23" s="1088"/>
      <c r="L23" s="1088"/>
      <c r="M23" s="1088"/>
      <c r="N23" s="1088"/>
      <c r="O23" s="1088"/>
      <c r="P23" s="1088"/>
      <c r="Q23" s="1088"/>
      <c r="R23" s="1088"/>
      <c r="S23" s="1089"/>
      <c r="T23" s="1615">
        <f ca="1">T11+T22</f>
        <v>27777778</v>
      </c>
      <c r="U23" s="1220"/>
      <c r="V23" s="1220"/>
      <c r="W23" s="1220"/>
      <c r="X23" s="1220"/>
      <c r="Y23" s="1615">
        <f>Y11+Y22</f>
        <v>0</v>
      </c>
      <c r="Z23" s="1220"/>
      <c r="AA23" s="1220"/>
      <c r="AB23" s="1220"/>
      <c r="AC23" s="1220"/>
      <c r="AD23" s="1615">
        <f>IF(AD11=AD21,0,AD11)</f>
        <v>0</v>
      </c>
      <c r="AE23" s="1220"/>
      <c r="AF23" s="1220"/>
      <c r="AG23" s="1220"/>
      <c r="AH23" s="1220"/>
      <c r="AI23" s="1615">
        <f>IF(AI11=AI21,0,AI11)</f>
        <v>0</v>
      </c>
      <c r="AJ23" s="1220"/>
      <c r="AK23" s="1220"/>
      <c r="AL23" s="1220"/>
      <c r="AM23" s="1220"/>
    </row>
    <row r="24" spans="1:39" ht="12.95" customHeight="1">
      <c r="B24" s="1087" t="s">
        <v>1218</v>
      </c>
      <c r="C24" s="1088"/>
      <c r="D24" s="1088"/>
      <c r="E24" s="1088"/>
      <c r="F24" s="1088"/>
      <c r="G24" s="1088"/>
      <c r="H24" s="1088"/>
      <c r="I24" s="1088"/>
      <c r="J24" s="1088"/>
      <c r="K24" s="1088"/>
      <c r="L24" s="1088"/>
      <c r="M24" s="1088"/>
      <c r="N24" s="1088"/>
      <c r="O24" s="1088"/>
      <c r="P24" s="1088"/>
      <c r="Q24" s="1088"/>
      <c r="R24" s="1088"/>
      <c r="S24" s="1089"/>
      <c r="T24" s="1613">
        <f>Application!AJ1028</f>
        <v>31401834</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1896</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087" t="s">
        <v>774</v>
      </c>
      <c r="C26" s="1088"/>
      <c r="D26" s="1088"/>
      <c r="E26" s="1088"/>
      <c r="F26" s="1088"/>
      <c r="G26" s="1088"/>
      <c r="H26" s="1088"/>
      <c r="I26" s="1088"/>
      <c r="J26" s="1088"/>
      <c r="K26" s="1088"/>
      <c r="L26" s="1088"/>
      <c r="M26" s="1088"/>
      <c r="N26" s="1088"/>
      <c r="O26" s="1088"/>
      <c r="P26" s="1088"/>
      <c r="Q26" s="1088"/>
      <c r="R26" s="1088"/>
      <c r="S26" s="1089"/>
      <c r="T26" s="1083">
        <f ca="1">T23*T25</f>
        <v>27777778</v>
      </c>
      <c r="U26" s="1618"/>
      <c r="V26" s="1618"/>
      <c r="W26" s="1618"/>
      <c r="X26" s="1618"/>
      <c r="Y26" s="1083">
        <f>Y23*Y25</f>
        <v>0</v>
      </c>
      <c r="Z26" s="1618"/>
      <c r="AA26" s="1618"/>
      <c r="AB26" s="1618"/>
      <c r="AC26" s="1618"/>
      <c r="AD26" s="1083">
        <f>AD23*AD25</f>
        <v>0</v>
      </c>
      <c r="AE26" s="1618"/>
      <c r="AF26" s="1618"/>
      <c r="AG26" s="1618"/>
      <c r="AH26" s="1618"/>
      <c r="AI26" s="1083">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087" t="s">
        <v>843</v>
      </c>
      <c r="C28" s="1088"/>
      <c r="D28" s="1088"/>
      <c r="E28" s="1088"/>
      <c r="F28" s="1088"/>
      <c r="G28" s="1088"/>
      <c r="H28" s="1088"/>
      <c r="I28" s="1088"/>
      <c r="J28" s="1088"/>
      <c r="K28" s="1088"/>
      <c r="L28" s="1088"/>
      <c r="M28" s="1088"/>
      <c r="N28" s="1088"/>
      <c r="O28" s="1088"/>
      <c r="P28" s="1088"/>
      <c r="Q28" s="1088"/>
      <c r="R28" s="1088"/>
      <c r="S28" s="1089"/>
      <c r="T28" s="1083">
        <f ca="1">IF(ISERROR((T26*T27)),0,(T26*T27))</f>
        <v>27777778</v>
      </c>
      <c r="U28" s="1618"/>
      <c r="V28" s="1618"/>
      <c r="W28" s="1618"/>
      <c r="X28" s="1618"/>
      <c r="Y28" s="1083">
        <f>IF(ISERROR((Y26*Y27)),0,(Y26*Y27))</f>
        <v>0</v>
      </c>
      <c r="Z28" s="1618"/>
      <c r="AA28" s="1618"/>
      <c r="AB28" s="1618"/>
      <c r="AC28" s="1618"/>
      <c r="AD28" s="1083">
        <f>IF(ISERROR((AD26*AD27)),0,(AD26*AD27))</f>
        <v>0</v>
      </c>
      <c r="AE28" s="1618"/>
      <c r="AF28" s="1618"/>
      <c r="AG28" s="1618"/>
      <c r="AH28" s="1618"/>
      <c r="AI28" s="1083">
        <f>IF(ISERROR((AI26*AI27)),0,(AI26*AI27))</f>
        <v>0</v>
      </c>
      <c r="AJ28" s="1618"/>
      <c r="AK28" s="1618"/>
      <c r="AL28" s="1618"/>
      <c r="AM28" s="1618"/>
    </row>
    <row r="29" spans="1:39" ht="12.95" customHeight="1">
      <c r="B29" s="1087" t="s">
        <v>623</v>
      </c>
      <c r="C29" s="1088"/>
      <c r="D29" s="1088"/>
      <c r="E29" s="1088"/>
      <c r="F29" s="1088"/>
      <c r="G29" s="1088"/>
      <c r="H29" s="1088"/>
      <c r="I29" s="1088"/>
      <c r="J29" s="1088"/>
      <c r="K29" s="1088"/>
      <c r="L29" s="1088"/>
      <c r="M29" s="1088"/>
      <c r="N29" s="1088"/>
      <c r="O29" s="1088"/>
      <c r="P29" s="1088"/>
      <c r="Q29" s="1088"/>
      <c r="R29" s="1088"/>
      <c r="S29" s="1089"/>
      <c r="T29" s="1613">
        <f ca="1">T28+Y28+AD28+AI28</f>
        <v>27777778</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1895</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1897</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03" t="s">
        <v>41</v>
      </c>
      <c r="AE35" s="1503"/>
      <c r="AF35" s="1503"/>
      <c r="AG35" s="1503"/>
      <c r="AH35" s="1503"/>
    </row>
    <row r="36" spans="1:44" ht="12.95" customHeight="1">
      <c r="B36" s="202"/>
      <c r="X36" s="71"/>
      <c r="Y36" s="1622"/>
      <c r="Z36" s="1622"/>
      <c r="AA36" s="1622"/>
      <c r="AB36" s="1622"/>
      <c r="AC36" s="1622"/>
      <c r="AD36" s="1503"/>
      <c r="AE36" s="1503"/>
      <c r="AF36" s="1503"/>
      <c r="AG36" s="1503"/>
      <c r="AH36" s="150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03"/>
      <c r="AE37" s="1503"/>
      <c r="AF37" s="1503"/>
      <c r="AG37" s="1503"/>
      <c r="AH37" s="1503"/>
    </row>
    <row r="38" spans="1:44" ht="12.95" customHeight="1">
      <c r="A38" s="3"/>
      <c r="B38" s="1087" t="s">
        <v>843</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220">
        <f ca="1">IF(T24&gt;=(T23+Y23+AD23+AI23),T28+Y28,0)</f>
        <v>27777778</v>
      </c>
      <c r="Z38" s="1220"/>
      <c r="AA38" s="1220"/>
      <c r="AB38" s="1220"/>
      <c r="AC38" s="1220"/>
      <c r="AD38" s="1220">
        <f ca="1">IF(T24&gt;=(T23+Y23+AD23+AI23),AD28+AI28,0)</f>
        <v>0</v>
      </c>
      <c r="AE38" s="1220"/>
      <c r="AF38" s="1220"/>
      <c r="AG38" s="1220"/>
      <c r="AH38" s="1220"/>
    </row>
    <row r="39" spans="1:44" ht="12.95" customHeight="1">
      <c r="B39" s="1087" t="s">
        <v>1804</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653">
        <v>0.09</v>
      </c>
      <c r="Z39" s="1653"/>
      <c r="AA39" s="1653"/>
      <c r="AB39" s="1653"/>
      <c r="AC39" s="1653"/>
      <c r="AD39" s="1653">
        <v>0.04</v>
      </c>
      <c r="AE39" s="1653"/>
      <c r="AF39" s="1653"/>
      <c r="AG39" s="1653"/>
      <c r="AH39" s="1653"/>
    </row>
    <row r="40" spans="1:44" ht="12.95" customHeight="1">
      <c r="A40" s="3"/>
      <c r="B40" s="1087" t="s">
        <v>23</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220">
        <f ca="1">ROUND(Y38*Y39,0)</f>
        <v>2500000</v>
      </c>
      <c r="Z40" s="1220"/>
      <c r="AA40" s="1220"/>
      <c r="AB40" s="1220"/>
      <c r="AC40" s="1220"/>
      <c r="AD40" s="1615">
        <f ca="1">ROUND(AD38*AD39,0)</f>
        <v>0</v>
      </c>
      <c r="AE40" s="1220"/>
      <c r="AF40" s="1220"/>
      <c r="AG40" s="1220"/>
      <c r="AH40" s="1220"/>
    </row>
    <row r="41" spans="1:44" ht="12.95" customHeight="1">
      <c r="B41" s="1087" t="s">
        <v>617</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613">
        <f ca="1">IF(Application!Y211="No",'Basis &amp; Credits'!AR42,AR43)</f>
        <v>2500000</v>
      </c>
      <c r="Z41" s="1614"/>
      <c r="AA41" s="1614"/>
      <c r="AB41" s="1614"/>
      <c r="AC41" s="1614"/>
      <c r="AD41" s="1614"/>
      <c r="AE41" s="1614"/>
      <c r="AF41" s="1614"/>
      <c r="AG41" s="1614"/>
      <c r="AH41" s="1615"/>
    </row>
    <row r="42" spans="1:44" ht="12.95" customHeight="1">
      <c r="A42" s="3"/>
      <c r="B42" s="1647" t="s">
        <v>1805</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 ca="1">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 ca="1">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14">
        <f ca="1">'Sources and Uses Budget'!B104-(MAX(IF('Sources and Uses Budget'!B15="",0,'Sources and Uses Budget'!B15),IF(Application!AG395="",0,Application!AG395)))</f>
        <v>41683500</v>
      </c>
      <c r="AC46" s="1215"/>
      <c r="AD46" s="1215"/>
      <c r="AE46" s="1215"/>
      <c r="AF46" s="1216"/>
    </row>
    <row r="47" spans="1:44" ht="12.95" customHeight="1">
      <c r="D47" s="3" t="s">
        <v>837</v>
      </c>
      <c r="AB47" s="1214">
        <f>Application!AO641-MAX(IF('Sources and Uses Budget'!B15="",0,'Sources and Uses Budget'!B15),IF(Application!AG395="",0,Application!AG395))</f>
        <v>19298003</v>
      </c>
      <c r="AC47" s="1215"/>
      <c r="AD47" s="1215"/>
      <c r="AE47" s="1215"/>
      <c r="AF47" s="1216"/>
    </row>
    <row r="48" spans="1:44" ht="12.95" customHeight="1">
      <c r="D48" s="3" t="s">
        <v>378</v>
      </c>
      <c r="AB48" s="1214">
        <f ca="1">AB46-AB47</f>
        <v>22385497</v>
      </c>
      <c r="AC48" s="1215"/>
      <c r="AD48" s="1215"/>
      <c r="AE48" s="1215"/>
      <c r="AF48" s="1216"/>
    </row>
    <row r="49" spans="1:40" ht="12.95" customHeight="1">
      <c r="D49" s="3" t="s">
        <v>872</v>
      </c>
      <c r="AA49" s="34"/>
      <c r="AB49" s="1642">
        <f>[2]budgets!$J$135</f>
        <v>0.85091868000000004</v>
      </c>
      <c r="AC49" s="1643"/>
      <c r="AD49" s="1643"/>
      <c r="AE49" s="1643"/>
      <c r="AF49" s="1644"/>
    </row>
    <row r="50" spans="1:40" s="321" customFormat="1" ht="12.95" customHeight="1">
      <c r="A50"/>
      <c r="B50"/>
      <c r="C50"/>
      <c r="D50"/>
      <c r="E50" s="1648" t="s">
        <v>2328</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4">
        <f ca="1">ROUND(IF(ISERROR((AB48/AB49)),0,(AB48/AB49)),0)</f>
        <v>26307446</v>
      </c>
      <c r="AC53" s="1215"/>
      <c r="AD53" s="1215"/>
      <c r="AE53" s="1215"/>
      <c r="AF53" s="1216"/>
    </row>
    <row r="54" spans="1:40" ht="12.95" customHeight="1">
      <c r="D54" s="3" t="s">
        <v>561</v>
      </c>
      <c r="AB54" s="1214">
        <f ca="1">(AB53/10)</f>
        <v>2630744.6</v>
      </c>
      <c r="AC54" s="1215"/>
      <c r="AD54" s="1215"/>
      <c r="AE54" s="1215"/>
      <c r="AF54" s="1216"/>
    </row>
    <row r="55" spans="1:40" ht="12.95" customHeight="1">
      <c r="D55" s="3" t="s">
        <v>341</v>
      </c>
      <c r="AB55" s="1214">
        <f ca="1">(IF((Y41&lt;AB54),Y41,AB54))</f>
        <v>2500000</v>
      </c>
      <c r="AC55" s="1215"/>
      <c r="AD55" s="1215"/>
      <c r="AE55" s="1215"/>
      <c r="AF55" s="1216"/>
    </row>
    <row r="56" spans="1:40" ht="12.95" customHeight="1">
      <c r="D56" s="3" t="s">
        <v>107</v>
      </c>
      <c r="AB56" s="1214">
        <f ca="1">ROUND((10*AB55*AB49),0)</f>
        <v>21272967</v>
      </c>
      <c r="AC56" s="1215"/>
      <c r="AD56" s="1215"/>
      <c r="AE56" s="1215"/>
      <c r="AF56" s="1216"/>
    </row>
    <row r="57" spans="1:40" ht="12.95" customHeight="1">
      <c r="D57" s="3"/>
      <c r="AB57" s="274"/>
      <c r="AC57" s="274"/>
      <c r="AD57" s="274"/>
      <c r="AE57" s="274"/>
      <c r="AF57" s="274"/>
    </row>
    <row r="58" spans="1:40" ht="12.95" customHeight="1">
      <c r="D58" s="3" t="s">
        <v>106</v>
      </c>
      <c r="AB58" s="1538">
        <f ca="1">AB48-AB56</f>
        <v>1112530</v>
      </c>
      <c r="AC58" s="1538"/>
      <c r="AD58" s="1538"/>
      <c r="AE58" s="1538"/>
      <c r="AF58" s="1538"/>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2.95" customHeight="1">
      <c r="A62" s="3" t="s">
        <v>122</v>
      </c>
      <c r="C62" s="3" t="s">
        <v>509</v>
      </c>
      <c r="Y62" s="1188" t="s">
        <v>298</v>
      </c>
      <c r="Z62" s="1188"/>
      <c r="AA62" s="1188"/>
      <c r="AB62" s="1188"/>
      <c r="AC62" s="1188"/>
      <c r="AD62" s="1188" t="s">
        <v>41</v>
      </c>
      <c r="AE62" s="1188"/>
      <c r="AF62" s="1188"/>
      <c r="AG62" s="1188"/>
      <c r="AH62" s="118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 ca="1">IF(AND(Application!T193="No",Application!T194="No"),T28,IF(OR(AND(T25=1.3,Application!T196="Yes",Application!D214="Special Needs"),T25=1),(T23*T27)+Y28,Y28))</f>
        <v>27777778</v>
      </c>
      <c r="Z63" s="1645"/>
      <c r="AA63" s="1645"/>
      <c r="AB63" s="1645"/>
      <c r="AC63" s="1645"/>
      <c r="AD63" s="1220">
        <f>IF(AND(T25=1.3,Application!D214="At-Risk"),AI28,IF(Application!D214&lt;&gt;"At-Risk",0,AD28))</f>
        <v>0</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941</v>
      </c>
      <c r="Y67" s="1220">
        <f ca="1">ROUND(Y63*Y66,0)</f>
        <v>8333333</v>
      </c>
      <c r="Z67" s="1645"/>
      <c r="AA67" s="1645"/>
      <c r="AB67" s="1645"/>
      <c r="AC67" s="1645"/>
      <c r="AD67" s="1220" t="str">
        <f>IF(OR(Application!D211="At-Risk",Application!D211="At-Risk/Located in Rural Census Tract",Application!D214="At-Risk"),ROUND(AD63*AD66,0),"$0")</f>
        <v>$0</v>
      </c>
      <c r="AE67" s="1220"/>
      <c r="AF67" s="1220"/>
      <c r="AG67" s="1220"/>
      <c r="AH67" s="1220"/>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42">
        <f>[2]budgets!$F$136</f>
        <v>0.8</v>
      </c>
      <c r="AC70" s="1643"/>
      <c r="AD70" s="1643"/>
      <c r="AE70" s="1643"/>
      <c r="AF70" s="1644"/>
    </row>
    <row r="71" spans="1:34" ht="12.95" customHeight="1">
      <c r="A71" s="3"/>
      <c r="C71" s="3"/>
      <c r="D71" s="3"/>
      <c r="E71" s="1646" t="s">
        <v>2232</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2">
        <f ca="1">ROUND(IF(ISERROR((AB58/AB70)),0,(AB58/AB70)),0)</f>
        <v>1390663</v>
      </c>
      <c r="AC75" s="1542"/>
      <c r="AD75" s="1542"/>
      <c r="AE75" s="1542"/>
      <c r="AF75" s="1542"/>
    </row>
    <row r="76" spans="1:34" ht="12.95" customHeight="1">
      <c r="C76" s="3"/>
      <c r="D76" s="3" t="s">
        <v>105</v>
      </c>
      <c r="AB76" s="1555">
        <f ca="1">ROUNDUP(MIN((Y67+AD67),AB75),0)</f>
        <v>1390663</v>
      </c>
      <c r="AC76" s="1556"/>
      <c r="AD76" s="1556"/>
      <c r="AE76" s="1556"/>
      <c r="AF76" s="1557"/>
    </row>
    <row r="77" spans="1:34" ht="12.95" customHeight="1">
      <c r="C77" s="3"/>
      <c r="D77" s="3" t="s">
        <v>942</v>
      </c>
      <c r="AB77" s="1640">
        <f ca="1">AB76*AB70</f>
        <v>1112530.4000000001</v>
      </c>
      <c r="AC77" s="1640"/>
      <c r="AD77" s="1640"/>
      <c r="AE77" s="1640"/>
      <c r="AF77" s="1640"/>
    </row>
    <row r="78" spans="1:34" ht="12.95" customHeight="1">
      <c r="C78" s="3"/>
      <c r="D78" s="3"/>
      <c r="AB78" s="595"/>
      <c r="AC78" s="595"/>
      <c r="AD78" s="595"/>
      <c r="AE78" s="595"/>
      <c r="AF78" s="595"/>
    </row>
    <row r="79" spans="1:34" ht="12.95" customHeight="1">
      <c r="D79" s="3" t="s">
        <v>106</v>
      </c>
      <c r="AB79" s="1538">
        <f ca="1">AB48-(AB56+AB77)</f>
        <v>-0.39999999850988388</v>
      </c>
      <c r="AC79" s="1538"/>
      <c r="AD79" s="1538"/>
      <c r="AE79" s="1538"/>
      <c r="AF79" s="1538"/>
    </row>
    <row r="80" spans="1:34" ht="12.95" customHeight="1">
      <c r="F80" s="16"/>
      <c r="J80" s="16" t="str">
        <f ca="1">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1"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1253674</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38499</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1292173</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684488</v>
      </c>
      <c r="C10" s="582"/>
      <c r="D10" s="582"/>
      <c r="E10" s="581">
        <f>'Sources and Uses Budget'!S10</f>
        <v>342244</v>
      </c>
      <c r="F10" s="582"/>
      <c r="G10" s="582"/>
      <c r="H10" s="581">
        <f>'Sources and Uses Budget'!T10</f>
        <v>0</v>
      </c>
      <c r="I10" s="582"/>
      <c r="J10" s="582"/>
      <c r="K10" s="576"/>
    </row>
    <row r="11" spans="1:11" s="251" customFormat="1">
      <c r="A11" s="241" t="s">
        <v>586</v>
      </c>
      <c r="B11" s="581">
        <f>'Sources and Uses Budget'!C11</f>
        <v>684488</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1976661</v>
      </c>
      <c r="C12" s="581">
        <f>SUM(C8+C11)</f>
        <v>0</v>
      </c>
      <c r="D12" s="581">
        <f>SUM(D8+D11)</f>
        <v>0</v>
      </c>
      <c r="E12" s="583"/>
      <c r="F12" s="583"/>
      <c r="G12" s="583"/>
      <c r="H12" s="583"/>
      <c r="I12" s="583"/>
      <c r="J12" s="583"/>
      <c r="K12" s="576"/>
    </row>
    <row r="13" spans="1:11" s="251" customFormat="1">
      <c r="A13" s="453" t="s">
        <v>1110</v>
      </c>
      <c r="B13" s="581">
        <f>'Sources and Uses Budget'!C13</f>
        <v>371000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2242094</v>
      </c>
      <c r="C28" s="582"/>
      <c r="D28" s="582"/>
      <c r="E28" s="581">
        <f>'Sources and Uses Budget'!S29</f>
        <v>2242094</v>
      </c>
      <c r="F28" s="582"/>
      <c r="G28" s="582"/>
      <c r="H28" s="581">
        <f>'Sources and Uses Budget'!T29</f>
        <v>0</v>
      </c>
      <c r="I28" s="582"/>
      <c r="J28" s="582"/>
      <c r="K28" s="576"/>
    </row>
    <row r="29" spans="1:11" s="251" customFormat="1">
      <c r="A29" s="237" t="s">
        <v>911</v>
      </c>
      <c r="B29" s="581">
        <f ca="1">'Sources and Uses Budget'!C30</f>
        <v>17509291</v>
      </c>
      <c r="C29" s="582"/>
      <c r="D29" s="582"/>
      <c r="E29" s="581">
        <f ca="1">'Sources and Uses Budget'!S30</f>
        <v>17509291</v>
      </c>
      <c r="F29" s="582"/>
      <c r="G29" s="582"/>
      <c r="H29" s="581">
        <f>'Sources and Uses Budget'!T30</f>
        <v>0</v>
      </c>
      <c r="I29" s="582"/>
      <c r="J29" s="582"/>
      <c r="K29" s="576"/>
    </row>
    <row r="30" spans="1:11" s="251" customFormat="1">
      <c r="A30" s="237" t="s">
        <v>912</v>
      </c>
      <c r="B30" s="581">
        <f>'Sources and Uses Budget'!C31</f>
        <v>1738170</v>
      </c>
      <c r="C30" s="582"/>
      <c r="D30" s="582"/>
      <c r="E30" s="581">
        <f>'Sources and Uses Budget'!S31</f>
        <v>1738170</v>
      </c>
      <c r="F30" s="582"/>
      <c r="G30" s="582"/>
      <c r="H30" s="581">
        <f>'Sources and Uses Budget'!T31</f>
        <v>0</v>
      </c>
      <c r="I30" s="582"/>
      <c r="J30" s="582"/>
      <c r="K30" s="576"/>
    </row>
    <row r="31" spans="1:11" s="251" customFormat="1">
      <c r="A31" s="237" t="s">
        <v>913</v>
      </c>
      <c r="B31" s="581">
        <f>'Sources and Uses Budget'!C32</f>
        <v>397201</v>
      </c>
      <c r="C31" s="582"/>
      <c r="D31" s="582"/>
      <c r="E31" s="581">
        <f>'Sources and Uses Budget'!S32</f>
        <v>397201</v>
      </c>
      <c r="F31" s="582"/>
      <c r="G31" s="582"/>
      <c r="H31" s="581">
        <f>'Sources and Uses Budget'!T32</f>
        <v>0</v>
      </c>
      <c r="I31" s="582"/>
      <c r="J31" s="582"/>
      <c r="K31" s="576"/>
    </row>
    <row r="32" spans="1:11" s="251" customFormat="1">
      <c r="A32" s="237" t="s">
        <v>914</v>
      </c>
      <c r="B32" s="581">
        <f>'Sources and Uses Budget'!C33</f>
        <v>397201</v>
      </c>
      <c r="C32" s="582"/>
      <c r="D32" s="582"/>
      <c r="E32" s="581">
        <f>'Sources and Uses Budget'!S33</f>
        <v>397201</v>
      </c>
      <c r="F32" s="582"/>
      <c r="G32" s="582"/>
      <c r="H32" s="581">
        <f>'Sources and Uses Budget'!T33</f>
        <v>0</v>
      </c>
      <c r="I32" s="582"/>
      <c r="J32" s="582"/>
      <c r="K32" s="576"/>
    </row>
    <row r="33" spans="1:11" s="251" customFormat="1">
      <c r="A33" s="237" t="s">
        <v>915</v>
      </c>
      <c r="B33" s="581">
        <f ca="1">'Sources and Uses Budget'!C34</f>
        <v>3950277</v>
      </c>
      <c r="C33" s="582"/>
      <c r="D33" s="582"/>
      <c r="E33" s="581">
        <f ca="1">'Sources and Uses Budget'!S34</f>
        <v>3950277</v>
      </c>
      <c r="F33" s="582"/>
      <c r="G33" s="582"/>
      <c r="H33" s="581">
        <f>'Sources and Uses Budget'!T34</f>
        <v>0</v>
      </c>
      <c r="I33" s="582"/>
      <c r="J33" s="582"/>
      <c r="K33" s="576"/>
    </row>
    <row r="34" spans="1:11" s="251" customFormat="1">
      <c r="A34" s="237" t="s">
        <v>916</v>
      </c>
      <c r="B34" s="581">
        <f>'Sources and Uses Budget'!C35</f>
        <v>433878</v>
      </c>
      <c r="C34" s="582"/>
      <c r="D34" s="582"/>
      <c r="E34" s="581">
        <f>'Sources and Uses Budget'!S35</f>
        <v>433878</v>
      </c>
      <c r="F34" s="582"/>
      <c r="G34" s="582"/>
      <c r="H34" s="581">
        <f>'Sources and Uses Budget'!T35</f>
        <v>0</v>
      </c>
      <c r="I34" s="582"/>
      <c r="J34" s="582"/>
      <c r="K34" s="576"/>
    </row>
    <row r="35" spans="1:11" s="251" customFormat="1">
      <c r="A35" s="237" t="str">
        <f>'Sources and Uses Budget'!$A36</f>
        <v>Third-party Construction Management</v>
      </c>
      <c r="B35" s="581">
        <f>'Sources and Uses Budget'!C36</f>
        <v>96000</v>
      </c>
      <c r="C35" s="582"/>
      <c r="D35" s="582"/>
      <c r="E35" s="581">
        <f>'Sources and Uses Budget'!S36</f>
        <v>96000</v>
      </c>
      <c r="F35" s="582"/>
      <c r="G35" s="582"/>
      <c r="H35" s="581">
        <f>'Sources and Uses Budget'!T36</f>
        <v>0</v>
      </c>
      <c r="I35" s="582"/>
      <c r="J35" s="582"/>
      <c r="K35" s="576"/>
    </row>
    <row r="36" spans="1:11" s="251" customFormat="1">
      <c r="A36" s="237" t="str">
        <f>'Sources and Uses Budget'!$A37</f>
        <v>PV system</v>
      </c>
      <c r="B36" s="581">
        <f>'Sources and Uses Budget'!C37</f>
        <v>196091</v>
      </c>
      <c r="C36" s="582"/>
      <c r="D36" s="582"/>
      <c r="E36" s="581">
        <f>'Sources and Uses Budget'!S37</f>
        <v>196091</v>
      </c>
      <c r="F36" s="582"/>
      <c r="G36" s="582"/>
      <c r="H36" s="581">
        <f>'Sources and Uses Budget'!T37</f>
        <v>0</v>
      </c>
      <c r="I36" s="582"/>
      <c r="J36" s="582"/>
      <c r="K36" s="576"/>
    </row>
    <row r="37" spans="1:11" s="251" customFormat="1">
      <c r="A37" s="241" t="s">
        <v>919</v>
      </c>
      <c r="B37" s="581">
        <f ca="1">'Sources and Uses Budget'!C38</f>
        <v>26960203</v>
      </c>
      <c r="C37" s="581">
        <f>SUM(C28:C36)</f>
        <v>0</v>
      </c>
      <c r="D37" s="581">
        <f>SUM(D28:D36)</f>
        <v>0</v>
      </c>
      <c r="E37" s="581">
        <f ca="1">'Sources and Uses Budget'!S38</f>
        <v>26960203</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902717</v>
      </c>
      <c r="C39" s="582"/>
      <c r="D39" s="582"/>
      <c r="E39" s="581">
        <f>'Sources and Uses Budget'!S40</f>
        <v>902717</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902717</v>
      </c>
      <c r="C41" s="581">
        <f>SUM(C38:C40)</f>
        <v>0</v>
      </c>
      <c r="D41" s="581">
        <f>SUM(D38:D40)</f>
        <v>0</v>
      </c>
      <c r="E41" s="581">
        <f>'Sources and Uses Budget'!S42</f>
        <v>902717</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581700</v>
      </c>
      <c r="C42" s="582"/>
      <c r="D42" s="582"/>
      <c r="E42" s="581">
        <f>'Sources and Uses Budget'!S43</f>
        <v>581700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1995183</v>
      </c>
      <c r="C44" s="582"/>
      <c r="D44" s="582"/>
      <c r="E44" s="581">
        <f>'Sources and Uses Budget'!S45</f>
        <v>1075214</v>
      </c>
      <c r="F44" s="582"/>
      <c r="G44" s="582"/>
      <c r="H44" s="581">
        <f>'Sources and Uses Budget'!T45</f>
        <v>0</v>
      </c>
      <c r="I44" s="582"/>
      <c r="J44" s="582"/>
      <c r="K44" s="576"/>
    </row>
    <row r="45" spans="1:11" s="251" customFormat="1">
      <c r="A45" s="237" t="s">
        <v>927</v>
      </c>
      <c r="B45" s="581">
        <f>'Sources and Uses Budget'!C46</f>
        <v>192754</v>
      </c>
      <c r="C45" s="582"/>
      <c r="D45" s="582"/>
      <c r="E45" s="581">
        <f>'Sources and Uses Budget'!S46</f>
        <v>192754</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100000</v>
      </c>
      <c r="C48" s="582"/>
      <c r="D48" s="582"/>
      <c r="E48" s="581">
        <f>'Sources and Uses Budget'!S49</f>
        <v>100000</v>
      </c>
      <c r="F48" s="582"/>
      <c r="G48" s="582"/>
      <c r="H48" s="581">
        <f>'Sources and Uses Budget'!T49</f>
        <v>0</v>
      </c>
      <c r="I48" s="582"/>
      <c r="J48" s="582"/>
      <c r="K48" s="576"/>
    </row>
    <row r="49" spans="1:11" s="251" customFormat="1">
      <c r="A49" s="237" t="s">
        <v>930</v>
      </c>
      <c r="B49" s="581">
        <f>'Sources and Uses Budget'!C50</f>
        <v>85000</v>
      </c>
      <c r="C49" s="582"/>
      <c r="D49" s="582"/>
      <c r="E49" s="581">
        <f>'Sources and Uses Budget'!S50</f>
        <v>85000</v>
      </c>
      <c r="F49" s="582"/>
      <c r="G49" s="582"/>
      <c r="H49" s="581">
        <f>'Sources and Uses Budget'!T50</f>
        <v>0</v>
      </c>
      <c r="I49" s="582"/>
      <c r="J49" s="582"/>
      <c r="K49" s="576"/>
    </row>
    <row r="50" spans="1:11" s="251" customFormat="1">
      <c r="A50" s="237" t="s">
        <v>931</v>
      </c>
      <c r="B50" s="581">
        <f>'Sources and Uses Budget'!C51</f>
        <v>400000</v>
      </c>
      <c r="C50" s="582"/>
      <c r="D50" s="582"/>
      <c r="E50" s="581">
        <f>'Sources and Uses Budget'!S51</f>
        <v>400000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933</v>
      </c>
      <c r="B52" s="581">
        <f>'Sources and Uses Budget'!C53</f>
        <v>2772937</v>
      </c>
      <c r="C52" s="584">
        <f>SUM(C44:C51)</f>
        <v>0</v>
      </c>
      <c r="D52" s="584">
        <f>SUM(D44:D51)</f>
        <v>0</v>
      </c>
      <c r="E52" s="581">
        <f>'Sources and Uses Budget'!S53</f>
        <v>1852968</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14516</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perm loan legal, lender + owner</v>
      </c>
      <c r="B59" s="581">
        <f>'Sources and Uses Budget'!C60</f>
        <v>35000</v>
      </c>
      <c r="C59" s="582"/>
      <c r="D59" s="582"/>
      <c r="E59" s="583"/>
      <c r="F59" s="583"/>
      <c r="G59" s="583"/>
      <c r="H59" s="583"/>
      <c r="I59" s="583"/>
      <c r="J59" s="583"/>
      <c r="K59" s="576"/>
    </row>
    <row r="60" spans="1:11" s="251" customFormat="1" ht="13.9" customHeight="1">
      <c r="A60" s="241" t="s">
        <v>500</v>
      </c>
      <c r="B60" s="581">
        <f>'Sources and Uses Budget'!C61</f>
        <v>59516</v>
      </c>
      <c r="C60" s="581">
        <f>SUM(C54:C59)</f>
        <v>0</v>
      </c>
      <c r="D60" s="581">
        <f>SUM(D54:D59)</f>
        <v>0</v>
      </c>
      <c r="E60" s="583"/>
      <c r="F60" s="583"/>
      <c r="G60" s="583"/>
      <c r="H60" s="583"/>
      <c r="I60" s="583"/>
      <c r="J60" s="583"/>
      <c r="K60" s="576"/>
    </row>
    <row r="61" spans="1:11" s="251" customFormat="1">
      <c r="A61" s="247" t="s">
        <v>501</v>
      </c>
      <c r="B61" s="581">
        <f ca="1">'Sources and Uses Budget'!C62</f>
        <v>33624734</v>
      </c>
      <c r="C61" s="581">
        <f>SUM(C8+C11+C13+C14+C15+C25+C26+C37+C41+C42+C52+C60)</f>
        <v>0</v>
      </c>
      <c r="D61" s="581">
        <f>SUM(D8+D11+D13+D14+D15+D25+D26+D37+D41+D42+D52+D60)</f>
        <v>0</v>
      </c>
      <c r="E61" s="581">
        <f ca="1">'Sources and Uses Budget'!S62</f>
        <v>30639832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115000</v>
      </c>
      <c r="C63" s="582"/>
      <c r="D63" s="582"/>
      <c r="E63" s="581">
        <f>'Sources and Uses Budget'!S64</f>
        <v>115000</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145000</v>
      </c>
      <c r="C67" s="582"/>
      <c r="D67" s="582"/>
      <c r="E67" s="581">
        <f>'Sources and Uses Budget'!S68</f>
        <v>145000</v>
      </c>
      <c r="F67" s="582"/>
      <c r="G67" s="582"/>
      <c r="H67" s="581">
        <f>'Sources and Uses Budget'!T68</f>
        <v>0</v>
      </c>
      <c r="I67" s="582"/>
      <c r="J67" s="582"/>
      <c r="K67" s="576"/>
    </row>
    <row r="68" spans="1:11" s="251" customFormat="1">
      <c r="A68" s="241" t="s">
        <v>1945</v>
      </c>
      <c r="B68" s="581">
        <f>'Sources and Uses Budget'!C69</f>
        <v>260000</v>
      </c>
      <c r="C68" s="581">
        <f>SUM(C62:C67)</f>
        <v>0</v>
      </c>
      <c r="D68" s="581">
        <f>SUM(D62:D67)</f>
        <v>0</v>
      </c>
      <c r="E68" s="581">
        <f>'Sources and Uses Budget'!S69</f>
        <v>260000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350008</v>
      </c>
      <c r="C73" s="582"/>
      <c r="D73" s="582"/>
      <c r="E73" s="583"/>
      <c r="F73" s="583"/>
      <c r="G73" s="583"/>
      <c r="H73" s="583"/>
      <c r="I73" s="583"/>
      <c r="J73" s="583"/>
      <c r="K73" s="576"/>
    </row>
    <row r="74" spans="1:11" s="251" customFormat="1">
      <c r="A74" s="237" t="str">
        <f>'Sources and Uses Budget'!$A75</f>
        <v>HCD transition reserve pool fee</v>
      </c>
      <c r="B74" s="581">
        <f>'Sources and Uses Budget'!C75</f>
        <v>174024</v>
      </c>
      <c r="C74" s="582"/>
      <c r="D74" s="582"/>
      <c r="E74" s="583"/>
      <c r="F74" s="583"/>
      <c r="G74" s="583"/>
      <c r="H74" s="583"/>
      <c r="I74" s="583"/>
      <c r="J74" s="583"/>
      <c r="K74" s="576"/>
    </row>
    <row r="75" spans="1:11" s="251" customFormat="1">
      <c r="A75" s="241" t="s">
        <v>289</v>
      </c>
      <c r="B75" s="581">
        <f>'Sources and Uses Budget'!C76</f>
        <v>524032</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1385511</v>
      </c>
      <c r="C77" s="582"/>
      <c r="D77" s="582"/>
      <c r="E77" s="581">
        <f>'Sources and Uses Budget'!S78</f>
        <v>1385511</v>
      </c>
      <c r="F77" s="582"/>
      <c r="G77" s="582"/>
      <c r="H77" s="581">
        <f>'Sources and Uses Budget'!T78</f>
        <v>0</v>
      </c>
      <c r="I77" s="582"/>
      <c r="J77" s="582"/>
      <c r="K77" s="576"/>
    </row>
    <row r="78" spans="1:11" s="251" customFormat="1">
      <c r="A78" s="237" t="s">
        <v>538</v>
      </c>
      <c r="B78" s="581">
        <f>'Sources and Uses Budget'!C79</f>
        <v>450000</v>
      </c>
      <c r="C78" s="582"/>
      <c r="D78" s="582"/>
      <c r="E78" s="581">
        <f>'Sources and Uses Budget'!S79</f>
        <v>450000</v>
      </c>
      <c r="F78" s="582"/>
      <c r="G78" s="582"/>
      <c r="H78" s="581">
        <f>'Sources and Uses Budget'!T79</f>
        <v>0</v>
      </c>
      <c r="I78" s="582"/>
      <c r="J78" s="582"/>
      <c r="K78" s="576"/>
    </row>
    <row r="79" spans="1:11" s="251" customFormat="1">
      <c r="A79" s="241" t="s">
        <v>1734</v>
      </c>
      <c r="B79" s="581">
        <f>'Sources and Uses Budget'!C80</f>
        <v>1835511</v>
      </c>
      <c r="C79" s="664">
        <f>SUM(C77:C78)</f>
        <v>0</v>
      </c>
      <c r="D79" s="664">
        <f>SUM(D77:D78)</f>
        <v>0</v>
      </c>
      <c r="E79" s="581">
        <f>'Sources and Uses Budget'!S80</f>
        <v>1835511</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133500</v>
      </c>
      <c r="C81" s="582"/>
      <c r="D81" s="582"/>
      <c r="E81" s="583"/>
      <c r="F81" s="583"/>
      <c r="G81" s="583"/>
      <c r="H81" s="583"/>
      <c r="I81" s="583"/>
      <c r="J81" s="583"/>
      <c r="K81" s="576"/>
    </row>
    <row r="82" spans="1:11" s="251" customFormat="1">
      <c r="A82" s="237" t="s">
        <v>516</v>
      </c>
      <c r="B82" s="581">
        <f>'Sources and Uses Budget'!C83</f>
        <v>92223</v>
      </c>
      <c r="C82" s="582"/>
      <c r="D82" s="582"/>
      <c r="E82" s="581">
        <f>'Sources and Uses Budget'!S83</f>
        <v>92223</v>
      </c>
      <c r="F82" s="582"/>
      <c r="G82" s="582"/>
      <c r="H82" s="581">
        <f>'Sources and Uses Budget'!T83</f>
        <v>0</v>
      </c>
      <c r="I82" s="582"/>
      <c r="J82" s="582"/>
      <c r="K82" s="576"/>
    </row>
    <row r="83" spans="1:11" s="251" customFormat="1">
      <c r="A83" s="237" t="s">
        <v>517</v>
      </c>
      <c r="B83" s="581">
        <f>'Sources and Uses Budget'!C84</f>
        <v>650000</v>
      </c>
      <c r="C83" s="582"/>
      <c r="D83" s="582"/>
      <c r="E83" s="581">
        <f>'Sources and Uses Budget'!S84</f>
        <v>650000</v>
      </c>
      <c r="F83" s="582"/>
      <c r="G83" s="582"/>
      <c r="H83" s="581">
        <f>'Sources and Uses Budget'!T84</f>
        <v>0</v>
      </c>
      <c r="I83" s="582"/>
      <c r="J83" s="582"/>
      <c r="K83" s="576"/>
    </row>
    <row r="84" spans="1:11" s="251" customFormat="1">
      <c r="A84" s="237" t="s">
        <v>518</v>
      </c>
      <c r="B84" s="581">
        <f>'Sources and Uses Budget'!C85</f>
        <v>740000</v>
      </c>
      <c r="C84" s="582"/>
      <c r="D84" s="582"/>
      <c r="E84" s="581">
        <f>'Sources and Uses Budget'!S85</f>
        <v>740000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306000</v>
      </c>
      <c r="C86" s="582"/>
      <c r="D86" s="582"/>
      <c r="E86" s="583"/>
      <c r="F86" s="583"/>
      <c r="G86" s="583"/>
      <c r="H86" s="583"/>
      <c r="I86" s="583"/>
      <c r="J86" s="583"/>
      <c r="K86" s="576"/>
    </row>
    <row r="87" spans="1:11" s="251" customFormat="1">
      <c r="A87" s="237" t="s">
        <v>521</v>
      </c>
      <c r="B87" s="581">
        <f>'Sources and Uses Budget'!C88</f>
        <v>185500</v>
      </c>
      <c r="C87" s="582"/>
      <c r="D87" s="582"/>
      <c r="E87" s="581">
        <f>'Sources and Uses Budget'!S88</f>
        <v>185500</v>
      </c>
      <c r="F87" s="582"/>
      <c r="G87" s="582"/>
      <c r="H87" s="581">
        <f>'Sources and Uses Budget'!T88</f>
        <v>0</v>
      </c>
      <c r="I87" s="582"/>
      <c r="J87" s="582"/>
      <c r="K87" s="576"/>
    </row>
    <row r="88" spans="1:11" s="251" customFormat="1">
      <c r="A88" s="237" t="s">
        <v>522</v>
      </c>
      <c r="B88" s="581">
        <f>'Sources and Uses Budget'!C89</f>
        <v>17000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25000</v>
      </c>
      <c r="C90" s="582"/>
      <c r="D90" s="582"/>
      <c r="E90" s="581">
        <f>'Sources and Uses Budget'!S91</f>
        <v>25000</v>
      </c>
      <c r="F90" s="582"/>
      <c r="G90" s="582"/>
      <c r="H90" s="581">
        <f>'Sources and Uses Budget'!T91</f>
        <v>0</v>
      </c>
      <c r="I90" s="582"/>
      <c r="J90" s="582"/>
      <c r="K90" s="576"/>
    </row>
    <row r="91" spans="1:11" s="251" customFormat="1">
      <c r="A91" s="237" t="str">
        <f>'Sources and Uses Budget'!$A92</f>
        <v>security during construction</v>
      </c>
      <c r="B91" s="581">
        <f>'Sources and Uses Budget'!C92</f>
        <v>350000</v>
      </c>
      <c r="C91" s="582"/>
      <c r="D91" s="582"/>
      <c r="E91" s="581">
        <f>'Sources and Uses Budget'!S92</f>
        <v>350000</v>
      </c>
      <c r="F91" s="582"/>
      <c r="G91" s="582"/>
      <c r="H91" s="581">
        <f>'Sources and Uses Budget'!T92</f>
        <v>0</v>
      </c>
      <c r="I91" s="582"/>
      <c r="J91" s="582"/>
      <c r="K91" s="576"/>
    </row>
    <row r="92" spans="1:11" s="251" customFormat="1">
      <c r="A92" s="237" t="str">
        <f>'Sources and Uses Budget'!$A93</f>
        <v>prevailing wage monitoring</v>
      </c>
      <c r="B92" s="581">
        <f>'Sources and Uses Budget'!C93</f>
        <v>140000</v>
      </c>
      <c r="C92" s="582"/>
      <c r="D92" s="582"/>
      <c r="E92" s="581">
        <f>'Sources and Uses Budget'!S93</f>
        <v>140000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2639223</v>
      </c>
      <c r="C94" s="581">
        <f>SUM(C81:C93)</f>
        <v>0</v>
      </c>
      <c r="D94" s="581">
        <f>SUM(D81:D93)</f>
        <v>0</v>
      </c>
      <c r="E94" s="581">
        <f>'Sources and Uses Budget'!S95</f>
        <v>2182723</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 ca="1">'Sources and Uses Budget'!C96</f>
        <v>38883500</v>
      </c>
      <c r="C95" s="581">
        <f>SUM(C61+C68+C75+C79+C94)</f>
        <v>0</v>
      </c>
      <c r="D95" s="581">
        <f>SUM(D61+D68+D75+D79+D94)</f>
        <v>0</v>
      </c>
      <c r="E95" s="581">
        <f ca="1">'Sources and Uses Budget'!S96</f>
        <v>34918066</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1356</v>
      </c>
      <c r="B103" s="581">
        <f ca="1">'Sources and Uses Budget'!C104</f>
        <v>41683500</v>
      </c>
      <c r="C103" s="584">
        <f>SUM(C95+C102)</f>
        <v>0</v>
      </c>
      <c r="D103" s="584">
        <f>SUM(D95+D102)</f>
        <v>0</v>
      </c>
      <c r="E103" s="581">
        <f ca="1">'Sources and Uses Budget'!S104</f>
        <v>37718066</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 ca="1">'Sources and Uses Budget'!S106</f>
        <v>37718066</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54D1-B614-4070-841B-DF04BAEA0B48}">
  <dimension ref="A1"/>
  <sheetViews>
    <sheetView workbookViewId="0"/>
  </sheetViews>
  <sheetFormatPr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97" workbookViewId="0">
      <selection activeCell="B16" sqref="B16:AJ1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6" t="s">
        <v>364</v>
      </c>
      <c r="AF4" s="1706"/>
      <c r="AG4" s="1706"/>
      <c r="AH4" s="1706"/>
      <c r="AI4" s="1706"/>
      <c r="AJ4" s="1706"/>
      <c r="AK4" s="1706"/>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2469</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6" t="s">
        <v>1243</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31" t="s">
        <v>108</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6" t="s">
        <v>1119</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9" t="s">
        <v>2192</v>
      </c>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09"/>
      <c r="AI20" s="1709"/>
      <c r="AJ20" s="1709"/>
      <c r="AK20" s="1709"/>
      <c r="AL20" s="101"/>
      <c r="AM20" s="27"/>
      <c r="AN20" s="667"/>
    </row>
    <row r="21" spans="1:42" s="5" customFormat="1" ht="12.75" customHeight="1">
      <c r="A21" s="27"/>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09"/>
      <c r="Z21" s="1709"/>
      <c r="AA21" s="1709"/>
      <c r="AB21" s="1709"/>
      <c r="AC21" s="1709"/>
      <c r="AD21" s="1709"/>
      <c r="AE21" s="1709"/>
      <c r="AF21" s="1709"/>
      <c r="AG21" s="1709"/>
      <c r="AH21" s="1709"/>
      <c r="AI21" s="1709"/>
      <c r="AJ21" s="1709"/>
      <c r="AK21" s="1709"/>
      <c r="AL21" s="101"/>
      <c r="AM21" s="27"/>
      <c r="AN21" s="667"/>
      <c r="AP21" s="338"/>
    </row>
    <row r="22" spans="1:42" s="5" customFormat="1" ht="12.75" customHeight="1">
      <c r="A22" s="27"/>
      <c r="B22" s="1709"/>
      <c r="C22" s="1709"/>
      <c r="D22" s="1709"/>
      <c r="E22" s="1709"/>
      <c r="F22" s="1709"/>
      <c r="G22" s="1709"/>
      <c r="H22" s="1709"/>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01"/>
      <c r="AM22" s="27"/>
      <c r="AN22" s="667"/>
    </row>
    <row r="23" spans="1:42" s="4" customFormat="1" ht="12.75" customHeight="1">
      <c r="A23" s="27"/>
      <c r="B23" s="1709"/>
      <c r="C23" s="1709"/>
      <c r="D23" s="1709"/>
      <c r="E23" s="1709"/>
      <c r="F23" s="1709"/>
      <c r="G23" s="1709"/>
      <c r="H23" s="1709"/>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01"/>
      <c r="AM23" s="27"/>
      <c r="AN23" s="279"/>
    </row>
    <row r="24" spans="1:42" s="4" customFormat="1" ht="12.75" customHeight="1">
      <c r="A24" s="27"/>
      <c r="B24" s="1709"/>
      <c r="C24" s="1709"/>
      <c r="D24" s="1709"/>
      <c r="E24" s="1709"/>
      <c r="F24" s="1709"/>
      <c r="G24" s="1709"/>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01"/>
      <c r="AM24" s="27"/>
      <c r="AN24" s="669"/>
      <c r="AO24" s="91"/>
    </row>
    <row r="25" spans="1:42" s="4" customFormat="1" ht="12.75" customHeight="1">
      <c r="A25" s="27"/>
      <c r="B25" s="1709"/>
      <c r="C25" s="1709"/>
      <c r="D25" s="1709"/>
      <c r="E25" s="1709"/>
      <c r="F25" s="1709"/>
      <c r="G25" s="1709"/>
      <c r="H25" s="1709"/>
      <c r="I25" s="1709"/>
      <c r="J25" s="1709"/>
      <c r="K25" s="1709"/>
      <c r="L25" s="1709"/>
      <c r="M25" s="1709"/>
      <c r="N25" s="1709"/>
      <c r="O25" s="1709"/>
      <c r="P25" s="1709"/>
      <c r="Q25" s="1709"/>
      <c r="R25" s="1709"/>
      <c r="S25" s="1709"/>
      <c r="T25" s="1709"/>
      <c r="U25" s="1709"/>
      <c r="V25" s="1709"/>
      <c r="W25" s="1709"/>
      <c r="X25" s="1709"/>
      <c r="Y25" s="1709"/>
      <c r="Z25" s="1709"/>
      <c r="AA25" s="1709"/>
      <c r="AB25" s="1709"/>
      <c r="AC25" s="1709"/>
      <c r="AD25" s="1709"/>
      <c r="AE25" s="1709"/>
      <c r="AF25" s="1709"/>
      <c r="AG25" s="1709"/>
      <c r="AH25" s="1709"/>
      <c r="AI25" s="1709"/>
      <c r="AJ25" s="1709"/>
      <c r="AK25" s="1709"/>
      <c r="AL25" s="101"/>
      <c r="AM25" s="27"/>
      <c r="AN25" s="669"/>
    </row>
    <row r="26" spans="1:42" s="4" customFormat="1" ht="12.75" customHeight="1">
      <c r="A26" s="27"/>
      <c r="B26" s="1709"/>
      <c r="C26" s="1709"/>
      <c r="D26" s="1709"/>
      <c r="E26" s="1709"/>
      <c r="F26" s="1709"/>
      <c r="G26" s="1709"/>
      <c r="H26" s="1709"/>
      <c r="I26" s="1709"/>
      <c r="J26" s="1709"/>
      <c r="K26" s="1709"/>
      <c r="L26" s="1709"/>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01"/>
      <c r="AM26" s="27"/>
      <c r="AN26" s="279"/>
    </row>
    <row r="27" spans="1:42" s="4" customFormat="1" ht="12.75" customHeight="1">
      <c r="A27" s="27"/>
      <c r="B27" s="1709"/>
      <c r="C27" s="1709"/>
      <c r="D27" s="1709"/>
      <c r="E27" s="1709"/>
      <c r="F27" s="1709"/>
      <c r="G27" s="1709"/>
      <c r="H27" s="1709"/>
      <c r="I27" s="1709"/>
      <c r="J27" s="1709"/>
      <c r="K27" s="1709"/>
      <c r="L27" s="1709"/>
      <c r="M27" s="1709"/>
      <c r="N27" s="1709"/>
      <c r="O27" s="1709"/>
      <c r="P27" s="1709"/>
      <c r="Q27" s="1709"/>
      <c r="R27" s="1709"/>
      <c r="S27" s="1709"/>
      <c r="T27" s="1709"/>
      <c r="U27" s="1709"/>
      <c r="V27" s="1709"/>
      <c r="W27" s="1709"/>
      <c r="X27" s="1709"/>
      <c r="Y27" s="1709"/>
      <c r="Z27" s="1709"/>
      <c r="AA27" s="1709"/>
      <c r="AB27" s="1709"/>
      <c r="AC27" s="1709"/>
      <c r="AD27" s="1709"/>
      <c r="AE27" s="1709"/>
      <c r="AF27" s="1709"/>
      <c r="AG27" s="1709"/>
      <c r="AH27" s="1709"/>
      <c r="AI27" s="1709"/>
      <c r="AJ27" s="1709"/>
      <c r="AK27" s="1709"/>
      <c r="AL27" s="101"/>
      <c r="AM27" s="27"/>
      <c r="AN27" s="611"/>
    </row>
    <row r="28" spans="1:42" s="4" customFormat="1" ht="12.75" customHeight="1">
      <c r="A28" s="27"/>
      <c r="B28" s="1709"/>
      <c r="C28" s="1709"/>
      <c r="D28" s="1709"/>
      <c r="E28" s="1709"/>
      <c r="F28" s="1709"/>
      <c r="G28" s="1709"/>
      <c r="H28" s="1709"/>
      <c r="I28" s="1709"/>
      <c r="J28" s="1709"/>
      <c r="K28" s="1709"/>
      <c r="L28" s="1709"/>
      <c r="M28" s="1709"/>
      <c r="N28" s="1709"/>
      <c r="O28" s="1709"/>
      <c r="P28" s="1709"/>
      <c r="Q28" s="1709"/>
      <c r="R28" s="1709"/>
      <c r="S28" s="1709"/>
      <c r="T28" s="1709"/>
      <c r="U28" s="1709"/>
      <c r="V28" s="1709"/>
      <c r="W28" s="1709"/>
      <c r="X28" s="1709"/>
      <c r="Y28" s="1709"/>
      <c r="Z28" s="1709"/>
      <c r="AA28" s="1709"/>
      <c r="AB28" s="1709"/>
      <c r="AC28" s="1709"/>
      <c r="AD28" s="1709"/>
      <c r="AE28" s="1709"/>
      <c r="AF28" s="1709"/>
      <c r="AG28" s="1709"/>
      <c r="AH28" s="1709"/>
      <c r="AI28" s="1709"/>
      <c r="AJ28" s="1709"/>
      <c r="AK28" s="1709"/>
      <c r="AL28" s="101"/>
      <c r="AM28" s="27"/>
      <c r="AN28" s="611"/>
    </row>
    <row r="29" spans="1:42" s="4" customFormat="1" ht="31.7" customHeight="1">
      <c r="A29" s="27"/>
      <c r="B29" s="1709"/>
      <c r="C29" s="1709"/>
      <c r="D29" s="1709"/>
      <c r="E29" s="1709"/>
      <c r="F29" s="1709"/>
      <c r="G29" s="1709"/>
      <c r="H29" s="1709"/>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6" t="str">
        <f>Application!AA329</f>
        <v>FPI Management Corporation</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6" t="s">
        <v>1247</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6" t="s">
        <v>108</v>
      </c>
      <c r="AA40" s="172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1119</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1"/>
      <c r="AL47" s="317"/>
      <c r="AM47" s="90"/>
      <c r="AN47" s="279"/>
    </row>
    <row r="48" spans="1:42" s="4" customFormat="1" ht="12.75" customHeight="1">
      <c r="A48" s="5"/>
      <c r="B48" s="42"/>
      <c r="R48" s="5"/>
      <c r="S48" s="42"/>
      <c r="AN48" s="279"/>
    </row>
    <row r="49" spans="1:46" s="4" customFormat="1" ht="12.75" customHeight="1">
      <c r="B49" s="1709" t="s">
        <v>1468</v>
      </c>
      <c r="C49" s="1709"/>
      <c r="D49" s="1709"/>
      <c r="E49" s="1709"/>
      <c r="F49" s="1709"/>
      <c r="G49" s="1709"/>
      <c r="H49" s="1709"/>
      <c r="I49" s="1709"/>
      <c r="J49" s="1709"/>
      <c r="K49" s="1709"/>
      <c r="L49" s="1709"/>
      <c r="M49" s="1709"/>
      <c r="N49" s="1709"/>
      <c r="O49" s="1709"/>
      <c r="P49" s="1709"/>
      <c r="Q49" s="1709"/>
      <c r="R49" s="1709"/>
      <c r="S49" s="1709"/>
      <c r="T49" s="1709"/>
      <c r="U49" s="1709"/>
      <c r="V49" s="1709"/>
      <c r="W49" s="1709"/>
      <c r="X49" s="1709"/>
      <c r="Y49" s="1709"/>
      <c r="Z49" s="1709"/>
      <c r="AA49" s="1709"/>
      <c r="AB49" s="1709"/>
      <c r="AC49" s="1709"/>
      <c r="AD49" s="1709"/>
      <c r="AE49" s="1709"/>
      <c r="AF49" s="1709"/>
      <c r="AG49" s="1709"/>
      <c r="AH49" s="1709"/>
      <c r="AI49" s="1709"/>
      <c r="AJ49" s="1709"/>
      <c r="AK49" s="1709"/>
      <c r="AL49" s="101"/>
      <c r="AM49" s="27"/>
      <c r="AN49" s="279"/>
    </row>
    <row r="50" spans="1:46" s="4" customFormat="1" ht="12.75" customHeight="1">
      <c r="A50" s="26"/>
      <c r="B50" s="1709"/>
      <c r="C50" s="1709"/>
      <c r="D50" s="1709"/>
      <c r="E50" s="1709"/>
      <c r="F50" s="1709"/>
      <c r="G50" s="1709"/>
      <c r="H50" s="1709"/>
      <c r="I50" s="1709"/>
      <c r="J50" s="1709"/>
      <c r="K50" s="1709"/>
      <c r="L50" s="1709"/>
      <c r="M50" s="1709"/>
      <c r="N50" s="1709"/>
      <c r="O50" s="1709"/>
      <c r="P50" s="1709"/>
      <c r="Q50" s="1709"/>
      <c r="R50" s="1709"/>
      <c r="S50" s="1709"/>
      <c r="T50" s="1709"/>
      <c r="U50" s="1709"/>
      <c r="V50" s="1709"/>
      <c r="W50" s="1709"/>
      <c r="X50" s="1709"/>
      <c r="Y50" s="1709"/>
      <c r="Z50" s="1709"/>
      <c r="AA50" s="1709"/>
      <c r="AB50" s="1709"/>
      <c r="AC50" s="1709"/>
      <c r="AD50" s="1709"/>
      <c r="AE50" s="1709"/>
      <c r="AF50" s="1709"/>
      <c r="AG50" s="1709"/>
      <c r="AH50" s="1709"/>
      <c r="AI50" s="1709"/>
      <c r="AJ50" s="1709"/>
      <c r="AK50" s="1709"/>
      <c r="AL50" s="101"/>
      <c r="AM50" s="27"/>
      <c r="AN50" s="279"/>
    </row>
    <row r="51" spans="1:46" s="4" customFormat="1" ht="12.75" customHeight="1">
      <c r="A51" s="26"/>
      <c r="B51" s="1709"/>
      <c r="C51" s="1709"/>
      <c r="D51" s="1709"/>
      <c r="E51" s="1709"/>
      <c r="F51" s="1709"/>
      <c r="G51" s="1709"/>
      <c r="H51" s="1709"/>
      <c r="I51" s="1709"/>
      <c r="J51" s="1709"/>
      <c r="K51" s="1709"/>
      <c r="L51" s="1709"/>
      <c r="M51" s="1709"/>
      <c r="N51" s="1709"/>
      <c r="O51" s="1709"/>
      <c r="P51" s="1709"/>
      <c r="Q51" s="1709"/>
      <c r="R51" s="1709"/>
      <c r="S51" s="1709"/>
      <c r="T51" s="1709"/>
      <c r="U51" s="1709"/>
      <c r="V51" s="1709"/>
      <c r="W51" s="1709"/>
      <c r="X51" s="1709"/>
      <c r="Y51" s="1709"/>
      <c r="Z51" s="1709"/>
      <c r="AA51" s="1709"/>
      <c r="AB51" s="1709"/>
      <c r="AC51" s="1709"/>
      <c r="AD51" s="1709"/>
      <c r="AE51" s="1709"/>
      <c r="AF51" s="1709"/>
      <c r="AG51" s="1709"/>
      <c r="AH51" s="1709"/>
      <c r="AI51" s="1709"/>
      <c r="AJ51" s="1709"/>
      <c r="AK51" s="1709"/>
      <c r="AL51" s="101"/>
      <c r="AM51" s="27"/>
      <c r="AN51" s="279"/>
    </row>
    <row r="52" spans="1:46" s="4" customFormat="1" ht="12.75" customHeight="1">
      <c r="A52" s="26"/>
      <c r="B52" s="1709"/>
      <c r="C52" s="1709"/>
      <c r="D52" s="1709"/>
      <c r="E52" s="1709"/>
      <c r="F52" s="1709"/>
      <c r="G52" s="1709"/>
      <c r="H52" s="1709"/>
      <c r="I52" s="1709"/>
      <c r="J52" s="1709"/>
      <c r="K52" s="1709"/>
      <c r="L52" s="1709"/>
      <c r="M52" s="1709"/>
      <c r="N52" s="1709"/>
      <c r="O52" s="1709"/>
      <c r="P52" s="1709"/>
      <c r="Q52" s="1709"/>
      <c r="R52" s="1709"/>
      <c r="S52" s="1709"/>
      <c r="T52" s="1709"/>
      <c r="U52" s="1709"/>
      <c r="V52" s="1709"/>
      <c r="W52" s="1709"/>
      <c r="X52" s="1709"/>
      <c r="Y52" s="1709"/>
      <c r="Z52" s="1709"/>
      <c r="AA52" s="1709"/>
      <c r="AB52" s="1709"/>
      <c r="AC52" s="1709"/>
      <c r="AD52" s="1709"/>
      <c r="AE52" s="1709"/>
      <c r="AF52" s="1709"/>
      <c r="AG52" s="1709"/>
      <c r="AH52" s="1709"/>
      <c r="AI52" s="1709"/>
      <c r="AJ52" s="1709"/>
      <c r="AK52" s="1709"/>
      <c r="AL52" s="101"/>
      <c r="AM52" s="27"/>
      <c r="AN52" s="279"/>
    </row>
    <row r="53" spans="1:46" s="4" customFormat="1" ht="12.75" customHeight="1">
      <c r="A53" s="26"/>
      <c r="B53" s="1709"/>
      <c r="C53" s="1709"/>
      <c r="D53" s="1709"/>
      <c r="E53" s="1709"/>
      <c r="F53" s="1709"/>
      <c r="G53" s="1709"/>
      <c r="H53" s="1709"/>
      <c r="I53" s="1709"/>
      <c r="J53" s="1709"/>
      <c r="K53" s="1709"/>
      <c r="L53" s="1709"/>
      <c r="M53" s="1709"/>
      <c r="N53" s="1709"/>
      <c r="O53" s="1709"/>
      <c r="P53" s="1709"/>
      <c r="Q53" s="1709"/>
      <c r="R53" s="1709"/>
      <c r="S53" s="1709"/>
      <c r="T53" s="1709"/>
      <c r="U53" s="1709"/>
      <c r="V53" s="1709"/>
      <c r="W53" s="1709"/>
      <c r="X53" s="1709"/>
      <c r="Y53" s="1709"/>
      <c r="Z53" s="1709"/>
      <c r="AA53" s="1709"/>
      <c r="AB53" s="1709"/>
      <c r="AC53" s="1709"/>
      <c r="AD53" s="1709"/>
      <c r="AE53" s="1709"/>
      <c r="AF53" s="1709"/>
      <c r="AG53" s="1709"/>
      <c r="AH53" s="1709"/>
      <c r="AI53" s="1709"/>
      <c r="AJ53" s="1709"/>
      <c r="AK53" s="1709"/>
      <c r="AL53" s="101"/>
      <c r="AM53" s="27"/>
      <c r="AN53" s="279"/>
    </row>
    <row r="54" spans="1:46" s="4" customFormat="1" ht="12.75" customHeight="1">
      <c r="A54" s="26"/>
      <c r="B54" s="1709"/>
      <c r="C54" s="1709"/>
      <c r="D54" s="1709"/>
      <c r="E54" s="1709"/>
      <c r="F54" s="1709"/>
      <c r="G54" s="1709"/>
      <c r="H54" s="1709"/>
      <c r="I54" s="1709"/>
      <c r="J54" s="1709"/>
      <c r="K54" s="1709"/>
      <c r="L54" s="1709"/>
      <c r="M54" s="1709"/>
      <c r="N54" s="1709"/>
      <c r="O54" s="1709"/>
      <c r="P54" s="1709"/>
      <c r="Q54" s="1709"/>
      <c r="R54" s="1709"/>
      <c r="S54" s="1709"/>
      <c r="T54" s="1709"/>
      <c r="U54" s="1709"/>
      <c r="V54" s="1709"/>
      <c r="W54" s="1709"/>
      <c r="X54" s="1709"/>
      <c r="Y54" s="1709"/>
      <c r="Z54" s="1709"/>
      <c r="AA54" s="1709"/>
      <c r="AB54" s="1709"/>
      <c r="AC54" s="1709"/>
      <c r="AD54" s="1709"/>
      <c r="AE54" s="1709"/>
      <c r="AF54" s="1709"/>
      <c r="AG54" s="1709"/>
      <c r="AH54" s="1709"/>
      <c r="AI54" s="1709"/>
      <c r="AJ54" s="1709"/>
      <c r="AK54" s="1709"/>
      <c r="AL54" s="101"/>
      <c r="AM54" s="27"/>
      <c r="AN54" s="279"/>
    </row>
    <row r="55" spans="1:46" s="4" customFormat="1" ht="33.4" customHeight="1">
      <c r="A55" s="26"/>
      <c r="B55" s="1709"/>
      <c r="C55" s="1709"/>
      <c r="D55" s="1709"/>
      <c r="E55" s="1709"/>
      <c r="F55" s="1709"/>
      <c r="G55" s="1709"/>
      <c r="H55" s="1709"/>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c r="AH55" s="1709"/>
      <c r="AI55" s="1709"/>
      <c r="AJ55" s="1709"/>
      <c r="AK55" s="170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9" t="s">
        <v>2185</v>
      </c>
      <c r="C57" s="1709"/>
      <c r="D57" s="1709"/>
      <c r="E57" s="1709"/>
      <c r="F57" s="1709"/>
      <c r="G57" s="1709"/>
      <c r="H57" s="1709"/>
      <c r="I57" s="1709"/>
      <c r="J57" s="1709"/>
      <c r="K57" s="1709"/>
      <c r="L57" s="1709"/>
      <c r="M57" s="1709"/>
      <c r="N57" s="1709"/>
      <c r="O57" s="1709"/>
      <c r="P57" s="1709"/>
      <c r="Q57" s="1709"/>
      <c r="R57" s="1709"/>
      <c r="S57" s="1709"/>
      <c r="T57" s="1709"/>
      <c r="U57" s="1709"/>
      <c r="V57" s="1709"/>
      <c r="W57" s="1709"/>
      <c r="X57" s="1709"/>
      <c r="Y57" s="1709"/>
      <c r="Z57" s="1709"/>
      <c r="AA57" s="1709"/>
      <c r="AB57" s="1709"/>
      <c r="AC57" s="1709"/>
      <c r="AD57" s="1709"/>
      <c r="AE57" s="1709"/>
      <c r="AF57" s="1709"/>
      <c r="AG57" s="1709"/>
      <c r="AH57" s="1709"/>
      <c r="AI57" s="1709"/>
      <c r="AJ57" s="1709"/>
      <c r="AK57" s="1709"/>
      <c r="AL57" s="101"/>
      <c r="AM57" s="27"/>
      <c r="AN57" s="279"/>
    </row>
    <row r="58" spans="1:46" s="4" customFormat="1" ht="12.75" customHeight="1">
      <c r="B58" s="1709"/>
      <c r="C58" s="1709"/>
      <c r="D58" s="1709"/>
      <c r="E58" s="1709"/>
      <c r="F58" s="1709"/>
      <c r="G58" s="1709"/>
      <c r="H58" s="1709"/>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c r="AH58" s="1709"/>
      <c r="AI58" s="1709"/>
      <c r="AJ58" s="1709"/>
      <c r="AK58" s="1709"/>
      <c r="AL58" s="101"/>
      <c r="AM58" s="27"/>
      <c r="AN58" s="279"/>
    </row>
    <row r="59" spans="1:46" s="4" customFormat="1" ht="22.9" customHeight="1">
      <c r="A59" s="423"/>
      <c r="B59" s="1709"/>
      <c r="C59" s="1709"/>
      <c r="D59" s="1709"/>
      <c r="E59" s="1709"/>
      <c r="F59" s="1709"/>
      <c r="G59" s="1709"/>
      <c r="H59" s="1709"/>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c r="AH59" s="1709"/>
      <c r="AI59" s="1709"/>
      <c r="AJ59" s="1709"/>
      <c r="AK59" s="170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8">
        <f>$AJ$31+$AJ$47</f>
        <v>10</v>
      </c>
      <c r="AL61" s="1839"/>
      <c r="AM61" s="184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6" t="s">
        <v>364</v>
      </c>
      <c r="AF64" s="1706"/>
      <c r="AG64" s="1706"/>
      <c r="AH64" s="1706"/>
      <c r="AI64" s="1706"/>
      <c r="AJ64" s="1706"/>
      <c r="AK64" s="1706"/>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6" t="s">
        <v>664</v>
      </c>
      <c r="C66" s="1726"/>
      <c r="D66" s="1726"/>
      <c r="E66" s="1726"/>
      <c r="F66" s="1726"/>
      <c r="G66" s="1726"/>
      <c r="H66" s="1726"/>
      <c r="I66" s="1726"/>
      <c r="J66" s="1726"/>
      <c r="K66" s="1726"/>
      <c r="AF66" s="1695" t="s">
        <v>938</v>
      </c>
      <c r="AG66" s="1695"/>
      <c r="AH66" s="1695"/>
      <c r="AI66" s="1695"/>
      <c r="AJ66" s="1695"/>
      <c r="AK66" s="1695"/>
      <c r="AL66" s="1695"/>
      <c r="AN66" s="279"/>
      <c r="AP66" s="4" t="s">
        <v>124</v>
      </c>
      <c r="AS66" s="4" t="s">
        <v>665</v>
      </c>
      <c r="AT66" s="4">
        <v>10</v>
      </c>
    </row>
    <row r="67" spans="1:46" s="4" customFormat="1" ht="12.75" customHeight="1">
      <c r="B67" s="1835" t="s">
        <v>1319</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6" t="s">
        <v>977</v>
      </c>
      <c r="AF73" s="1706"/>
      <c r="AG73" s="1706"/>
      <c r="AH73" s="1706"/>
      <c r="AI73" s="1706"/>
      <c r="AJ73" s="1706"/>
      <c r="AK73" s="17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9" t="s">
        <v>2101</v>
      </c>
      <c r="C75" s="1709"/>
      <c r="D75" s="1709"/>
      <c r="E75" s="1709"/>
      <c r="F75" s="1709"/>
      <c r="G75" s="1709"/>
      <c r="H75" s="1709"/>
      <c r="I75" s="1709"/>
      <c r="J75" s="1709"/>
      <c r="K75" s="1709"/>
      <c r="L75" s="1709"/>
      <c r="M75" s="1709"/>
      <c r="N75" s="1709"/>
      <c r="O75" s="1709"/>
      <c r="P75" s="1709"/>
      <c r="Q75" s="1709"/>
      <c r="R75" s="1709"/>
      <c r="S75" s="1709"/>
      <c r="T75" s="1709"/>
      <c r="U75" s="1709"/>
      <c r="V75" s="1709"/>
      <c r="W75" s="1709"/>
      <c r="X75" s="1709"/>
      <c r="Y75" s="1709"/>
      <c r="Z75" s="1709"/>
      <c r="AA75" s="1709"/>
      <c r="AB75" s="1709"/>
      <c r="AC75" s="1709"/>
      <c r="AD75" s="1709"/>
      <c r="AE75" s="1709"/>
      <c r="AF75" s="1709"/>
      <c r="AG75" s="1709"/>
      <c r="AH75" s="1709"/>
      <c r="AI75" s="1709"/>
      <c r="AJ75" s="1709"/>
      <c r="AK75" s="1709"/>
      <c r="AL75" s="101"/>
      <c r="AM75" s="27"/>
      <c r="AN75" s="279"/>
    </row>
    <row r="76" spans="1:46" s="4" customFormat="1" ht="12.75" customHeight="1">
      <c r="A76" s="27"/>
      <c r="B76" s="1709"/>
      <c r="C76" s="1709"/>
      <c r="D76" s="1709"/>
      <c r="E76" s="1709"/>
      <c r="F76" s="1709"/>
      <c r="G76" s="1709"/>
      <c r="H76" s="1709"/>
      <c r="I76" s="1709"/>
      <c r="J76" s="1709"/>
      <c r="K76" s="1709"/>
      <c r="L76" s="1709"/>
      <c r="M76" s="1709"/>
      <c r="N76" s="1709"/>
      <c r="O76" s="1709"/>
      <c r="P76" s="1709"/>
      <c r="Q76" s="1709"/>
      <c r="R76" s="1709"/>
      <c r="S76" s="1709"/>
      <c r="T76" s="1709"/>
      <c r="U76" s="1709"/>
      <c r="V76" s="1709"/>
      <c r="W76" s="1709"/>
      <c r="X76" s="1709"/>
      <c r="Y76" s="1709"/>
      <c r="Z76" s="1709"/>
      <c r="AA76" s="1709"/>
      <c r="AB76" s="1709"/>
      <c r="AC76" s="1709"/>
      <c r="AD76" s="1709"/>
      <c r="AE76" s="1709"/>
      <c r="AF76" s="1709"/>
      <c r="AG76" s="1709"/>
      <c r="AH76" s="1709"/>
      <c r="AI76" s="1709"/>
      <c r="AJ76" s="1709"/>
      <c r="AK76" s="1709"/>
      <c r="AL76" s="101"/>
      <c r="AM76" s="27"/>
      <c r="AN76" s="279"/>
    </row>
    <row r="77" spans="1:46" s="4" customFormat="1" ht="12.75" customHeight="1">
      <c r="A77" s="27"/>
      <c r="B77" s="1709"/>
      <c r="C77" s="1709"/>
      <c r="D77" s="1709"/>
      <c r="E77" s="1709"/>
      <c r="F77" s="1709"/>
      <c r="G77" s="1709"/>
      <c r="H77" s="1709"/>
      <c r="I77" s="1709"/>
      <c r="J77" s="1709"/>
      <c r="K77" s="1709"/>
      <c r="L77" s="1709"/>
      <c r="M77" s="1709"/>
      <c r="N77" s="1709"/>
      <c r="O77" s="1709"/>
      <c r="P77" s="1709"/>
      <c r="Q77" s="1709"/>
      <c r="R77" s="1709"/>
      <c r="S77" s="1709"/>
      <c r="T77" s="1709"/>
      <c r="U77" s="1709"/>
      <c r="V77" s="1709"/>
      <c r="W77" s="1709"/>
      <c r="X77" s="1709"/>
      <c r="Y77" s="1709"/>
      <c r="Z77" s="1709"/>
      <c r="AA77" s="1709"/>
      <c r="AB77" s="1709"/>
      <c r="AC77" s="1709"/>
      <c r="AD77" s="1709"/>
      <c r="AE77" s="1709"/>
      <c r="AF77" s="1709"/>
      <c r="AG77" s="1709"/>
      <c r="AH77" s="1709"/>
      <c r="AI77" s="1709"/>
      <c r="AJ77" s="1709"/>
      <c r="AK77" s="1709"/>
      <c r="AL77" s="101"/>
      <c r="AM77" s="27"/>
      <c r="AN77" s="279"/>
    </row>
    <row r="78" spans="1:46" s="4" customFormat="1" ht="12.75" customHeight="1">
      <c r="A78" s="27"/>
      <c r="B78" s="1709"/>
      <c r="C78" s="1709"/>
      <c r="D78" s="1709"/>
      <c r="E78" s="1709"/>
      <c r="F78" s="1709"/>
      <c r="G78" s="1709"/>
      <c r="H78" s="1709"/>
      <c r="I78" s="1709"/>
      <c r="J78" s="1709"/>
      <c r="K78" s="1709"/>
      <c r="L78" s="1709"/>
      <c r="M78" s="1709"/>
      <c r="N78" s="1709"/>
      <c r="O78" s="1709"/>
      <c r="P78" s="1709"/>
      <c r="Q78" s="1709"/>
      <c r="R78" s="1709"/>
      <c r="S78" s="1709"/>
      <c r="T78" s="1709"/>
      <c r="U78" s="1709"/>
      <c r="V78" s="1709"/>
      <c r="W78" s="1709"/>
      <c r="X78" s="1709"/>
      <c r="Y78" s="1709"/>
      <c r="Z78" s="1709"/>
      <c r="AA78" s="1709"/>
      <c r="AB78" s="1709"/>
      <c r="AC78" s="1709"/>
      <c r="AD78" s="1709"/>
      <c r="AE78" s="1709"/>
      <c r="AF78" s="1709"/>
      <c r="AG78" s="1709"/>
      <c r="AH78" s="1709"/>
      <c r="AI78" s="1709"/>
      <c r="AJ78" s="1709"/>
      <c r="AK78" s="1709"/>
      <c r="AL78" s="101"/>
      <c r="AM78" s="27"/>
      <c r="AN78" s="279"/>
    </row>
    <row r="79" spans="1:46" s="4" customFormat="1" ht="12.75" customHeight="1">
      <c r="A79" s="27"/>
      <c r="B79" s="1709"/>
      <c r="C79" s="1709"/>
      <c r="D79" s="1709"/>
      <c r="E79" s="1709"/>
      <c r="F79" s="1709"/>
      <c r="G79" s="1709"/>
      <c r="H79" s="1709"/>
      <c r="I79" s="1709"/>
      <c r="J79" s="1709"/>
      <c r="K79" s="1709"/>
      <c r="L79" s="1709"/>
      <c r="M79" s="1709"/>
      <c r="N79" s="1709"/>
      <c r="O79" s="1709"/>
      <c r="P79" s="1709"/>
      <c r="Q79" s="1709"/>
      <c r="R79" s="1709"/>
      <c r="S79" s="1709"/>
      <c r="T79" s="1709"/>
      <c r="U79" s="1709"/>
      <c r="V79" s="1709"/>
      <c r="W79" s="1709"/>
      <c r="X79" s="1709"/>
      <c r="Y79" s="1709"/>
      <c r="Z79" s="1709"/>
      <c r="AA79" s="1709"/>
      <c r="AB79" s="1709"/>
      <c r="AC79" s="1709"/>
      <c r="AD79" s="1709"/>
      <c r="AE79" s="1709"/>
      <c r="AF79" s="1709"/>
      <c r="AG79" s="1709"/>
      <c r="AH79" s="1709"/>
      <c r="AI79" s="1709"/>
      <c r="AJ79" s="1709"/>
      <c r="AK79" s="1709"/>
      <c r="AL79" s="101"/>
      <c r="AM79" s="27"/>
      <c r="AN79" s="279"/>
    </row>
    <row r="80" spans="1:46" s="4" customFormat="1" ht="12.75" customHeight="1">
      <c r="A80" s="27"/>
      <c r="B80" s="1709"/>
      <c r="C80" s="1709"/>
      <c r="D80" s="1709"/>
      <c r="E80" s="1709"/>
      <c r="F80" s="1709"/>
      <c r="G80" s="1709"/>
      <c r="H80" s="1709"/>
      <c r="I80" s="1709"/>
      <c r="J80" s="1709"/>
      <c r="K80" s="1709"/>
      <c r="L80" s="1709"/>
      <c r="M80" s="1709"/>
      <c r="N80" s="1709"/>
      <c r="O80" s="1709"/>
      <c r="P80" s="1709"/>
      <c r="Q80" s="1709"/>
      <c r="R80" s="1709"/>
      <c r="S80" s="1709"/>
      <c r="T80" s="1709"/>
      <c r="U80" s="1709"/>
      <c r="V80" s="1709"/>
      <c r="W80" s="1709"/>
      <c r="X80" s="1709"/>
      <c r="Y80" s="1709"/>
      <c r="Z80" s="1709"/>
      <c r="AA80" s="1709"/>
      <c r="AB80" s="1709"/>
      <c r="AC80" s="1709"/>
      <c r="AD80" s="1709"/>
      <c r="AE80" s="1709"/>
      <c r="AF80" s="1709"/>
      <c r="AG80" s="1709"/>
      <c r="AH80" s="1709"/>
      <c r="AI80" s="1709"/>
      <c r="AJ80" s="1709"/>
      <c r="AK80" s="1709"/>
      <c r="AL80" s="101"/>
      <c r="AM80" s="27"/>
      <c r="AN80" s="279"/>
    </row>
    <row r="81" spans="1:42" ht="12.75" customHeight="1">
      <c r="A81" s="27"/>
      <c r="B81" s="1709"/>
      <c r="C81" s="1709"/>
      <c r="D81" s="1709"/>
      <c r="E81" s="1709"/>
      <c r="F81" s="1709"/>
      <c r="G81" s="1709"/>
      <c r="H81" s="1709"/>
      <c r="I81" s="1709"/>
      <c r="J81" s="1709"/>
      <c r="K81" s="1709"/>
      <c r="L81" s="1709"/>
      <c r="M81" s="1709"/>
      <c r="N81" s="1709"/>
      <c r="O81" s="1709"/>
      <c r="P81" s="1709"/>
      <c r="Q81" s="1709"/>
      <c r="R81" s="1709"/>
      <c r="S81" s="1709"/>
      <c r="T81" s="1709"/>
      <c r="U81" s="1709"/>
      <c r="V81" s="1709"/>
      <c r="W81" s="1709"/>
      <c r="X81" s="1709"/>
      <c r="Y81" s="1709"/>
      <c r="Z81" s="1709"/>
      <c r="AA81" s="1709"/>
      <c r="AB81" s="1709"/>
      <c r="AC81" s="1709"/>
      <c r="AD81" s="1709"/>
      <c r="AE81" s="1709"/>
      <c r="AF81" s="1709"/>
      <c r="AG81" s="1709"/>
      <c r="AH81" s="1709"/>
      <c r="AI81" s="1709"/>
      <c r="AJ81" s="1709"/>
      <c r="AK81" s="1709"/>
      <c r="AL81" s="101"/>
      <c r="AM81" s="27"/>
    </row>
    <row r="82" spans="1:42" s="4" customFormat="1" ht="12.75" customHeight="1">
      <c r="B82" s="1709"/>
      <c r="C82" s="1709"/>
      <c r="D82" s="1709"/>
      <c r="E82" s="1709"/>
      <c r="F82" s="1709"/>
      <c r="G82" s="1709"/>
      <c r="H82" s="1709"/>
      <c r="I82" s="1709"/>
      <c r="J82" s="1709"/>
      <c r="K82" s="1709"/>
      <c r="L82" s="1709"/>
      <c r="M82" s="1709"/>
      <c r="N82" s="1709"/>
      <c r="O82" s="1709"/>
      <c r="P82" s="1709"/>
      <c r="Q82" s="1709"/>
      <c r="R82" s="1709"/>
      <c r="S82" s="1709"/>
      <c r="T82" s="1709"/>
      <c r="U82" s="1709"/>
      <c r="V82" s="1709"/>
      <c r="W82" s="1709"/>
      <c r="X82" s="1709"/>
      <c r="Y82" s="1709"/>
      <c r="Z82" s="1709"/>
      <c r="AA82" s="1709"/>
      <c r="AB82" s="1709"/>
      <c r="AC82" s="1709"/>
      <c r="AD82" s="1709"/>
      <c r="AE82" s="1709"/>
      <c r="AF82" s="1709"/>
      <c r="AG82" s="1709"/>
      <c r="AH82" s="1709"/>
      <c r="AI82" s="1709"/>
      <c r="AJ82" s="1709"/>
      <c r="AK82" s="1709"/>
      <c r="AL82" s="101"/>
      <c r="AN82" s="279"/>
    </row>
    <row r="83" spans="1:42" s="4" customFormat="1" ht="12.75" customHeight="1">
      <c r="B83" s="1709"/>
      <c r="C83" s="1709"/>
      <c r="D83" s="1709"/>
      <c r="E83" s="1709"/>
      <c r="F83" s="1709"/>
      <c r="G83" s="1709"/>
      <c r="H83" s="1709"/>
      <c r="I83" s="1709"/>
      <c r="J83" s="1709"/>
      <c r="K83" s="1709"/>
      <c r="L83" s="1709"/>
      <c r="M83" s="1709"/>
      <c r="N83" s="1709"/>
      <c r="O83" s="1709"/>
      <c r="P83" s="1709"/>
      <c r="Q83" s="1709"/>
      <c r="R83" s="1709"/>
      <c r="S83" s="1709"/>
      <c r="T83" s="1709"/>
      <c r="U83" s="1709"/>
      <c r="V83" s="1709"/>
      <c r="W83" s="1709"/>
      <c r="X83" s="1709"/>
      <c r="Y83" s="1709"/>
      <c r="Z83" s="1709"/>
      <c r="AA83" s="1709"/>
      <c r="AB83" s="1709"/>
      <c r="AC83" s="1709"/>
      <c r="AD83" s="1709"/>
      <c r="AE83" s="1709"/>
      <c r="AF83" s="1709"/>
      <c r="AG83" s="1709"/>
      <c r="AH83" s="1709"/>
      <c r="AI83" s="1709"/>
      <c r="AJ83" s="1709"/>
      <c r="AK83" s="1709"/>
      <c r="AL83" s="101"/>
      <c r="AN83" s="279"/>
    </row>
    <row r="84" spans="1:42" s="4" customFormat="1" ht="14.45" customHeight="1">
      <c r="B84" s="1709"/>
      <c r="C84" s="1709"/>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01"/>
      <c r="AN84" s="279"/>
    </row>
    <row r="85" spans="1:42" s="4" customFormat="1" ht="12.75" customHeight="1">
      <c r="B85" s="1709"/>
      <c r="C85" s="1709"/>
      <c r="D85" s="1709"/>
      <c r="E85" s="1709"/>
      <c r="F85" s="1709"/>
      <c r="G85" s="1709"/>
      <c r="H85" s="1709"/>
      <c r="I85" s="1709"/>
      <c r="J85" s="1709"/>
      <c r="K85" s="1709"/>
      <c r="L85" s="1709"/>
      <c r="M85" s="1709"/>
      <c r="N85" s="1709"/>
      <c r="O85" s="1709"/>
      <c r="P85" s="1709"/>
      <c r="Q85" s="1709"/>
      <c r="R85" s="1709"/>
      <c r="S85" s="1709"/>
      <c r="T85" s="1709"/>
      <c r="U85" s="1709"/>
      <c r="V85" s="1709"/>
      <c r="W85" s="1709"/>
      <c r="X85" s="1709"/>
      <c r="Y85" s="1709"/>
      <c r="Z85" s="1709"/>
      <c r="AA85" s="1709"/>
      <c r="AB85" s="1709"/>
      <c r="AC85" s="1709"/>
      <c r="AD85" s="1709"/>
      <c r="AE85" s="1709"/>
      <c r="AF85" s="1709"/>
      <c r="AG85" s="1709"/>
      <c r="AH85" s="1709"/>
      <c r="AI85" s="1709"/>
      <c r="AJ85" s="1709"/>
      <c r="AK85" s="1709"/>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581</v>
      </c>
      <c r="I112" s="1739"/>
      <c r="J112" s="114"/>
      <c r="K112" s="114"/>
      <c r="L112" s="114"/>
      <c r="M112" s="933" t="s">
        <v>2087</v>
      </c>
      <c r="R112" s="1842"/>
      <c r="S112" s="1842"/>
      <c r="T112" s="1842"/>
      <c r="U112" s="1842"/>
      <c r="V112" s="1842"/>
      <c r="W112" s="1842"/>
      <c r="Y112" s="1133" t="str">
        <f>IF(AND(H112="(i)",NOT(Application!AF419&gt;25)),AO103,IF(AND(H112="(iv)",OR(R112=AO108,R112=AO109),NOT(AP94)),AO104,""))</f>
        <v/>
      </c>
      <c r="Z112" s="1133"/>
      <c r="AA112" s="1133"/>
      <c r="AB112" s="1133"/>
      <c r="AC112" s="1133"/>
      <c r="AD112" s="1133"/>
      <c r="AE112" s="1133"/>
      <c r="AF112" s="1133"/>
      <c r="AG112" s="1133"/>
      <c r="AH112" s="1133"/>
      <c r="AI112" s="1133"/>
      <c r="AJ112" s="1133"/>
      <c r="AK112" s="1133"/>
      <c r="AL112" s="1133"/>
      <c r="AM112" s="1843"/>
      <c r="AN112" s="953"/>
    </row>
    <row r="113" spans="1:47" s="4" customFormat="1" ht="12.75" customHeight="1">
      <c r="B113" s="5"/>
      <c r="C113" s="113"/>
      <c r="E113" s="114"/>
      <c r="F113" s="114"/>
      <c r="G113" s="114"/>
      <c r="H113" s="114"/>
      <c r="I113" s="114"/>
      <c r="J113" s="114"/>
      <c r="K113" s="114"/>
      <c r="L113" s="114"/>
      <c r="M113" s="114"/>
      <c r="Y113" s="1133"/>
      <c r="Z113" s="1133"/>
      <c r="AA113" s="1133"/>
      <c r="AB113" s="1133"/>
      <c r="AC113" s="1133"/>
      <c r="AD113" s="1133"/>
      <c r="AE113" s="1133"/>
      <c r="AF113" s="1133"/>
      <c r="AG113" s="1133"/>
      <c r="AH113" s="1133"/>
      <c r="AI113" s="1133"/>
      <c r="AJ113" s="1133"/>
      <c r="AK113" s="1133"/>
      <c r="AL113" s="1133"/>
      <c r="AM113" s="184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32" t="s">
        <v>2231</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1469</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709" t="s">
        <v>1758</v>
      </c>
      <c r="F120" s="1709"/>
      <c r="G120" s="1709"/>
      <c r="H120" s="1709"/>
      <c r="I120" s="1709"/>
      <c r="J120" s="1709"/>
      <c r="K120" s="1709"/>
      <c r="L120" s="1709"/>
      <c r="M120" s="1709"/>
      <c r="N120" s="1709"/>
      <c r="O120" s="1709"/>
      <c r="P120" s="1709"/>
      <c r="Q120" s="1709"/>
      <c r="R120" s="1709"/>
      <c r="S120" s="1709"/>
      <c r="T120" s="1709"/>
      <c r="U120" s="1709"/>
      <c r="V120" s="1709"/>
      <c r="W120" s="1709"/>
      <c r="X120" s="1709"/>
      <c r="Y120" s="1709"/>
      <c r="Z120" s="1709"/>
      <c r="AA120" s="1709"/>
      <c r="AB120" s="1709"/>
      <c r="AC120" s="1709"/>
      <c r="AD120" s="1709"/>
      <c r="AE120" s="1709"/>
      <c r="AF120" s="1709"/>
      <c r="AG120" s="1709"/>
      <c r="AH120" s="49"/>
      <c r="AI120" s="49"/>
      <c r="AJ120" s="49"/>
      <c r="AK120" s="49"/>
      <c r="AL120" s="49"/>
      <c r="AN120" s="279"/>
    </row>
    <row r="121" spans="1:47" s="4" customFormat="1" ht="12.75" customHeight="1">
      <c r="B121" s="5"/>
      <c r="C121" s="113"/>
      <c r="D121" s="49"/>
      <c r="E121" s="1709"/>
      <c r="F121" s="1709"/>
      <c r="G121" s="1709"/>
      <c r="H121" s="1709"/>
      <c r="I121" s="1709"/>
      <c r="J121" s="1709"/>
      <c r="K121" s="1709"/>
      <c r="L121" s="1709"/>
      <c r="M121" s="1709"/>
      <c r="N121" s="1709"/>
      <c r="O121" s="1709"/>
      <c r="P121" s="1709"/>
      <c r="Q121" s="1709"/>
      <c r="R121" s="1709"/>
      <c r="S121" s="1709"/>
      <c r="T121" s="1709"/>
      <c r="U121" s="1709"/>
      <c r="V121" s="1709"/>
      <c r="W121" s="1709"/>
      <c r="X121" s="1709"/>
      <c r="Y121" s="1709"/>
      <c r="Z121" s="1709"/>
      <c r="AA121" s="1709"/>
      <c r="AB121" s="1709"/>
      <c r="AC121" s="1709"/>
      <c r="AD121" s="1709"/>
      <c r="AE121" s="1709"/>
      <c r="AF121" s="1709"/>
      <c r="AG121" s="1709"/>
      <c r="AH121" s="49"/>
      <c r="AI121" s="49"/>
      <c r="AJ121" s="49"/>
      <c r="AK121" s="49"/>
      <c r="AL121" s="49"/>
      <c r="AN121" s="279"/>
    </row>
    <row r="122" spans="1:47" s="4" customFormat="1" ht="12.75" customHeight="1">
      <c r="B122" s="5"/>
      <c r="C122" s="113"/>
      <c r="D122" s="49"/>
      <c r="E122" s="1709"/>
      <c r="F122" s="1709"/>
      <c r="G122" s="1709"/>
      <c r="H122" s="1709"/>
      <c r="I122" s="1709"/>
      <c r="J122" s="1709"/>
      <c r="K122" s="1709"/>
      <c r="L122" s="1709"/>
      <c r="M122" s="1709"/>
      <c r="N122" s="1709"/>
      <c r="O122" s="1709"/>
      <c r="P122" s="1709"/>
      <c r="Q122" s="1709"/>
      <c r="R122" s="1709"/>
      <c r="S122" s="1709"/>
      <c r="T122" s="1709"/>
      <c r="U122" s="1709"/>
      <c r="V122" s="1709"/>
      <c r="W122" s="1709"/>
      <c r="X122" s="1709"/>
      <c r="Y122" s="1709"/>
      <c r="Z122" s="1709"/>
      <c r="AA122" s="1709"/>
      <c r="AB122" s="1709"/>
      <c r="AC122" s="1709"/>
      <c r="AD122" s="1709"/>
      <c r="AE122" s="1709"/>
      <c r="AF122" s="1709"/>
      <c r="AG122" s="1709"/>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65">
        <f>VLOOKUP($H$112,$AO$96:$AP$101,2,FALSE)+IF(R112=AO108,0,VLOOKUP($H$118,$AO$116:$AP$118,2,FALSE))</f>
        <v>7</v>
      </c>
      <c r="AK124" s="126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4" t="s">
        <v>1826</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2.9"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581</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65">
        <f>VLOOKUP($H$137,$AO$133:$AP$135,2,FALSE)</f>
        <v>3</v>
      </c>
      <c r="AK139" s="126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124</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65">
        <f>VLOOKUP(H149,AO140:AP142,2,FALSE)</f>
        <v>0</v>
      </c>
      <c r="AK151" s="126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9" t="s">
        <v>746</v>
      </c>
      <c r="F156" s="1709"/>
      <c r="G156" s="1709"/>
      <c r="H156" s="1709"/>
      <c r="I156" s="1709"/>
      <c r="J156" s="1709"/>
      <c r="K156" s="1709"/>
      <c r="L156" s="1709"/>
      <c r="M156" s="1709"/>
      <c r="N156" s="1709"/>
      <c r="O156" s="1709"/>
      <c r="P156" s="1709"/>
      <c r="Q156" s="1709"/>
      <c r="R156" s="1709"/>
      <c r="S156" s="1709"/>
      <c r="T156" s="1709"/>
      <c r="U156" s="1709"/>
      <c r="V156" s="1709"/>
      <c r="W156" s="1709"/>
      <c r="X156" s="1709"/>
      <c r="Y156" s="1709"/>
      <c r="Z156" s="1709"/>
      <c r="AA156" s="1709"/>
      <c r="AB156" s="1709"/>
      <c r="AC156" s="1709"/>
      <c r="AE156" s="340"/>
      <c r="AF156" s="1504" t="s">
        <v>59</v>
      </c>
      <c r="AG156" s="1504"/>
      <c r="AH156" s="1504"/>
      <c r="AI156" s="1504"/>
      <c r="AJ156" s="1504"/>
      <c r="AK156" s="1504"/>
      <c r="AL156" s="1504"/>
      <c r="AN156" s="279"/>
    </row>
    <row r="157" spans="1:42" s="4" customFormat="1" ht="12.75" customHeight="1">
      <c r="C157" s="3"/>
      <c r="E157" s="1709"/>
      <c r="F157" s="1709"/>
      <c r="G157" s="1709"/>
      <c r="H157" s="1709"/>
      <c r="I157" s="1709"/>
      <c r="J157" s="1709"/>
      <c r="K157" s="1709"/>
      <c r="L157" s="1709"/>
      <c r="M157" s="1709"/>
      <c r="N157" s="1709"/>
      <c r="O157" s="1709"/>
      <c r="P157" s="1709"/>
      <c r="Q157" s="1709"/>
      <c r="R157" s="1709"/>
      <c r="S157" s="1709"/>
      <c r="T157" s="1709"/>
      <c r="U157" s="1709"/>
      <c r="V157" s="1709"/>
      <c r="W157" s="1709"/>
      <c r="X157" s="1709"/>
      <c r="Y157" s="1709"/>
      <c r="Z157" s="1709"/>
      <c r="AA157" s="1709"/>
      <c r="AB157" s="1709"/>
      <c r="AC157" s="1709"/>
      <c r="AE157" s="340"/>
      <c r="AF157" s="340"/>
      <c r="AG157" s="340"/>
      <c r="AH157" s="340"/>
      <c r="AI157" s="340"/>
      <c r="AJ157" s="340"/>
      <c r="AK157" s="340"/>
      <c r="AL157" s="340"/>
      <c r="AN157" s="279"/>
    </row>
    <row r="158" spans="1:42" s="4" customFormat="1" ht="12.75" customHeight="1">
      <c r="C158" s="3"/>
      <c r="D158" s="26"/>
      <c r="E158" s="1709"/>
      <c r="F158" s="1709"/>
      <c r="G158" s="1709"/>
      <c r="H158" s="1709"/>
      <c r="I158" s="1709"/>
      <c r="J158" s="1709"/>
      <c r="K158" s="1709"/>
      <c r="L158" s="1709"/>
      <c r="M158" s="1709"/>
      <c r="N158" s="1709"/>
      <c r="O158" s="1709"/>
      <c r="P158" s="1709"/>
      <c r="Q158" s="1709"/>
      <c r="R158" s="1709"/>
      <c r="S158" s="1709"/>
      <c r="T158" s="1709"/>
      <c r="U158" s="1709"/>
      <c r="V158" s="1709"/>
      <c r="W158" s="1709"/>
      <c r="X158" s="1709"/>
      <c r="Y158" s="1709"/>
      <c r="Z158" s="1709"/>
      <c r="AA158" s="1709"/>
      <c r="AB158" s="1709"/>
      <c r="AC158" s="170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9" t="s">
        <v>1707</v>
      </c>
      <c r="F160" s="1709"/>
      <c r="G160" s="1709"/>
      <c r="H160" s="1709"/>
      <c r="I160" s="1709"/>
      <c r="J160" s="1709"/>
      <c r="K160" s="1709"/>
      <c r="L160" s="1709"/>
      <c r="M160" s="1709"/>
      <c r="N160" s="1709"/>
      <c r="O160" s="1709"/>
      <c r="P160" s="1709"/>
      <c r="Q160" s="1709"/>
      <c r="R160" s="1709"/>
      <c r="S160" s="1709"/>
      <c r="T160" s="1709"/>
      <c r="U160" s="1709"/>
      <c r="V160" s="1709"/>
      <c r="W160" s="1709"/>
      <c r="X160" s="1709"/>
      <c r="Y160" s="1709"/>
      <c r="Z160" s="1709"/>
      <c r="AA160" s="1709"/>
      <c r="AB160" s="1709"/>
      <c r="AC160" s="1709"/>
      <c r="AE160" s="340"/>
      <c r="AF160" s="1504" t="s">
        <v>60</v>
      </c>
      <c r="AG160" s="1504"/>
      <c r="AH160" s="1504"/>
      <c r="AI160" s="1504"/>
      <c r="AJ160" s="1504"/>
      <c r="AK160" s="1504"/>
      <c r="AL160" s="1504"/>
      <c r="AN160" s="279"/>
    </row>
    <row r="161" spans="1:42" s="4" customFormat="1" ht="12.75" customHeight="1">
      <c r="C161" s="3"/>
      <c r="E161" s="1709"/>
      <c r="F161" s="1709"/>
      <c r="G161" s="1709"/>
      <c r="H161" s="1709"/>
      <c r="I161" s="1709"/>
      <c r="J161" s="1709"/>
      <c r="K161" s="1709"/>
      <c r="L161" s="1709"/>
      <c r="M161" s="1709"/>
      <c r="N161" s="1709"/>
      <c r="O161" s="1709"/>
      <c r="P161" s="1709"/>
      <c r="Q161" s="1709"/>
      <c r="R161" s="1709"/>
      <c r="S161" s="1709"/>
      <c r="T161" s="1709"/>
      <c r="U161" s="1709"/>
      <c r="V161" s="1709"/>
      <c r="W161" s="1709"/>
      <c r="X161" s="1709"/>
      <c r="Y161" s="1709"/>
      <c r="Z161" s="1709"/>
      <c r="AA161" s="1709"/>
      <c r="AB161" s="1709"/>
      <c r="AC161" s="1709"/>
      <c r="AE161" s="340"/>
      <c r="AF161" s="340"/>
      <c r="AG161" s="340"/>
      <c r="AH161" s="340"/>
      <c r="AI161" s="340"/>
      <c r="AJ161" s="340"/>
      <c r="AK161" s="340"/>
      <c r="AL161" s="340"/>
      <c r="AN161" s="279"/>
    </row>
    <row r="162" spans="1:42" s="4" customFormat="1" ht="15" customHeight="1">
      <c r="C162" s="3"/>
      <c r="D162" s="26"/>
      <c r="E162" s="1709"/>
      <c r="F162" s="1709"/>
      <c r="G162" s="1709"/>
      <c r="H162" s="1709"/>
      <c r="I162" s="1709"/>
      <c r="J162" s="1709"/>
      <c r="K162" s="1709"/>
      <c r="L162" s="1709"/>
      <c r="M162" s="1709"/>
      <c r="N162" s="1709"/>
      <c r="O162" s="1709"/>
      <c r="P162" s="1709"/>
      <c r="Q162" s="1709"/>
      <c r="R162" s="1709"/>
      <c r="S162" s="1709"/>
      <c r="T162" s="1709"/>
      <c r="U162" s="1709"/>
      <c r="V162" s="1709"/>
      <c r="W162" s="1709"/>
      <c r="X162" s="1709"/>
      <c r="Y162" s="1709"/>
      <c r="Z162" s="1709"/>
      <c r="AA162" s="1709"/>
      <c r="AB162" s="1709"/>
      <c r="AC162" s="170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9" t="s">
        <v>1708</v>
      </c>
      <c r="F164" s="1709"/>
      <c r="G164" s="1709"/>
      <c r="H164" s="1709"/>
      <c r="I164" s="1709"/>
      <c r="J164" s="1709"/>
      <c r="K164" s="1709"/>
      <c r="L164" s="1709"/>
      <c r="M164" s="1709"/>
      <c r="N164" s="1709"/>
      <c r="O164" s="1709"/>
      <c r="P164" s="1709"/>
      <c r="Q164" s="1709"/>
      <c r="R164" s="1709"/>
      <c r="S164" s="1709"/>
      <c r="T164" s="1709"/>
      <c r="U164" s="1709"/>
      <c r="V164" s="1709"/>
      <c r="W164" s="1709"/>
      <c r="X164" s="1709"/>
      <c r="Y164" s="1709"/>
      <c r="Z164" s="1709"/>
      <c r="AA164" s="1709"/>
      <c r="AB164" s="1709"/>
      <c r="AC164" s="1709"/>
      <c r="AE164" s="340"/>
      <c r="AF164" s="1504" t="s">
        <v>61</v>
      </c>
      <c r="AG164" s="1504"/>
      <c r="AH164" s="1504"/>
      <c r="AI164" s="1504"/>
      <c r="AJ164" s="1504"/>
      <c r="AK164" s="1504"/>
      <c r="AL164" s="1504"/>
      <c r="AN164" s="279"/>
    </row>
    <row r="165" spans="1:42" s="4" customFormat="1" ht="12.75" customHeight="1">
      <c r="B165" s="5"/>
      <c r="C165" s="45"/>
      <c r="E165" s="1709"/>
      <c r="F165" s="1709"/>
      <c r="G165" s="1709"/>
      <c r="H165" s="1709"/>
      <c r="I165" s="1709"/>
      <c r="J165" s="1709"/>
      <c r="K165" s="1709"/>
      <c r="L165" s="1709"/>
      <c r="M165" s="1709"/>
      <c r="N165" s="1709"/>
      <c r="O165" s="1709"/>
      <c r="P165" s="1709"/>
      <c r="Q165" s="1709"/>
      <c r="R165" s="1709"/>
      <c r="S165" s="1709"/>
      <c r="T165" s="1709"/>
      <c r="U165" s="1709"/>
      <c r="V165" s="1709"/>
      <c r="W165" s="1709"/>
      <c r="X165" s="1709"/>
      <c r="Y165" s="1709"/>
      <c r="Z165" s="1709"/>
      <c r="AA165" s="1709"/>
      <c r="AB165" s="1709"/>
      <c r="AC165" s="1709"/>
      <c r="AE165" s="1504"/>
      <c r="AF165" s="1504"/>
      <c r="AG165" s="1504"/>
      <c r="AH165" s="1504"/>
      <c r="AI165" s="1504"/>
      <c r="AJ165" s="1504"/>
      <c r="AK165" s="1504"/>
      <c r="AL165" s="963"/>
      <c r="AN165" s="279"/>
    </row>
    <row r="166" spans="1:42" s="4" customFormat="1" ht="12.75" customHeight="1">
      <c r="A166" s="118"/>
      <c r="D166" s="26"/>
      <c r="E166" s="1709"/>
      <c r="F166" s="1709"/>
      <c r="G166" s="1709"/>
      <c r="H166" s="1709"/>
      <c r="I166" s="1709"/>
      <c r="J166" s="1709"/>
      <c r="K166" s="1709"/>
      <c r="L166" s="1709"/>
      <c r="M166" s="1709"/>
      <c r="N166" s="1709"/>
      <c r="O166" s="1709"/>
      <c r="P166" s="1709"/>
      <c r="Q166" s="1709"/>
      <c r="R166" s="1709"/>
      <c r="S166" s="1709"/>
      <c r="T166" s="1709"/>
      <c r="U166" s="1709"/>
      <c r="V166" s="1709"/>
      <c r="W166" s="1709"/>
      <c r="X166" s="1709"/>
      <c r="Y166" s="1709"/>
      <c r="Z166" s="1709"/>
      <c r="AA166" s="1709"/>
      <c r="AB166" s="1709"/>
      <c r="AC166" s="170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9" t="s">
        <v>1709</v>
      </c>
      <c r="F168" s="1709"/>
      <c r="G168" s="1709"/>
      <c r="H168" s="1709"/>
      <c r="I168" s="1709"/>
      <c r="J168" s="1709"/>
      <c r="K168" s="1709"/>
      <c r="L168" s="1709"/>
      <c r="M168" s="1709"/>
      <c r="N168" s="1709"/>
      <c r="O168" s="1709"/>
      <c r="P168" s="1709"/>
      <c r="Q168" s="1709"/>
      <c r="R168" s="1709"/>
      <c r="S168" s="1709"/>
      <c r="T168" s="1709"/>
      <c r="U168" s="1709"/>
      <c r="V168" s="1709"/>
      <c r="W168" s="1709"/>
      <c r="X168" s="1709"/>
      <c r="Y168" s="1709"/>
      <c r="Z168" s="1709"/>
      <c r="AA168" s="1709"/>
      <c r="AB168" s="1709"/>
      <c r="AC168" s="1709"/>
      <c r="AE168" s="340"/>
      <c r="AF168" s="1504" t="s">
        <v>60</v>
      </c>
      <c r="AG168" s="1504"/>
      <c r="AH168" s="1504"/>
      <c r="AI168" s="1504"/>
      <c r="AJ168" s="1504"/>
      <c r="AK168" s="1504"/>
      <c r="AL168" s="1504"/>
      <c r="AN168" s="279"/>
    </row>
    <row r="169" spans="1:42" s="4" customFormat="1" ht="12.75" customHeight="1">
      <c r="A169" s="109"/>
      <c r="B169" s="5"/>
      <c r="C169" s="124"/>
      <c r="D169" s="26"/>
      <c r="E169" s="1709"/>
      <c r="F169" s="1709"/>
      <c r="G169" s="1709"/>
      <c r="H169" s="1709"/>
      <c r="I169" s="1709"/>
      <c r="J169" s="1709"/>
      <c r="K169" s="1709"/>
      <c r="L169" s="1709"/>
      <c r="M169" s="1709"/>
      <c r="N169" s="1709"/>
      <c r="O169" s="1709"/>
      <c r="P169" s="1709"/>
      <c r="Q169" s="1709"/>
      <c r="R169" s="1709"/>
      <c r="S169" s="1709"/>
      <c r="T169" s="1709"/>
      <c r="U169" s="1709"/>
      <c r="V169" s="1709"/>
      <c r="W169" s="1709"/>
      <c r="X169" s="1709"/>
      <c r="Y169" s="1709"/>
      <c r="Z169" s="1709"/>
      <c r="AA169" s="1709"/>
      <c r="AB169" s="1709"/>
      <c r="AC169" s="1709"/>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9"/>
      <c r="F170" s="1709"/>
      <c r="G170" s="1709"/>
      <c r="H170" s="1709"/>
      <c r="I170" s="1709"/>
      <c r="J170" s="1709"/>
      <c r="K170" s="1709"/>
      <c r="L170" s="1709"/>
      <c r="M170" s="1709"/>
      <c r="N170" s="1709"/>
      <c r="O170" s="1709"/>
      <c r="P170" s="1709"/>
      <c r="Q170" s="1709"/>
      <c r="R170" s="1709"/>
      <c r="S170" s="1709"/>
      <c r="T170" s="1709"/>
      <c r="U170" s="1709"/>
      <c r="V170" s="1709"/>
      <c r="W170" s="1709"/>
      <c r="X170" s="1709"/>
      <c r="Y170" s="1709"/>
      <c r="Z170" s="1709"/>
      <c r="AA170" s="1709"/>
      <c r="AB170" s="1709"/>
      <c r="AC170" s="1709"/>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9" t="s">
        <v>1710</v>
      </c>
      <c r="F172" s="1709"/>
      <c r="G172" s="1709"/>
      <c r="H172" s="1709"/>
      <c r="I172" s="1709"/>
      <c r="J172" s="1709"/>
      <c r="K172" s="1709"/>
      <c r="L172" s="1709"/>
      <c r="M172" s="1709"/>
      <c r="N172" s="1709"/>
      <c r="O172" s="1709"/>
      <c r="P172" s="1709"/>
      <c r="Q172" s="1709"/>
      <c r="R172" s="1709"/>
      <c r="S172" s="1709"/>
      <c r="T172" s="1709"/>
      <c r="U172" s="1709"/>
      <c r="V172" s="1709"/>
      <c r="W172" s="1709"/>
      <c r="X172" s="1709"/>
      <c r="Y172" s="1709"/>
      <c r="Z172" s="1709"/>
      <c r="AA172" s="1709"/>
      <c r="AB172" s="1709"/>
      <c r="AC172" s="1709"/>
      <c r="AE172" s="340"/>
      <c r="AF172" s="1504" t="s">
        <v>61</v>
      </c>
      <c r="AG172" s="1504"/>
      <c r="AH172" s="1504"/>
      <c r="AI172" s="1504"/>
      <c r="AJ172" s="1504"/>
      <c r="AK172" s="1504"/>
      <c r="AL172" s="1504"/>
      <c r="AM172" s="20"/>
      <c r="AN172" s="279"/>
      <c r="AO172" s="26" t="s">
        <v>890</v>
      </c>
      <c r="AP172" s="4">
        <v>3</v>
      </c>
    </row>
    <row r="173" spans="1:42" s="4" customFormat="1" ht="12.75" customHeight="1">
      <c r="B173" s="5"/>
      <c r="C173" s="45"/>
      <c r="D173" s="26"/>
      <c r="E173" s="1709"/>
      <c r="F173" s="1709"/>
      <c r="G173" s="1709"/>
      <c r="H173" s="1709"/>
      <c r="I173" s="1709"/>
      <c r="J173" s="1709"/>
      <c r="K173" s="1709"/>
      <c r="L173" s="1709"/>
      <c r="M173" s="1709"/>
      <c r="N173" s="1709"/>
      <c r="O173" s="1709"/>
      <c r="P173" s="1709"/>
      <c r="Q173" s="1709"/>
      <c r="R173" s="1709"/>
      <c r="S173" s="1709"/>
      <c r="T173" s="1709"/>
      <c r="U173" s="1709"/>
      <c r="V173" s="1709"/>
      <c r="W173" s="1709"/>
      <c r="X173" s="1709"/>
      <c r="Y173" s="1709"/>
      <c r="Z173" s="1709"/>
      <c r="AA173" s="1709"/>
      <c r="AB173" s="1709"/>
      <c r="AC173" s="170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9"/>
      <c r="F174" s="1709"/>
      <c r="G174" s="1709"/>
      <c r="H174" s="1709"/>
      <c r="I174" s="1709"/>
      <c r="J174" s="1709"/>
      <c r="K174" s="1709"/>
      <c r="L174" s="1709"/>
      <c r="M174" s="1709"/>
      <c r="N174" s="1709"/>
      <c r="O174" s="1709"/>
      <c r="P174" s="1709"/>
      <c r="Q174" s="1709"/>
      <c r="R174" s="1709"/>
      <c r="S174" s="1709"/>
      <c r="T174" s="1709"/>
      <c r="U174" s="1709"/>
      <c r="V174" s="1709"/>
      <c r="W174" s="1709"/>
      <c r="X174" s="1709"/>
      <c r="Y174" s="1709"/>
      <c r="Z174" s="1709"/>
      <c r="AA174" s="1709"/>
      <c r="AB174" s="1709"/>
      <c r="AC174" s="170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9" t="s">
        <v>1471</v>
      </c>
      <c r="F176" s="1709"/>
      <c r="G176" s="1709"/>
      <c r="H176" s="1709"/>
      <c r="I176" s="1709"/>
      <c r="J176" s="1709"/>
      <c r="K176" s="1709"/>
      <c r="L176" s="1709"/>
      <c r="M176" s="1709"/>
      <c r="N176" s="1709"/>
      <c r="O176" s="1709"/>
      <c r="P176" s="1709"/>
      <c r="Q176" s="1709"/>
      <c r="R176" s="1709"/>
      <c r="S176" s="1709"/>
      <c r="T176" s="1709"/>
      <c r="U176" s="1709"/>
      <c r="V176" s="1709"/>
      <c r="W176" s="1709"/>
      <c r="X176" s="1709"/>
      <c r="Y176" s="1709"/>
      <c r="Z176" s="1709"/>
      <c r="AA176" s="1709"/>
      <c r="AB176" s="1709"/>
      <c r="AC176" s="1709"/>
      <c r="AE176" s="340"/>
      <c r="AF176" s="1504" t="s">
        <v>103</v>
      </c>
      <c r="AG176" s="1504"/>
      <c r="AH176" s="1504"/>
      <c r="AI176" s="1504"/>
      <c r="AJ176" s="1504"/>
      <c r="AK176" s="1504"/>
      <c r="AL176" s="1504"/>
      <c r="AM176" s="20"/>
      <c r="AN176" s="279"/>
      <c r="AO176" s="26" t="s">
        <v>281</v>
      </c>
      <c r="AP176" s="4">
        <v>1</v>
      </c>
    </row>
    <row r="177" spans="1:61" s="4" customFormat="1" ht="22.9" customHeight="1">
      <c r="A177" s="118"/>
      <c r="B177" s="5"/>
      <c r="C177" s="45"/>
      <c r="D177" s="26"/>
      <c r="E177" s="1709"/>
      <c r="F177" s="1709"/>
      <c r="G177" s="1709"/>
      <c r="H177" s="1709"/>
      <c r="I177" s="1709"/>
      <c r="J177" s="1709"/>
      <c r="K177" s="1709"/>
      <c r="L177" s="1709"/>
      <c r="M177" s="1709"/>
      <c r="N177" s="1709"/>
      <c r="O177" s="1709"/>
      <c r="P177" s="1709"/>
      <c r="Q177" s="1709"/>
      <c r="R177" s="1709"/>
      <c r="S177" s="1709"/>
      <c r="T177" s="1709"/>
      <c r="U177" s="1709"/>
      <c r="V177" s="1709"/>
      <c r="W177" s="1709"/>
      <c r="X177" s="1709"/>
      <c r="Y177" s="1709"/>
      <c r="Z177" s="1709"/>
      <c r="AA177" s="1709"/>
      <c r="AB177" s="1709"/>
      <c r="AC177" s="1709"/>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9" t="s">
        <v>1472</v>
      </c>
      <c r="F179" s="1709"/>
      <c r="G179" s="1709"/>
      <c r="H179" s="1709"/>
      <c r="I179" s="1709"/>
      <c r="J179" s="1709"/>
      <c r="K179" s="1709"/>
      <c r="L179" s="1709"/>
      <c r="M179" s="1709"/>
      <c r="N179" s="1709"/>
      <c r="O179" s="1709"/>
      <c r="P179" s="1709"/>
      <c r="Q179" s="1709"/>
      <c r="R179" s="1709"/>
      <c r="S179" s="1709"/>
      <c r="T179" s="1709"/>
      <c r="U179" s="1709"/>
      <c r="V179" s="1709"/>
      <c r="W179" s="1709"/>
      <c r="X179" s="1709"/>
      <c r="Y179" s="1709"/>
      <c r="Z179" s="1709"/>
      <c r="AA179" s="1709"/>
      <c r="AB179" s="1709"/>
      <c r="AC179" s="1709"/>
      <c r="AE179" s="340"/>
      <c r="AF179" s="1504" t="s">
        <v>318</v>
      </c>
      <c r="AG179" s="1504"/>
      <c r="AH179" s="1504"/>
      <c r="AI179" s="1504"/>
      <c r="AJ179" s="1504"/>
      <c r="AK179" s="1504"/>
      <c r="AL179" s="1504"/>
      <c r="AM179" s="20"/>
      <c r="AN179" s="279"/>
    </row>
    <row r="180" spans="1:61" s="4" customFormat="1" ht="22.9" customHeight="1">
      <c r="A180" s="118"/>
      <c r="B180" s="5"/>
      <c r="C180" s="45"/>
      <c r="D180" s="26"/>
      <c r="E180" s="1709"/>
      <c r="F180" s="1709"/>
      <c r="G180" s="1709"/>
      <c r="H180" s="1709"/>
      <c r="I180" s="1709"/>
      <c r="J180" s="1709"/>
      <c r="K180" s="1709"/>
      <c r="L180" s="1709"/>
      <c r="M180" s="1709"/>
      <c r="N180" s="1709"/>
      <c r="O180" s="1709"/>
      <c r="P180" s="1709"/>
      <c r="Q180" s="1709"/>
      <c r="R180" s="1709"/>
      <c r="S180" s="1709"/>
      <c r="T180" s="1709"/>
      <c r="U180" s="1709"/>
      <c r="V180" s="1709"/>
      <c r="W180" s="1709"/>
      <c r="X180" s="1709"/>
      <c r="Y180" s="1709"/>
      <c r="Z180" s="1709"/>
      <c r="AA180" s="1709"/>
      <c r="AB180" s="1709"/>
      <c r="AC180" s="1709"/>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581</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65">
        <f>VLOOKUP($H$182,$AO$169:$AP$176,2,FALSE)</f>
        <v>5</v>
      </c>
      <c r="AK184" s="126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2" t="s">
        <v>2284</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40" t="s">
        <v>61</v>
      </c>
      <c r="AG188" s="1340"/>
      <c r="AH188" s="1340"/>
      <c r="AI188" s="1340"/>
      <c r="AJ188" s="1340"/>
      <c r="AK188" s="1340"/>
      <c r="AL188" s="1340"/>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40"/>
      <c r="AG189" s="1340"/>
      <c r="AH189" s="1340"/>
      <c r="AI189" s="1340"/>
      <c r="AJ189" s="1340"/>
      <c r="AK189" s="1340"/>
      <c r="AL189" s="134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9" t="s">
        <v>2217</v>
      </c>
      <c r="F191" s="1709"/>
      <c r="G191" s="1709"/>
      <c r="H191" s="1709"/>
      <c r="I191" s="1709"/>
      <c r="J191" s="1709"/>
      <c r="K191" s="1709"/>
      <c r="L191" s="1709"/>
      <c r="M191" s="1709"/>
      <c r="N191" s="1709"/>
      <c r="O191" s="1709"/>
      <c r="P191" s="1709"/>
      <c r="Q191" s="1709"/>
      <c r="R191" s="1709"/>
      <c r="S191" s="1709"/>
      <c r="T191" s="1709"/>
      <c r="U191" s="1709"/>
      <c r="V191" s="1709"/>
      <c r="W191" s="1709"/>
      <c r="X191" s="1709"/>
      <c r="Y191" s="1709"/>
      <c r="Z191" s="1709"/>
      <c r="AA191" s="1709"/>
      <c r="AB191" s="1709"/>
      <c r="AF191" s="1504" t="s">
        <v>61</v>
      </c>
      <c r="AG191" s="1504"/>
      <c r="AH191" s="1504"/>
      <c r="AI191" s="1504"/>
      <c r="AJ191" s="1504"/>
      <c r="AK191" s="1504"/>
      <c r="AL191" s="1504"/>
      <c r="AN191" s="279"/>
      <c r="AO191" s="26" t="s">
        <v>581</v>
      </c>
      <c r="AP191" s="4">
        <v>3</v>
      </c>
    </row>
    <row r="192" spans="1:61" s="4" customFormat="1" ht="12.75" customHeight="1">
      <c r="B192" s="5"/>
      <c r="C192" s="119"/>
      <c r="E192" s="1709"/>
      <c r="F192" s="1709"/>
      <c r="G192" s="1709"/>
      <c r="H192" s="1709"/>
      <c r="I192" s="1709"/>
      <c r="J192" s="1709"/>
      <c r="K192" s="1709"/>
      <c r="L192" s="1709"/>
      <c r="M192" s="1709"/>
      <c r="N192" s="1709"/>
      <c r="O192" s="1709"/>
      <c r="P192" s="1709"/>
      <c r="Q192" s="1709"/>
      <c r="R192" s="1709"/>
      <c r="S192" s="1709"/>
      <c r="T192" s="1709"/>
      <c r="U192" s="1709"/>
      <c r="V192" s="1709"/>
      <c r="W192" s="1709"/>
      <c r="X192" s="1709"/>
      <c r="Y192" s="1709"/>
      <c r="Z192" s="1709"/>
      <c r="AA192" s="1709"/>
      <c r="AB192" s="1709"/>
      <c r="AE192" s="19"/>
      <c r="AF192" s="1504"/>
      <c r="AG192" s="1504"/>
      <c r="AH192" s="1504"/>
      <c r="AI192" s="1504"/>
      <c r="AJ192" s="1504"/>
      <c r="AK192" s="1504"/>
      <c r="AL192" s="1504"/>
      <c r="AN192" s="279"/>
      <c r="AO192" s="26" t="s">
        <v>197</v>
      </c>
      <c r="AP192" s="26">
        <f>3*$AO$197</f>
        <v>0</v>
      </c>
    </row>
    <row r="193" spans="1:53" s="4" customFormat="1" ht="12.75" customHeight="1">
      <c r="B193" s="5"/>
      <c r="C193" s="119"/>
      <c r="E193" s="1709"/>
      <c r="F193" s="1709"/>
      <c r="G193" s="1709"/>
      <c r="H193" s="1709"/>
      <c r="I193" s="1709"/>
      <c r="J193" s="1709"/>
      <c r="K193" s="1709"/>
      <c r="L193" s="1709"/>
      <c r="M193" s="1709"/>
      <c r="N193" s="1709"/>
      <c r="O193" s="1709"/>
      <c r="P193" s="1709"/>
      <c r="Q193" s="1709"/>
      <c r="R193" s="1709"/>
      <c r="S193" s="1709"/>
      <c r="T193" s="1709"/>
      <c r="U193" s="1709"/>
      <c r="V193" s="1709"/>
      <c r="W193" s="1709"/>
      <c r="X193" s="1709"/>
      <c r="Y193" s="1709"/>
      <c r="Z193" s="1709"/>
      <c r="AA193" s="1709"/>
      <c r="AB193" s="1709"/>
      <c r="AE193" s="19"/>
      <c r="AF193" s="100"/>
      <c r="AG193" s="19"/>
      <c r="AH193" s="19"/>
      <c r="AI193" s="19"/>
      <c r="AJ193" s="19"/>
      <c r="AK193" s="19"/>
      <c r="AL193" s="19"/>
      <c r="AN193" s="279"/>
      <c r="AO193" s="4" t="s">
        <v>890</v>
      </c>
      <c r="AP193" s="26">
        <f>2*$AO$197</f>
        <v>0</v>
      </c>
    </row>
    <row r="194" spans="1:53" s="4" customFormat="1" ht="6.75" customHeight="1">
      <c r="B194" s="5"/>
      <c r="C194" s="119"/>
      <c r="E194" s="1709"/>
      <c r="F194" s="1709"/>
      <c r="G194" s="1709"/>
      <c r="H194" s="1709"/>
      <c r="I194" s="1709"/>
      <c r="J194" s="1709"/>
      <c r="K194" s="1709"/>
      <c r="L194" s="1709"/>
      <c r="M194" s="1709"/>
      <c r="N194" s="1709"/>
      <c r="O194" s="1709"/>
      <c r="P194" s="1709"/>
      <c r="Q194" s="1709"/>
      <c r="R194" s="1709"/>
      <c r="S194" s="1709"/>
      <c r="T194" s="1709"/>
      <c r="U194" s="1709"/>
      <c r="V194" s="1709"/>
      <c r="W194" s="1709"/>
      <c r="X194" s="1709"/>
      <c r="Y194" s="1709"/>
      <c r="Z194" s="1709"/>
      <c r="AA194" s="1709"/>
      <c r="AB194" s="170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9" t="s">
        <v>2218</v>
      </c>
      <c r="F196" s="1709"/>
      <c r="G196" s="1709"/>
      <c r="H196" s="1709"/>
      <c r="I196" s="1709"/>
      <c r="J196" s="1709"/>
      <c r="K196" s="1709"/>
      <c r="L196" s="1709"/>
      <c r="M196" s="1709"/>
      <c r="N196" s="1709"/>
      <c r="O196" s="1709"/>
      <c r="P196" s="1709"/>
      <c r="Q196" s="1709"/>
      <c r="R196" s="1709"/>
      <c r="S196" s="1709"/>
      <c r="T196" s="1709"/>
      <c r="U196" s="1709"/>
      <c r="V196" s="1709"/>
      <c r="W196" s="1709"/>
      <c r="X196" s="1709"/>
      <c r="Y196" s="1709"/>
      <c r="Z196" s="1709"/>
      <c r="AA196" s="1709"/>
      <c r="AB196" s="1709"/>
      <c r="AF196" s="1504" t="s">
        <v>103</v>
      </c>
      <c r="AG196" s="1504"/>
      <c r="AH196" s="1504"/>
      <c r="AI196" s="1504"/>
      <c r="AJ196" s="1504"/>
      <c r="AK196" s="1504"/>
      <c r="AL196" s="1504"/>
      <c r="AN196" s="279"/>
      <c r="AY196" s="4" t="s">
        <v>2219</v>
      </c>
      <c r="AZ196" s="955">
        <f>Application!S215</f>
        <v>46</v>
      </c>
    </row>
    <row r="197" spans="1:53" s="4" customFormat="1" ht="12.75" customHeight="1">
      <c r="B197" s="5"/>
      <c r="C197" s="45"/>
      <c r="E197" s="1709"/>
      <c r="F197" s="1709"/>
      <c r="G197" s="1709"/>
      <c r="H197" s="1709"/>
      <c r="I197" s="1709"/>
      <c r="J197" s="1709"/>
      <c r="K197" s="1709"/>
      <c r="L197" s="1709"/>
      <c r="M197" s="1709"/>
      <c r="N197" s="1709"/>
      <c r="O197" s="1709"/>
      <c r="P197" s="1709"/>
      <c r="Q197" s="1709"/>
      <c r="R197" s="1709"/>
      <c r="S197" s="1709"/>
      <c r="T197" s="1709"/>
      <c r="U197" s="1709"/>
      <c r="V197" s="1709"/>
      <c r="W197" s="1709"/>
      <c r="X197" s="1709"/>
      <c r="Y197" s="1709"/>
      <c r="Z197" s="1709"/>
      <c r="AA197" s="1709"/>
      <c r="AB197" s="1709"/>
      <c r="AD197" s="5"/>
      <c r="AE197" s="19"/>
      <c r="AF197" s="1504"/>
      <c r="AG197" s="1504"/>
      <c r="AH197" s="1504"/>
      <c r="AI197" s="1504"/>
      <c r="AJ197" s="1504"/>
      <c r="AK197" s="1504"/>
      <c r="AL197" s="1504"/>
      <c r="AN197" s="279"/>
      <c r="AO197" s="125" t="b">
        <f>IF(OR(Application!D214="Special Needs",Application!D211="At-Risk and Special Needs"),IF(BA203&gt;=0.25,TRUE,FALSE),IF(AZ203&gt;=0.25,TRUE,FALSE))</f>
        <v>0</v>
      </c>
      <c r="AY197" s="4" t="s">
        <v>2220</v>
      </c>
      <c r="AZ197" s="955">
        <f>Application!G738</f>
        <v>46</v>
      </c>
    </row>
    <row r="198" spans="1:53" s="4" customFormat="1" ht="12.75" customHeight="1">
      <c r="B198" s="5"/>
      <c r="C198" s="45"/>
      <c r="E198" s="1709"/>
      <c r="F198" s="1709"/>
      <c r="G198" s="1709"/>
      <c r="H198" s="1709"/>
      <c r="I198" s="1709"/>
      <c r="J198" s="1709"/>
      <c r="K198" s="1709"/>
      <c r="L198" s="1709"/>
      <c r="M198" s="1709"/>
      <c r="N198" s="1709"/>
      <c r="O198" s="1709"/>
      <c r="P198" s="1709"/>
      <c r="Q198" s="1709"/>
      <c r="R198" s="1709"/>
      <c r="S198" s="1709"/>
      <c r="T198" s="1709"/>
      <c r="U198" s="1709"/>
      <c r="V198" s="1709"/>
      <c r="W198" s="1709"/>
      <c r="X198" s="1709"/>
      <c r="Y198" s="1709"/>
      <c r="Z198" s="1709"/>
      <c r="AA198" s="1709"/>
      <c r="AB198" s="1709"/>
      <c r="AD198" s="5"/>
      <c r="AE198" s="19"/>
      <c r="AN198" s="279"/>
      <c r="AY198" s="4" t="s">
        <v>2222</v>
      </c>
      <c r="AZ198" s="4">
        <f>Application!CC634</f>
        <v>0</v>
      </c>
    </row>
    <row r="199" spans="1:53" customFormat="1" ht="12.75" customHeight="1">
      <c r="A199" s="4"/>
      <c r="B199" s="5"/>
      <c r="C199" s="45"/>
      <c r="D199" s="4"/>
      <c r="E199" s="1709"/>
      <c r="F199" s="1709"/>
      <c r="G199" s="1709"/>
      <c r="H199" s="1709"/>
      <c r="I199" s="1709"/>
      <c r="J199" s="1709"/>
      <c r="K199" s="1709"/>
      <c r="L199" s="1709"/>
      <c r="M199" s="1709"/>
      <c r="N199" s="1709"/>
      <c r="O199" s="1709"/>
      <c r="P199" s="1709"/>
      <c r="Q199" s="1709"/>
      <c r="R199" s="1709"/>
      <c r="S199" s="1709"/>
      <c r="T199" s="1709"/>
      <c r="U199" s="1709"/>
      <c r="V199" s="1709"/>
      <c r="W199" s="1709"/>
      <c r="X199" s="1709"/>
      <c r="Y199" s="1709"/>
      <c r="Z199" s="1709"/>
      <c r="AA199" s="1709"/>
      <c r="AB199" s="1709"/>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2274</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39" t="s">
        <v>581</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65">
        <f>VLOOKUP($H$204,$AO$190:$AP$193,2,FALSE)</f>
        <v>3</v>
      </c>
      <c r="AK206" s="126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1" t="s">
        <v>1254</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581</v>
      </c>
      <c r="AP211" s="4">
        <v>3</v>
      </c>
    </row>
    <row r="212" spans="1:52" customFormat="1" ht="13.9"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3.9" customHeight="1">
      <c r="A213" s="4"/>
      <c r="B213" s="5"/>
      <c r="C213" s="45"/>
      <c r="D213" s="26" t="s">
        <v>197</v>
      </c>
      <c r="E213" s="1889" t="s">
        <v>1255</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9" t="s">
        <v>124</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5">
        <f>VLOOKUP($H$216,$AO$210:$AP$212,2,FALSE)</f>
        <v>0</v>
      </c>
      <c r="AK218" s="1267"/>
      <c r="AL218" s="10"/>
      <c r="AM218" s="4"/>
      <c r="AN218" s="202"/>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9" t="s">
        <v>1488</v>
      </c>
      <c r="F222" s="1709"/>
      <c r="G222" s="1709"/>
      <c r="H222" s="1709"/>
      <c r="I222" s="1709"/>
      <c r="J222" s="1709"/>
      <c r="K222" s="1709"/>
      <c r="L222" s="1709"/>
      <c r="M222" s="1709"/>
      <c r="N222" s="1709"/>
      <c r="O222" s="1709"/>
      <c r="P222" s="1709"/>
      <c r="Q222" s="1709"/>
      <c r="R222" s="1709"/>
      <c r="S222" s="1709"/>
      <c r="T222" s="1709"/>
      <c r="U222" s="1709"/>
      <c r="V222" s="1709"/>
      <c r="W222" s="1709"/>
      <c r="X222" s="1709"/>
      <c r="Y222" s="1709"/>
      <c r="Z222" s="1709"/>
      <c r="AA222" s="1709"/>
      <c r="AB222" s="1709"/>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709"/>
      <c r="F223" s="1709"/>
      <c r="G223" s="1709"/>
      <c r="H223" s="1709"/>
      <c r="I223" s="1709"/>
      <c r="J223" s="1709"/>
      <c r="K223" s="1709"/>
      <c r="L223" s="1709"/>
      <c r="M223" s="1709"/>
      <c r="N223" s="1709"/>
      <c r="O223" s="1709"/>
      <c r="P223" s="1709"/>
      <c r="Q223" s="1709"/>
      <c r="R223" s="1709"/>
      <c r="S223" s="1709"/>
      <c r="T223" s="1709"/>
      <c r="U223" s="1709"/>
      <c r="V223" s="1709"/>
      <c r="W223" s="1709"/>
      <c r="X223" s="1709"/>
      <c r="Y223" s="1709"/>
      <c r="Z223" s="1709"/>
      <c r="AA223" s="1709"/>
      <c r="AB223" s="170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9" t="s">
        <v>882</v>
      </c>
      <c r="F225" s="1709"/>
      <c r="G225" s="1709"/>
      <c r="H225" s="1709"/>
      <c r="I225" s="1709"/>
      <c r="J225" s="1709"/>
      <c r="K225" s="1709"/>
      <c r="L225" s="1709"/>
      <c r="M225" s="1709"/>
      <c r="N225" s="1709"/>
      <c r="O225" s="1709"/>
      <c r="P225" s="1709"/>
      <c r="Q225" s="1709"/>
      <c r="R225" s="1709"/>
      <c r="S225" s="1709"/>
      <c r="T225" s="1709"/>
      <c r="U225" s="1709"/>
      <c r="V225" s="1709"/>
      <c r="W225" s="1709"/>
      <c r="X225" s="1709"/>
      <c r="Y225" s="1709"/>
      <c r="Z225" s="1709"/>
      <c r="AA225" s="1709"/>
      <c r="AB225" s="1709"/>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709"/>
      <c r="F226" s="1709"/>
      <c r="G226" s="1709"/>
      <c r="H226" s="1709"/>
      <c r="I226" s="1709"/>
      <c r="J226" s="1709"/>
      <c r="K226" s="1709"/>
      <c r="L226" s="1709"/>
      <c r="M226" s="1709"/>
      <c r="N226" s="1709"/>
      <c r="O226" s="1709"/>
      <c r="P226" s="1709"/>
      <c r="Q226" s="1709"/>
      <c r="R226" s="1709"/>
      <c r="S226" s="1709"/>
      <c r="T226" s="1709"/>
      <c r="U226" s="1709"/>
      <c r="V226" s="1709"/>
      <c r="W226" s="1709"/>
      <c r="X226" s="1709"/>
      <c r="Y226" s="1709"/>
      <c r="Z226" s="1709"/>
      <c r="AA226" s="1709"/>
      <c r="AB226" s="170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124</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5">
        <f>VLOOKUP($H$228,$AO$225:$AP$227,2,FALSE)</f>
        <v>0</v>
      </c>
      <c r="AK230" s="126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9" t="s">
        <v>1123</v>
      </c>
      <c r="F234" s="1709"/>
      <c r="G234" s="1709"/>
      <c r="H234" s="1709"/>
      <c r="I234" s="1709"/>
      <c r="J234" s="1709"/>
      <c r="K234" s="1709"/>
      <c r="L234" s="1709"/>
      <c r="M234" s="1709"/>
      <c r="N234" s="1709"/>
      <c r="O234" s="1709"/>
      <c r="P234" s="1709"/>
      <c r="Q234" s="1709"/>
      <c r="R234" s="1709"/>
      <c r="S234" s="1709"/>
      <c r="T234" s="1709"/>
      <c r="U234" s="1709"/>
      <c r="V234" s="1709"/>
      <c r="W234" s="1709"/>
      <c r="X234" s="1709"/>
      <c r="Y234" s="1709"/>
      <c r="Z234" s="1709"/>
      <c r="AA234" s="1709"/>
      <c r="AB234" s="1709"/>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709"/>
      <c r="F235" s="1709"/>
      <c r="G235" s="1709"/>
      <c r="H235" s="1709"/>
      <c r="I235" s="1709"/>
      <c r="J235" s="1709"/>
      <c r="K235" s="1709"/>
      <c r="L235" s="1709"/>
      <c r="M235" s="1709"/>
      <c r="N235" s="1709"/>
      <c r="O235" s="1709"/>
      <c r="P235" s="1709"/>
      <c r="Q235" s="1709"/>
      <c r="R235" s="1709"/>
      <c r="S235" s="1709"/>
      <c r="T235" s="1709"/>
      <c r="U235" s="1709"/>
      <c r="V235" s="1709"/>
      <c r="W235" s="1709"/>
      <c r="X235" s="1709"/>
      <c r="Y235" s="1709"/>
      <c r="Z235" s="1709"/>
      <c r="AA235" s="1709"/>
      <c r="AB235" s="1709"/>
      <c r="AC235" s="4"/>
      <c r="AD235" s="4"/>
      <c r="AL235" s="4"/>
      <c r="AM235" s="4"/>
      <c r="AN235" s="202"/>
    </row>
    <row r="236" spans="1:82" customFormat="1" ht="12.75" customHeight="1">
      <c r="A236" s="4"/>
      <c r="B236" s="5"/>
      <c r="C236" s="113"/>
      <c r="D236" s="26"/>
      <c r="E236" s="1709"/>
      <c r="F236" s="1709"/>
      <c r="G236" s="1709"/>
      <c r="H236" s="1709"/>
      <c r="I236" s="1709"/>
      <c r="J236" s="1709"/>
      <c r="K236" s="1709"/>
      <c r="L236" s="1709"/>
      <c r="M236" s="1709"/>
      <c r="N236" s="1709"/>
      <c r="O236" s="1709"/>
      <c r="P236" s="1709"/>
      <c r="Q236" s="1709"/>
      <c r="R236" s="1709"/>
      <c r="S236" s="1709"/>
      <c r="T236" s="1709"/>
      <c r="U236" s="1709"/>
      <c r="V236" s="1709"/>
      <c r="W236" s="1709"/>
      <c r="X236" s="1709"/>
      <c r="Y236" s="1709"/>
      <c r="Z236" s="1709"/>
      <c r="AA236" s="1709"/>
      <c r="AB236" s="170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9" t="s">
        <v>1124</v>
      </c>
      <c r="F238" s="1709"/>
      <c r="G238" s="1709"/>
      <c r="H238" s="1709"/>
      <c r="I238" s="1709"/>
      <c r="J238" s="1709"/>
      <c r="K238" s="1709"/>
      <c r="L238" s="1709"/>
      <c r="M238" s="1709"/>
      <c r="N238" s="1709"/>
      <c r="O238" s="1709"/>
      <c r="P238" s="1709"/>
      <c r="Q238" s="1709"/>
      <c r="R238" s="1709"/>
      <c r="S238" s="1709"/>
      <c r="T238" s="1709"/>
      <c r="U238" s="1709"/>
      <c r="V238" s="1709"/>
      <c r="W238" s="1709"/>
      <c r="X238" s="1709"/>
      <c r="Y238" s="1709"/>
      <c r="Z238" s="1709"/>
      <c r="AA238" s="1709"/>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709"/>
      <c r="F239" s="1709"/>
      <c r="G239" s="1709"/>
      <c r="H239" s="1709"/>
      <c r="I239" s="1709"/>
      <c r="J239" s="1709"/>
      <c r="K239" s="1709"/>
      <c r="L239" s="1709"/>
      <c r="M239" s="1709"/>
      <c r="N239" s="1709"/>
      <c r="O239" s="1709"/>
      <c r="P239" s="1709"/>
      <c r="Q239" s="1709"/>
      <c r="R239" s="1709"/>
      <c r="S239" s="1709"/>
      <c r="T239" s="1709"/>
      <c r="U239" s="1709"/>
      <c r="V239" s="1709"/>
      <c r="W239" s="1709"/>
      <c r="X239" s="1709"/>
      <c r="Y239" s="1709"/>
      <c r="Z239" s="1709"/>
      <c r="AA239" s="170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9"/>
      <c r="F240" s="1709"/>
      <c r="G240" s="1709"/>
      <c r="H240" s="1709"/>
      <c r="I240" s="1709"/>
      <c r="J240" s="1709"/>
      <c r="K240" s="1709"/>
      <c r="L240" s="1709"/>
      <c r="M240" s="1709"/>
      <c r="N240" s="1709"/>
      <c r="O240" s="1709"/>
      <c r="P240" s="1709"/>
      <c r="Q240" s="1709"/>
      <c r="R240" s="1709"/>
      <c r="S240" s="1709"/>
      <c r="T240" s="1709"/>
      <c r="U240" s="1709"/>
      <c r="V240" s="1709"/>
      <c r="W240" s="1709"/>
      <c r="X240" s="1709"/>
      <c r="Y240" s="1709"/>
      <c r="Z240" s="1709"/>
      <c r="AA240" s="170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124</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65">
        <f>VLOOKUP($H$242,$AO$225:$AP$227,2,FALSE)</f>
        <v>0</v>
      </c>
      <c r="AK244" s="126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9" t="s">
        <v>317</v>
      </c>
      <c r="F248" s="1709"/>
      <c r="G248" s="1709"/>
      <c r="H248" s="1709"/>
      <c r="I248" s="1709"/>
      <c r="J248" s="1709"/>
      <c r="K248" s="1709"/>
      <c r="L248" s="1709"/>
      <c r="M248" s="1709"/>
      <c r="N248" s="1709"/>
      <c r="O248" s="1709"/>
      <c r="P248" s="1709"/>
      <c r="Q248" s="1709"/>
      <c r="R248" s="1709"/>
      <c r="S248" s="1709"/>
      <c r="T248" s="1709"/>
      <c r="U248" s="1709"/>
      <c r="V248" s="1709"/>
      <c r="W248" s="1709"/>
      <c r="X248" s="1709"/>
      <c r="Y248" s="1709"/>
      <c r="Z248" s="1709"/>
      <c r="AA248" s="1709"/>
      <c r="AB248" s="1709"/>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9"/>
      <c r="F249" s="1709"/>
      <c r="G249" s="1709"/>
      <c r="H249" s="1709"/>
      <c r="I249" s="1709"/>
      <c r="J249" s="1709"/>
      <c r="K249" s="1709"/>
      <c r="L249" s="1709"/>
      <c r="M249" s="1709"/>
      <c r="N249" s="1709"/>
      <c r="O249" s="1709"/>
      <c r="P249" s="1709"/>
      <c r="Q249" s="1709"/>
      <c r="R249" s="1709"/>
      <c r="S249" s="1709"/>
      <c r="T249" s="1709"/>
      <c r="U249" s="1709"/>
      <c r="V249" s="1709"/>
      <c r="W249" s="1709"/>
      <c r="X249" s="1709"/>
      <c r="Y249" s="1709"/>
      <c r="Z249" s="1709"/>
      <c r="AA249" s="1709"/>
      <c r="AB249" s="170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9" t="s">
        <v>1256</v>
      </c>
      <c r="F251" s="1709"/>
      <c r="G251" s="1709"/>
      <c r="H251" s="1709"/>
      <c r="I251" s="1709"/>
      <c r="J251" s="1709"/>
      <c r="K251" s="1709"/>
      <c r="L251" s="1709"/>
      <c r="M251" s="1709"/>
      <c r="N251" s="1709"/>
      <c r="O251" s="1709"/>
      <c r="P251" s="1709"/>
      <c r="Q251" s="1709"/>
      <c r="R251" s="1709"/>
      <c r="S251" s="1709"/>
      <c r="T251" s="1709"/>
      <c r="U251" s="1709"/>
      <c r="V251" s="1709"/>
      <c r="W251" s="1709"/>
      <c r="X251" s="1709"/>
      <c r="Y251" s="1709"/>
      <c r="Z251" s="1709"/>
      <c r="AA251" s="1709"/>
      <c r="AB251" s="1709"/>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9"/>
      <c r="F252" s="1709"/>
      <c r="G252" s="1709"/>
      <c r="H252" s="1709"/>
      <c r="I252" s="1709"/>
      <c r="J252" s="1709"/>
      <c r="K252" s="1709"/>
      <c r="L252" s="1709"/>
      <c r="M252" s="1709"/>
      <c r="N252" s="1709"/>
      <c r="O252" s="1709"/>
      <c r="P252" s="1709"/>
      <c r="Q252" s="1709"/>
      <c r="R252" s="1709"/>
      <c r="S252" s="1709"/>
      <c r="T252" s="1709"/>
      <c r="U252" s="1709"/>
      <c r="V252" s="1709"/>
      <c r="W252" s="1709"/>
      <c r="X252" s="1709"/>
      <c r="Y252" s="1709"/>
      <c r="Z252" s="1709"/>
      <c r="AA252" s="1709"/>
      <c r="AB252" s="170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581</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5">
        <f>VLOOKUP($H$254,$AO$246:$AP$248,2,FALSE)</f>
        <v>2</v>
      </c>
      <c r="AK256" s="126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9" t="s">
        <v>1938</v>
      </c>
      <c r="F260" s="1709"/>
      <c r="G260" s="1709"/>
      <c r="H260" s="1709"/>
      <c r="I260" s="1709"/>
      <c r="J260" s="1709"/>
      <c r="K260" s="1709"/>
      <c r="L260" s="1709"/>
      <c r="M260" s="1709"/>
      <c r="N260" s="1709"/>
      <c r="O260" s="1709"/>
      <c r="P260" s="1709"/>
      <c r="Q260" s="1709"/>
      <c r="R260" s="1709"/>
      <c r="S260" s="1709"/>
      <c r="T260" s="1709"/>
      <c r="U260" s="1709"/>
      <c r="V260" s="1709"/>
      <c r="W260" s="1709"/>
      <c r="X260" s="1709"/>
      <c r="Y260" s="1709"/>
      <c r="Z260" s="1709"/>
      <c r="AA260" s="1709"/>
      <c r="AB260" s="1709"/>
      <c r="AC260" s="1709"/>
      <c r="AD260" s="1709"/>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709"/>
      <c r="F261" s="1709"/>
      <c r="G261" s="1709"/>
      <c r="H261" s="1709"/>
      <c r="I261" s="1709"/>
      <c r="J261" s="1709"/>
      <c r="K261" s="1709"/>
      <c r="L261" s="1709"/>
      <c r="M261" s="1709"/>
      <c r="N261" s="1709"/>
      <c r="O261" s="1709"/>
      <c r="P261" s="1709"/>
      <c r="Q261" s="1709"/>
      <c r="R261" s="1709"/>
      <c r="S261" s="1709"/>
      <c r="T261" s="1709"/>
      <c r="U261" s="1709"/>
      <c r="V261" s="1709"/>
      <c r="W261" s="1709"/>
      <c r="X261" s="1709"/>
      <c r="Y261" s="1709"/>
      <c r="Z261" s="1709"/>
      <c r="AA261" s="1709"/>
      <c r="AB261" s="1709"/>
      <c r="AC261" s="1709"/>
      <c r="AD261" s="170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9"/>
      <c r="F262" s="1709"/>
      <c r="G262" s="1709"/>
      <c r="H262" s="1709"/>
      <c r="I262" s="1709"/>
      <c r="J262" s="1709"/>
      <c r="K262" s="1709"/>
      <c r="L262" s="1709"/>
      <c r="M262" s="1709"/>
      <c r="N262" s="1709"/>
      <c r="O262" s="1709"/>
      <c r="P262" s="1709"/>
      <c r="Q262" s="1709"/>
      <c r="R262" s="1709"/>
      <c r="S262" s="1709"/>
      <c r="T262" s="1709"/>
      <c r="U262" s="1709"/>
      <c r="V262" s="1709"/>
      <c r="W262" s="1709"/>
      <c r="X262" s="1709"/>
      <c r="Y262" s="1709"/>
      <c r="Z262" s="1709"/>
      <c r="AA262" s="1709"/>
      <c r="AB262" s="1709"/>
      <c r="AC262" s="1709"/>
      <c r="AD262" s="170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1939</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5" t="s">
        <v>61</v>
      </c>
      <c r="AG264" s="1695"/>
      <c r="AH264" s="1695"/>
      <c r="AI264" s="1695"/>
      <c r="AJ264" s="1695"/>
      <c r="AK264" s="1695"/>
      <c r="AL264" s="1695"/>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124</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5">
        <f>VLOOKUP($H$269,$AO$260:$AP$262,2,FALSE)</f>
        <v>0</v>
      </c>
      <c r="AK271" s="1267"/>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9" t="s">
        <v>2194</v>
      </c>
      <c r="F275" s="1709"/>
      <c r="G275" s="1709"/>
      <c r="H275" s="1709"/>
      <c r="I275" s="1709"/>
      <c r="J275" s="1709"/>
      <c r="K275" s="1709"/>
      <c r="L275" s="1709"/>
      <c r="M275" s="1709"/>
      <c r="N275" s="1709"/>
      <c r="O275" s="1709"/>
      <c r="P275" s="1709"/>
      <c r="Q275" s="1709"/>
      <c r="R275" s="1709"/>
      <c r="S275" s="1709"/>
      <c r="T275" s="1709"/>
      <c r="U275" s="1709"/>
      <c r="V275" s="1709"/>
      <c r="W275" s="1709"/>
      <c r="X275" s="1709"/>
      <c r="Y275" s="1709"/>
      <c r="Z275" s="1709"/>
      <c r="AA275" s="1709"/>
      <c r="AB275" s="1709"/>
      <c r="AC275" s="1709"/>
      <c r="AD275" s="1709"/>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709"/>
      <c r="F276" s="1709"/>
      <c r="G276" s="1709"/>
      <c r="H276" s="1709"/>
      <c r="I276" s="1709"/>
      <c r="J276" s="1709"/>
      <c r="K276" s="1709"/>
      <c r="L276" s="1709"/>
      <c r="M276" s="1709"/>
      <c r="N276" s="1709"/>
      <c r="O276" s="1709"/>
      <c r="P276" s="1709"/>
      <c r="Q276" s="1709"/>
      <c r="R276" s="1709"/>
      <c r="S276" s="1709"/>
      <c r="T276" s="1709"/>
      <c r="U276" s="1709"/>
      <c r="V276" s="1709"/>
      <c r="W276" s="1709"/>
      <c r="X276" s="1709"/>
      <c r="Y276" s="1709"/>
      <c r="Z276" s="1709"/>
      <c r="AA276" s="1709"/>
      <c r="AB276" s="1709"/>
      <c r="AC276" s="1709"/>
      <c r="AD276" s="170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9"/>
      <c r="F277" s="1709"/>
      <c r="G277" s="1709"/>
      <c r="H277" s="1709"/>
      <c r="I277" s="1709"/>
      <c r="J277" s="1709"/>
      <c r="K277" s="1709"/>
      <c r="L277" s="1709"/>
      <c r="M277" s="1709"/>
      <c r="N277" s="1709"/>
      <c r="O277" s="1709"/>
      <c r="P277" s="1709"/>
      <c r="Q277" s="1709"/>
      <c r="R277" s="1709"/>
      <c r="S277" s="1709"/>
      <c r="T277" s="1709"/>
      <c r="U277" s="1709"/>
      <c r="V277" s="1709"/>
      <c r="W277" s="1709"/>
      <c r="X277" s="1709"/>
      <c r="Y277" s="1709"/>
      <c r="Z277" s="1709"/>
      <c r="AA277" s="1709"/>
      <c r="AB277" s="1709"/>
      <c r="AC277" s="1709"/>
      <c r="AD277" s="170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65">
        <f>VLOOKUP($H$279,$AO$274:$AP$275,2,FALSE)</f>
        <v>0</v>
      </c>
      <c r="AK281" s="126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5">
        <f>$AJ$124+$AJ$139+$AJ$151+$AJ$184+$AJ$206+$AJ$218+$AJ$230+$AJ$244+$AJ$256+$AJ$271+AJ281</f>
        <v>20</v>
      </c>
      <c r="AL283" s="1266"/>
      <c r="AM283" s="126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50" t="s">
        <v>2470</v>
      </c>
      <c r="I287" s="1150"/>
      <c r="J287" s="1150"/>
      <c r="K287" s="1150"/>
      <c r="L287" s="1150"/>
      <c r="M287" s="1150"/>
      <c r="N287" s="1150"/>
      <c r="O287" s="1150"/>
      <c r="P287" s="1150"/>
      <c r="Q287" s="1150"/>
      <c r="R287" s="1150"/>
      <c r="S287"/>
      <c r="T287" s="41" t="s">
        <v>89</v>
      </c>
      <c r="U287"/>
      <c r="V287" s="41"/>
      <c r="W287" s="41"/>
      <c r="X287" s="41"/>
      <c r="Y287" s="41"/>
      <c r="Z287"/>
      <c r="AA287" s="1150" t="s">
        <v>2477</v>
      </c>
      <c r="AB287" s="1150"/>
      <c r="AC287" s="1150"/>
      <c r="AD287" s="1150"/>
      <c r="AE287" s="1150"/>
      <c r="AF287" s="1150"/>
      <c r="AG287" s="1150"/>
      <c r="AH287" s="1150"/>
      <c r="AI287" s="1150"/>
      <c r="AJ287" s="1150"/>
      <c r="AK287" s="1150"/>
      <c r="AL287" s="10"/>
      <c r="AN287" s="279"/>
      <c r="AP287" t="s">
        <v>91</v>
      </c>
    </row>
    <row r="288" spans="1:82" s="4" customFormat="1" ht="12.75" customHeight="1">
      <c r="B288" s="41" t="s">
        <v>699</v>
      </c>
      <c r="C288" s="41"/>
      <c r="D288" s="41"/>
      <c r="E288" s="41"/>
      <c r="F288" s="41"/>
      <c r="G288"/>
      <c r="H288" s="1261" t="s">
        <v>2471</v>
      </c>
      <c r="I288" s="1261"/>
      <c r="J288" s="1261"/>
      <c r="K288" s="1261"/>
      <c r="L288" s="1261"/>
      <c r="M288" s="1261"/>
      <c r="N288" s="1261"/>
      <c r="O288" s="1261"/>
      <c r="P288" s="1261"/>
      <c r="Q288" s="1261"/>
      <c r="R288" s="1261"/>
      <c r="S288"/>
      <c r="T288" s="41" t="s">
        <v>699</v>
      </c>
      <c r="U288"/>
      <c r="V288" s="41"/>
      <c r="W288" s="41"/>
      <c r="X288" s="41"/>
      <c r="Y288" s="41"/>
      <c r="Z288"/>
      <c r="AA288" s="1261" t="s">
        <v>2478</v>
      </c>
      <c r="AB288" s="1261"/>
      <c r="AC288" s="1261"/>
      <c r="AD288" s="1261"/>
      <c r="AE288" s="1261"/>
      <c r="AF288" s="1261"/>
      <c r="AG288" s="1261"/>
      <c r="AH288" s="1261"/>
      <c r="AI288" s="1261"/>
      <c r="AJ288" s="1261"/>
      <c r="AK288" s="1261"/>
      <c r="AL288" s="10"/>
      <c r="AN288" s="279"/>
      <c r="AP288" t="s">
        <v>92</v>
      </c>
    </row>
    <row r="289" spans="1:42" s="4" customFormat="1" ht="12.75" customHeight="1">
      <c r="B289" s="41" t="s">
        <v>99</v>
      </c>
      <c r="C289" s="41"/>
      <c r="D289" s="41"/>
      <c r="E289" s="41"/>
      <c r="F289" s="41"/>
      <c r="G289"/>
      <c r="H289" s="1261" t="s">
        <v>2472</v>
      </c>
      <c r="I289" s="1261"/>
      <c r="J289" s="1261"/>
      <c r="K289" s="1261"/>
      <c r="L289" s="1261"/>
      <c r="M289" s="1261"/>
      <c r="N289" s="1261"/>
      <c r="O289" s="1261"/>
      <c r="P289" s="1261"/>
      <c r="Q289" s="1261"/>
      <c r="R289" s="1261"/>
      <c r="S289"/>
      <c r="T289" s="41" t="s">
        <v>99</v>
      </c>
      <c r="U289"/>
      <c r="V289" s="41"/>
      <c r="W289" s="41"/>
      <c r="X289" s="41"/>
      <c r="Y289" s="41"/>
      <c r="Z289"/>
      <c r="AA289" s="1261" t="s">
        <v>2472</v>
      </c>
      <c r="AB289" s="1261"/>
      <c r="AC289" s="1261"/>
      <c r="AD289" s="1261"/>
      <c r="AE289" s="1261"/>
      <c r="AF289" s="1261"/>
      <c r="AG289" s="1261"/>
      <c r="AH289" s="1261"/>
      <c r="AI289" s="1261"/>
      <c r="AJ289" s="1261"/>
      <c r="AK289" s="1261"/>
      <c r="AL289" s="10"/>
      <c r="AN289" s="279"/>
      <c r="AO289" s="209"/>
      <c r="AP289" t="s">
        <v>93</v>
      </c>
    </row>
    <row r="290" spans="1:42" s="4" customFormat="1" ht="12.75" customHeight="1">
      <c r="B290" s="41" t="s">
        <v>374</v>
      </c>
      <c r="C290" s="41"/>
      <c r="D290" s="41"/>
      <c r="E290" s="41"/>
      <c r="F290" s="41"/>
      <c r="G290"/>
      <c r="H290" s="1261" t="s">
        <v>2473</v>
      </c>
      <c r="I290" s="1261"/>
      <c r="J290" s="1261"/>
      <c r="K290" s="1261"/>
      <c r="L290" s="1261"/>
      <c r="M290" s="1261"/>
      <c r="N290" s="1261"/>
      <c r="O290" s="1261"/>
      <c r="P290" s="1261"/>
      <c r="Q290" s="1261"/>
      <c r="R290" s="1261"/>
      <c r="S290"/>
      <c r="T290" s="41" t="s">
        <v>374</v>
      </c>
      <c r="U290"/>
      <c r="V290" s="41"/>
      <c r="W290" s="41"/>
      <c r="X290" s="41"/>
      <c r="Y290" s="41"/>
      <c r="Z290"/>
      <c r="AA290" s="1261" t="s">
        <v>2479</v>
      </c>
      <c r="AB290" s="1261"/>
      <c r="AC290" s="1261"/>
      <c r="AD290" s="1261"/>
      <c r="AE290" s="1261"/>
      <c r="AF290" s="1261"/>
      <c r="AG290" s="1261"/>
      <c r="AH290" s="1261"/>
      <c r="AI290" s="1261"/>
      <c r="AJ290" s="1261"/>
      <c r="AK290" s="1261"/>
      <c r="AL290" s="10"/>
      <c r="AN290" s="279"/>
      <c r="AO290" s="209"/>
      <c r="AP290" t="s">
        <v>347</v>
      </c>
    </row>
    <row r="291" spans="1:42" s="4" customFormat="1" ht="12.75" customHeight="1">
      <c r="B291" s="41" t="s">
        <v>375</v>
      </c>
      <c r="C291" s="41"/>
      <c r="D291" s="41"/>
      <c r="E291" s="41"/>
      <c r="F291" s="41"/>
      <c r="G291" s="41"/>
      <c r="H291" s="1404" t="s">
        <v>2474</v>
      </c>
      <c r="I291" s="1404"/>
      <c r="J291" s="1404"/>
      <c r="K291" s="1404"/>
      <c r="L291" s="1404"/>
      <c r="M291" s="1404"/>
      <c r="N291" s="5" t="s">
        <v>818</v>
      </c>
      <c r="O291" s="5"/>
      <c r="P291" s="1400"/>
      <c r="Q291" s="1400"/>
      <c r="R291" s="1400"/>
      <c r="S291" s="41"/>
      <c r="T291" s="41" t="s">
        <v>375</v>
      </c>
      <c r="U291"/>
      <c r="V291" s="41"/>
      <c r="W291" s="41"/>
      <c r="X291" s="41"/>
      <c r="Y291" s="41"/>
      <c r="Z291"/>
      <c r="AA291" s="1404">
        <v>5102140931</v>
      </c>
      <c r="AB291" s="1404"/>
      <c r="AC291" s="1404"/>
      <c r="AD291" s="1404"/>
      <c r="AE291" s="1404"/>
      <c r="AF291" s="1404"/>
      <c r="AG291" s="5" t="s">
        <v>818</v>
      </c>
      <c r="AH291" s="5"/>
      <c r="AI291" s="1400"/>
      <c r="AJ291" s="1400"/>
      <c r="AK291" s="1400"/>
      <c r="AL291" s="10"/>
      <c r="AN291" s="279"/>
      <c r="AO291" s="209"/>
      <c r="AP291" t="s">
        <v>2289</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347</v>
      </c>
      <c r="AB292" s="1261"/>
      <c r="AC292" s="1261"/>
      <c r="AD292" s="1261"/>
      <c r="AE292" s="1261"/>
      <c r="AF292" s="1261"/>
      <c r="AG292" s="1261"/>
      <c r="AH292" s="1261"/>
      <c r="AI292" s="1261"/>
      <c r="AJ292" s="1261"/>
      <c r="AK292" s="1261"/>
      <c r="AL292" s="10"/>
      <c r="AN292" s="279"/>
      <c r="AO292" s="209"/>
      <c r="AP292" t="s">
        <v>100</v>
      </c>
    </row>
    <row r="293" spans="1:42" s="4" customFormat="1" ht="12.75" customHeight="1">
      <c r="B293" s="41" t="s">
        <v>90</v>
      </c>
      <c r="C293" s="41"/>
      <c r="D293" s="41"/>
      <c r="E293" s="41"/>
      <c r="F293" s="41"/>
      <c r="G293" s="41"/>
      <c r="H293" s="1261" t="s">
        <v>2475</v>
      </c>
      <c r="I293" s="1261"/>
      <c r="J293" s="1261"/>
      <c r="K293" s="1261"/>
      <c r="L293" s="1261"/>
      <c r="M293" s="1261"/>
      <c r="N293" s="1261"/>
      <c r="O293" s="1261"/>
      <c r="P293" s="1261"/>
      <c r="Q293" s="1261"/>
      <c r="R293" s="1261"/>
      <c r="S293" s="41"/>
      <c r="T293" s="41" t="s">
        <v>90</v>
      </c>
      <c r="U293"/>
      <c r="V293" s="41"/>
      <c r="W293" s="41"/>
      <c r="X293" s="41"/>
      <c r="Y293" s="41"/>
      <c r="Z293"/>
      <c r="AA293" s="1261" t="s">
        <v>2480</v>
      </c>
      <c r="AB293" s="1261"/>
      <c r="AC293" s="1261"/>
      <c r="AD293" s="1261"/>
      <c r="AE293" s="1261"/>
      <c r="AF293" s="1261"/>
      <c r="AG293" s="1261"/>
      <c r="AH293" s="1261"/>
      <c r="AI293" s="1261"/>
      <c r="AJ293" s="1261"/>
      <c r="AK293" s="1261"/>
      <c r="AL293" s="10"/>
      <c r="AN293" s="279"/>
      <c r="AP293" t="s">
        <v>97</v>
      </c>
    </row>
    <row r="294" spans="1:42" s="4" customFormat="1" ht="12.75" customHeight="1">
      <c r="B294" s="41" t="s">
        <v>101</v>
      </c>
      <c r="C294" s="41"/>
      <c r="D294" s="41"/>
      <c r="E294" s="41"/>
      <c r="F294" s="41"/>
      <c r="G294" s="41"/>
      <c r="H294" s="1665" t="s">
        <v>2476</v>
      </c>
      <c r="I294" s="1665"/>
      <c r="J294" s="1665"/>
      <c r="K294" s="1665"/>
      <c r="L294" s="1665"/>
      <c r="M294" s="1665"/>
      <c r="N294" s="1665"/>
      <c r="O294" s="1665"/>
      <c r="P294" s="1665"/>
      <c r="Q294" s="1665"/>
      <c r="R294" s="1665"/>
      <c r="S294" s="41"/>
      <c r="T294" s="41" t="s">
        <v>101</v>
      </c>
      <c r="U294" s="41"/>
      <c r="V294" s="41"/>
      <c r="W294" s="41"/>
      <c r="X294" s="41"/>
      <c r="Y294" s="41"/>
      <c r="Z294" s="12"/>
      <c r="AA294" s="1665" t="s">
        <v>2481</v>
      </c>
      <c r="AB294" s="1665"/>
      <c r="AC294" s="1665"/>
      <c r="AD294" s="1665"/>
      <c r="AE294" s="1665"/>
      <c r="AF294" s="1665"/>
      <c r="AG294" s="1665"/>
      <c r="AH294" s="1665"/>
      <c r="AI294" s="1665"/>
      <c r="AJ294" s="1665"/>
      <c r="AK294" s="166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50" t="s">
        <v>2482</v>
      </c>
      <c r="I296" s="1150"/>
      <c r="J296" s="1150"/>
      <c r="K296" s="1150"/>
      <c r="L296" s="1150"/>
      <c r="M296" s="1150"/>
      <c r="N296" s="1150"/>
      <c r="O296" s="1150"/>
      <c r="P296" s="1150"/>
      <c r="Q296" s="1150"/>
      <c r="R296" s="1150"/>
      <c r="S296"/>
      <c r="T296" s="41" t="s">
        <v>89</v>
      </c>
      <c r="U296"/>
      <c r="V296" s="41"/>
      <c r="W296" s="41"/>
      <c r="X296" s="41"/>
      <c r="Y296" s="41"/>
      <c r="Z296"/>
      <c r="AA296" s="1150" t="s">
        <v>2484</v>
      </c>
      <c r="AB296" s="1150"/>
      <c r="AC296" s="1150"/>
      <c r="AD296" s="1150"/>
      <c r="AE296" s="1150"/>
      <c r="AF296" s="1150"/>
      <c r="AG296" s="1150"/>
      <c r="AH296" s="1150"/>
      <c r="AI296" s="1150"/>
      <c r="AJ296" s="1150"/>
      <c r="AK296" s="1150"/>
      <c r="AL296" s="10"/>
      <c r="AN296" s="279"/>
      <c r="AP296" t="s">
        <v>96</v>
      </c>
    </row>
    <row r="297" spans="1:42" s="20" customFormat="1" ht="12.75" customHeight="1">
      <c r="A297" s="4"/>
      <c r="B297" s="41" t="s">
        <v>699</v>
      </c>
      <c r="C297" s="41"/>
      <c r="D297" s="41"/>
      <c r="E297" s="41"/>
      <c r="F297" s="41"/>
      <c r="G297"/>
      <c r="H297" s="1261" t="s">
        <v>2478</v>
      </c>
      <c r="I297" s="1261"/>
      <c r="J297" s="1261"/>
      <c r="K297" s="1261"/>
      <c r="L297" s="1261"/>
      <c r="M297" s="1261"/>
      <c r="N297" s="1261"/>
      <c r="O297" s="1261"/>
      <c r="P297" s="1261"/>
      <c r="Q297" s="1261"/>
      <c r="R297" s="1261"/>
      <c r="S297"/>
      <c r="T297" s="41" t="s">
        <v>699</v>
      </c>
      <c r="U297"/>
      <c r="V297" s="41"/>
      <c r="W297" s="41"/>
      <c r="X297" s="41"/>
      <c r="Y297" s="41"/>
      <c r="Z297"/>
      <c r="AA297" s="1261" t="s">
        <v>2485</v>
      </c>
      <c r="AB297" s="1261"/>
      <c r="AC297" s="1261"/>
      <c r="AD297" s="1261"/>
      <c r="AE297" s="1261"/>
      <c r="AF297" s="1261"/>
      <c r="AG297" s="1261"/>
      <c r="AH297" s="1261"/>
      <c r="AI297" s="1261"/>
      <c r="AJ297" s="1261"/>
      <c r="AK297" s="1261"/>
      <c r="AL297" s="10"/>
      <c r="AM297" s="4"/>
      <c r="AN297" s="279"/>
      <c r="AO297" s="4"/>
      <c r="AP297" s="48" t="s">
        <v>348</v>
      </c>
    </row>
    <row r="298" spans="1:42" s="20" customFormat="1" ht="12.75" customHeight="1">
      <c r="A298" s="4"/>
      <c r="B298" s="41" t="s">
        <v>99</v>
      </c>
      <c r="C298" s="41"/>
      <c r="D298" s="41"/>
      <c r="E298" s="41"/>
      <c r="F298" s="41"/>
      <c r="G298"/>
      <c r="H298" s="1261" t="s">
        <v>2472</v>
      </c>
      <c r="I298" s="1261"/>
      <c r="J298" s="1261"/>
      <c r="K298" s="1261"/>
      <c r="L298" s="1261"/>
      <c r="M298" s="1261"/>
      <c r="N298" s="1261"/>
      <c r="O298" s="1261"/>
      <c r="P298" s="1261"/>
      <c r="Q298" s="1261"/>
      <c r="R298" s="1261"/>
      <c r="S298"/>
      <c r="T298" s="41" t="s">
        <v>99</v>
      </c>
      <c r="U298"/>
      <c r="V298" s="41"/>
      <c r="W298" s="41"/>
      <c r="X298" s="41"/>
      <c r="Y298" s="41"/>
      <c r="Z298"/>
      <c r="AA298" s="1261" t="s">
        <v>2472</v>
      </c>
      <c r="AB298" s="1261"/>
      <c r="AC298" s="1261"/>
      <c r="AD298" s="1261"/>
      <c r="AE298" s="1261"/>
      <c r="AF298" s="1261"/>
      <c r="AG298" s="1261"/>
      <c r="AH298" s="1261"/>
      <c r="AI298" s="1261"/>
      <c r="AJ298" s="1261"/>
      <c r="AK298" s="1261"/>
      <c r="AL298" s="10"/>
      <c r="AM298" s="4"/>
      <c r="AN298" s="279"/>
      <c r="AO298" s="4"/>
    </row>
    <row r="299" spans="1:42" s="4" customFormat="1" ht="12.75" customHeight="1">
      <c r="B299" s="41" t="s">
        <v>374</v>
      </c>
      <c r="C299" s="41"/>
      <c r="D299" s="41"/>
      <c r="E299" s="41"/>
      <c r="F299" s="41"/>
      <c r="G299"/>
      <c r="H299" s="1261" t="s">
        <v>2483</v>
      </c>
      <c r="I299" s="1261"/>
      <c r="J299" s="1261"/>
      <c r="K299" s="1261"/>
      <c r="L299" s="1261"/>
      <c r="M299" s="1261"/>
      <c r="N299" s="1261"/>
      <c r="O299" s="1261"/>
      <c r="P299" s="1261"/>
      <c r="Q299" s="1261"/>
      <c r="R299" s="1261"/>
      <c r="S299"/>
      <c r="T299" s="41" t="s">
        <v>374</v>
      </c>
      <c r="U299"/>
      <c r="V299" s="41"/>
      <c r="W299" s="41"/>
      <c r="X299" s="41"/>
      <c r="Y299" s="41"/>
      <c r="Z299"/>
      <c r="AA299" s="1261" t="s">
        <v>2486</v>
      </c>
      <c r="AB299" s="1261"/>
      <c r="AC299" s="1261"/>
      <c r="AD299" s="1261"/>
      <c r="AE299" s="1261"/>
      <c r="AF299" s="1261"/>
      <c r="AG299" s="1261"/>
      <c r="AH299" s="1261"/>
      <c r="AI299" s="1261"/>
      <c r="AJ299" s="1261"/>
      <c r="AK299" s="1261"/>
      <c r="AL299" s="10"/>
      <c r="AN299" s="279"/>
    </row>
    <row r="300" spans="1:42" s="4" customFormat="1" ht="12.75" customHeight="1">
      <c r="B300" s="41" t="s">
        <v>375</v>
      </c>
      <c r="C300" s="41"/>
      <c r="D300" s="41"/>
      <c r="E300" s="41"/>
      <c r="F300" s="41"/>
      <c r="G300" s="41"/>
      <c r="H300" s="1404">
        <v>5102140932</v>
      </c>
      <c r="I300" s="1404"/>
      <c r="J300" s="1404"/>
      <c r="K300" s="1404"/>
      <c r="L300" s="1404"/>
      <c r="M300" s="1404"/>
      <c r="N300" s="5" t="s">
        <v>818</v>
      </c>
      <c r="O300" s="5"/>
      <c r="P300" s="1400"/>
      <c r="Q300" s="1400"/>
      <c r="R300" s="1400"/>
      <c r="S300" s="41"/>
      <c r="T300" s="41" t="s">
        <v>375</v>
      </c>
      <c r="U300"/>
      <c r="V300" s="41"/>
      <c r="W300" s="41"/>
      <c r="X300" s="41"/>
      <c r="Y300" s="41"/>
      <c r="Z300"/>
      <c r="AA300" s="1404">
        <v>5105231804</v>
      </c>
      <c r="AB300" s="1404"/>
      <c r="AC300" s="1404"/>
      <c r="AD300" s="1404"/>
      <c r="AE300" s="1404"/>
      <c r="AF300" s="1404"/>
      <c r="AG300" s="5" t="s">
        <v>818</v>
      </c>
      <c r="AH300" s="5"/>
      <c r="AI300" s="1400"/>
      <c r="AJ300" s="1400"/>
      <c r="AK300" s="1400"/>
      <c r="AL300" s="10"/>
      <c r="AN300" s="279"/>
    </row>
    <row r="301" spans="1:42" s="4" customFormat="1" ht="12.75" customHeight="1">
      <c r="B301" s="41" t="s">
        <v>88</v>
      </c>
      <c r="C301" s="41"/>
      <c r="D301" s="41"/>
      <c r="E301" s="41"/>
      <c r="F301" s="41"/>
      <c r="G301" s="41"/>
      <c r="H301" s="1261" t="s">
        <v>96</v>
      </c>
      <c r="I301" s="1261"/>
      <c r="J301" s="1261"/>
      <c r="K301" s="1261"/>
      <c r="L301" s="1261"/>
      <c r="M301" s="1261"/>
      <c r="N301" s="1261"/>
      <c r="O301" s="1261"/>
      <c r="P301" s="1261"/>
      <c r="Q301" s="1261"/>
      <c r="R301" s="1261"/>
      <c r="S301" s="41"/>
      <c r="T301" s="41" t="s">
        <v>88</v>
      </c>
      <c r="U301"/>
      <c r="V301" s="41"/>
      <c r="W301" s="41"/>
      <c r="X301" s="41"/>
      <c r="Y301" s="41"/>
      <c r="Z301"/>
      <c r="AA301" s="1261" t="s">
        <v>347</v>
      </c>
      <c r="AB301" s="1261"/>
      <c r="AC301" s="1261"/>
      <c r="AD301" s="1261"/>
      <c r="AE301" s="1261"/>
      <c r="AF301" s="1261"/>
      <c r="AG301" s="1261"/>
      <c r="AH301" s="1261"/>
      <c r="AI301" s="1261"/>
      <c r="AJ301" s="1261"/>
      <c r="AK301" s="1261"/>
      <c r="AL301" s="10"/>
      <c r="AN301" s="279"/>
    </row>
    <row r="302" spans="1:42" s="4" customFormat="1" ht="12.75" customHeight="1">
      <c r="B302" s="41" t="s">
        <v>90</v>
      </c>
      <c r="C302" s="41"/>
      <c r="D302" s="41"/>
      <c r="E302" s="41"/>
      <c r="F302" s="41"/>
      <c r="G302" s="41"/>
      <c r="H302" s="1261" t="s">
        <v>2480</v>
      </c>
      <c r="I302" s="1261"/>
      <c r="J302" s="1261"/>
      <c r="K302" s="1261"/>
      <c r="L302" s="1261"/>
      <c r="M302" s="1261"/>
      <c r="N302" s="1261"/>
      <c r="O302" s="1261"/>
      <c r="P302" s="1261"/>
      <c r="Q302" s="1261"/>
      <c r="R302" s="1261"/>
      <c r="S302" s="41"/>
      <c r="T302" s="41" t="s">
        <v>90</v>
      </c>
      <c r="U302"/>
      <c r="V302" s="41"/>
      <c r="W302" s="41"/>
      <c r="X302" s="41"/>
      <c r="Y302" s="41"/>
      <c r="Z302"/>
      <c r="AA302" s="1261" t="s">
        <v>2487</v>
      </c>
      <c r="AB302" s="1261"/>
      <c r="AC302" s="1261"/>
      <c r="AD302" s="1261"/>
      <c r="AE302" s="1261"/>
      <c r="AF302" s="1261"/>
      <c r="AG302" s="1261"/>
      <c r="AH302" s="1261"/>
      <c r="AI302" s="1261"/>
      <c r="AJ302" s="1261"/>
      <c r="AK302" s="1261"/>
      <c r="AL302" s="10"/>
      <c r="AN302" s="279"/>
    </row>
    <row r="303" spans="1:42" s="4" customFormat="1" ht="12.75" customHeight="1">
      <c r="B303" s="41" t="s">
        <v>101</v>
      </c>
      <c r="C303" s="41"/>
      <c r="D303" s="41"/>
      <c r="E303" s="41"/>
      <c r="F303" s="41"/>
      <c r="G303" s="41"/>
      <c r="H303" s="1665" t="s">
        <v>2481</v>
      </c>
      <c r="I303" s="1665"/>
      <c r="J303" s="1665"/>
      <c r="K303" s="1665"/>
      <c r="L303" s="1665"/>
      <c r="M303" s="1665"/>
      <c r="N303" s="1665"/>
      <c r="O303" s="1665"/>
      <c r="P303" s="1665"/>
      <c r="Q303" s="1665"/>
      <c r="R303" s="1665"/>
      <c r="S303" s="41"/>
      <c r="T303" s="41" t="s">
        <v>101</v>
      </c>
      <c r="U303" s="41"/>
      <c r="V303" s="41"/>
      <c r="W303" s="41"/>
      <c r="X303" s="41"/>
      <c r="Y303" s="41"/>
      <c r="Z303" s="12"/>
      <c r="AA303" s="1665" t="s">
        <v>2488</v>
      </c>
      <c r="AB303" s="1665"/>
      <c r="AC303" s="1665"/>
      <c r="AD303" s="1665"/>
      <c r="AE303" s="1665"/>
      <c r="AF303" s="1665"/>
      <c r="AG303" s="1665"/>
      <c r="AH303" s="1665"/>
      <c r="AI303" s="1665"/>
      <c r="AJ303" s="1665"/>
      <c r="AK303" s="166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50" t="s">
        <v>2489</v>
      </c>
      <c r="I305" s="1150"/>
      <c r="J305" s="1150"/>
      <c r="K305" s="1150"/>
      <c r="L305" s="1150"/>
      <c r="M305" s="1150"/>
      <c r="N305" s="1150"/>
      <c r="O305" s="1150"/>
      <c r="P305" s="1150"/>
      <c r="Q305" s="1150"/>
      <c r="R305" s="1150"/>
      <c r="S305"/>
      <c r="T305" s="41" t="s">
        <v>89</v>
      </c>
      <c r="U305"/>
      <c r="V305" s="41"/>
      <c r="W305" s="41"/>
      <c r="X305" s="41"/>
      <c r="Y305" s="41"/>
      <c r="Z305"/>
      <c r="AA305" s="1150" t="s">
        <v>2494</v>
      </c>
      <c r="AB305" s="1150"/>
      <c r="AC305" s="1150"/>
      <c r="AD305" s="1150"/>
      <c r="AE305" s="1150"/>
      <c r="AF305" s="1150"/>
      <c r="AG305" s="1150"/>
      <c r="AH305" s="1150"/>
      <c r="AI305" s="1150"/>
      <c r="AJ305" s="1150"/>
      <c r="AK305" s="1150"/>
      <c r="AL305" s="10"/>
      <c r="AN305" s="279"/>
    </row>
    <row r="306" spans="2:40" s="4" customFormat="1" ht="12.75" customHeight="1">
      <c r="B306" s="41" t="s">
        <v>699</v>
      </c>
      <c r="C306" s="41"/>
      <c r="D306" s="41"/>
      <c r="E306" s="41"/>
      <c r="F306" s="41"/>
      <c r="G306"/>
      <c r="H306" s="1261" t="s">
        <v>2490</v>
      </c>
      <c r="I306" s="1261"/>
      <c r="J306" s="1261"/>
      <c r="K306" s="1261"/>
      <c r="L306" s="1261"/>
      <c r="M306" s="1261"/>
      <c r="N306" s="1261"/>
      <c r="O306" s="1261"/>
      <c r="P306" s="1261"/>
      <c r="Q306" s="1261"/>
      <c r="R306" s="1261"/>
      <c r="S306"/>
      <c r="T306" s="41" t="s">
        <v>699</v>
      </c>
      <c r="U306"/>
      <c r="V306" s="41"/>
      <c r="W306" s="41"/>
      <c r="X306" s="41"/>
      <c r="Y306" s="41"/>
      <c r="Z306"/>
      <c r="AA306" s="1261" t="s">
        <v>2495</v>
      </c>
      <c r="AB306" s="1261"/>
      <c r="AC306" s="1261"/>
      <c r="AD306" s="1261"/>
      <c r="AE306" s="1261"/>
      <c r="AF306" s="1261"/>
      <c r="AG306" s="1261"/>
      <c r="AH306" s="1261"/>
      <c r="AI306" s="1261"/>
      <c r="AJ306" s="1261"/>
      <c r="AK306" s="1261"/>
      <c r="AL306" s="10"/>
      <c r="AN306" s="279"/>
    </row>
    <row r="307" spans="2:40" s="4" customFormat="1" ht="12.75" customHeight="1">
      <c r="B307" s="41" t="s">
        <v>99</v>
      </c>
      <c r="C307" s="41"/>
      <c r="D307" s="41"/>
      <c r="E307" s="41"/>
      <c r="F307" s="41"/>
      <c r="G307"/>
      <c r="H307" s="1261" t="s">
        <v>2472</v>
      </c>
      <c r="I307" s="1261"/>
      <c r="J307" s="1261"/>
      <c r="K307" s="1261"/>
      <c r="L307" s="1261"/>
      <c r="M307" s="1261"/>
      <c r="N307" s="1261"/>
      <c r="O307" s="1261"/>
      <c r="P307" s="1261"/>
      <c r="Q307" s="1261"/>
      <c r="R307" s="1261"/>
      <c r="S307"/>
      <c r="T307" s="41" t="s">
        <v>99</v>
      </c>
      <c r="U307"/>
      <c r="V307" s="41"/>
      <c r="W307" s="41"/>
      <c r="X307" s="41"/>
      <c r="Y307" s="41"/>
      <c r="Z307"/>
      <c r="AA307" s="1261" t="s">
        <v>2472</v>
      </c>
      <c r="AB307" s="1261"/>
      <c r="AC307" s="1261"/>
      <c r="AD307" s="1261"/>
      <c r="AE307" s="1261"/>
      <c r="AF307" s="1261"/>
      <c r="AG307" s="1261"/>
      <c r="AH307" s="1261"/>
      <c r="AI307" s="1261"/>
      <c r="AJ307" s="1261"/>
      <c r="AK307" s="1261"/>
      <c r="AL307" s="10"/>
      <c r="AN307" s="279"/>
    </row>
    <row r="308" spans="2:40" s="4" customFormat="1" ht="12.75" customHeight="1">
      <c r="B308" s="41" t="s">
        <v>374</v>
      </c>
      <c r="C308" s="41"/>
      <c r="D308" s="41"/>
      <c r="E308" s="41"/>
      <c r="F308" s="41"/>
      <c r="G308"/>
      <c r="H308" s="1261" t="s">
        <v>2491</v>
      </c>
      <c r="I308" s="1261"/>
      <c r="J308" s="1261"/>
      <c r="K308" s="1261"/>
      <c r="L308" s="1261"/>
      <c r="M308" s="1261"/>
      <c r="N308" s="1261"/>
      <c r="O308" s="1261"/>
      <c r="P308" s="1261"/>
      <c r="Q308" s="1261"/>
      <c r="R308" s="1261"/>
      <c r="S308"/>
      <c r="T308" s="41" t="s">
        <v>374</v>
      </c>
      <c r="U308"/>
      <c r="V308" s="41"/>
      <c r="W308" s="41"/>
      <c r="X308" s="41"/>
      <c r="Y308" s="41"/>
      <c r="Z308"/>
      <c r="AA308" s="1261" t="s">
        <v>2496</v>
      </c>
      <c r="AB308" s="1261"/>
      <c r="AC308" s="1261"/>
      <c r="AD308" s="1261"/>
      <c r="AE308" s="1261"/>
      <c r="AF308" s="1261"/>
      <c r="AG308" s="1261"/>
      <c r="AH308" s="1261"/>
      <c r="AI308" s="1261"/>
      <c r="AJ308" s="1261"/>
      <c r="AK308" s="1261"/>
      <c r="AL308" s="10"/>
      <c r="AN308" s="279"/>
    </row>
    <row r="309" spans="2:40" s="4" customFormat="1" ht="12.75" customHeight="1">
      <c r="B309" s="41" t="s">
        <v>375</v>
      </c>
      <c r="C309" s="41"/>
      <c r="D309" s="41"/>
      <c r="E309" s="41"/>
      <c r="F309" s="41"/>
      <c r="G309" s="41"/>
      <c r="H309" s="1404">
        <v>5107477586</v>
      </c>
      <c r="I309" s="1404"/>
      <c r="J309" s="1404"/>
      <c r="K309" s="1404"/>
      <c r="L309" s="1404"/>
      <c r="M309" s="1404"/>
      <c r="N309" s="5" t="s">
        <v>818</v>
      </c>
      <c r="O309" s="5"/>
      <c r="P309" s="1400"/>
      <c r="Q309" s="1400"/>
      <c r="R309" s="1400"/>
      <c r="S309" s="41"/>
      <c r="T309" s="41" t="s">
        <v>375</v>
      </c>
      <c r="U309"/>
      <c r="V309" s="41"/>
      <c r="W309" s="41"/>
      <c r="X309" s="41"/>
      <c r="Y309" s="41"/>
      <c r="Z309"/>
      <c r="AA309" s="1404" t="s">
        <v>2497</v>
      </c>
      <c r="AB309" s="1404"/>
      <c r="AC309" s="1404"/>
      <c r="AD309" s="1404"/>
      <c r="AE309" s="1404"/>
      <c r="AF309" s="1404"/>
      <c r="AG309" s="5" t="s">
        <v>818</v>
      </c>
      <c r="AH309" s="5"/>
      <c r="AI309" s="1400"/>
      <c r="AJ309" s="1400"/>
      <c r="AK309" s="1400"/>
      <c r="AL309" s="10"/>
      <c r="AN309" s="279"/>
    </row>
    <row r="310" spans="2:40" s="4" customFormat="1" ht="12.75" customHeight="1">
      <c r="B310" s="41" t="s">
        <v>88</v>
      </c>
      <c r="C310" s="41"/>
      <c r="D310" s="41"/>
      <c r="E310" s="41"/>
      <c r="F310" s="41"/>
      <c r="G310" s="41"/>
      <c r="H310" s="1261" t="s">
        <v>92</v>
      </c>
      <c r="I310" s="1261"/>
      <c r="J310" s="1261"/>
      <c r="K310" s="1261"/>
      <c r="L310" s="1261"/>
      <c r="M310" s="1261"/>
      <c r="N310" s="1261"/>
      <c r="O310" s="1261"/>
      <c r="P310" s="1261"/>
      <c r="Q310" s="1261"/>
      <c r="R310" s="1261"/>
      <c r="S310" s="41"/>
      <c r="T310" s="41" t="s">
        <v>88</v>
      </c>
      <c r="U310"/>
      <c r="V310" s="41"/>
      <c r="W310" s="41"/>
      <c r="X310" s="41"/>
      <c r="Y310" s="41"/>
      <c r="Z310"/>
      <c r="AA310" s="1261" t="s">
        <v>91</v>
      </c>
      <c r="AB310" s="1261"/>
      <c r="AC310" s="1261"/>
      <c r="AD310" s="1261"/>
      <c r="AE310" s="1261"/>
      <c r="AF310" s="1261"/>
      <c r="AG310" s="1261"/>
      <c r="AH310" s="1261"/>
      <c r="AI310" s="1261"/>
      <c r="AJ310" s="1261"/>
      <c r="AK310" s="1261"/>
      <c r="AL310" s="10"/>
      <c r="AN310" s="279"/>
    </row>
    <row r="311" spans="2:40" s="4" customFormat="1" ht="12.75" customHeight="1">
      <c r="B311" s="41" t="s">
        <v>90</v>
      </c>
      <c r="C311" s="41"/>
      <c r="D311" s="41"/>
      <c r="E311" s="41"/>
      <c r="F311" s="41"/>
      <c r="G311" s="41"/>
      <c r="H311" s="1261" t="s">
        <v>2492</v>
      </c>
      <c r="I311" s="1261"/>
      <c r="J311" s="1261"/>
      <c r="K311" s="1261"/>
      <c r="L311" s="1261"/>
      <c r="M311" s="1261"/>
      <c r="N311" s="1261"/>
      <c r="O311" s="1261"/>
      <c r="P311" s="1261"/>
      <c r="Q311" s="1261"/>
      <c r="R311" s="1261"/>
      <c r="S311" s="41"/>
      <c r="T311" s="41" t="s">
        <v>90</v>
      </c>
      <c r="U311"/>
      <c r="V311" s="41"/>
      <c r="W311" s="41"/>
      <c r="X311" s="41"/>
      <c r="Y311" s="41"/>
      <c r="Z311"/>
      <c r="AA311" s="1261" t="s">
        <v>2498</v>
      </c>
      <c r="AB311" s="1261"/>
      <c r="AC311" s="1261"/>
      <c r="AD311" s="1261"/>
      <c r="AE311" s="1261"/>
      <c r="AF311" s="1261"/>
      <c r="AG311" s="1261"/>
      <c r="AH311" s="1261"/>
      <c r="AI311" s="1261"/>
      <c r="AJ311" s="1261"/>
      <c r="AK311" s="1261"/>
      <c r="AL311" s="10"/>
      <c r="AN311" s="279"/>
    </row>
    <row r="312" spans="2:40" s="4" customFormat="1" ht="12.75" customHeight="1">
      <c r="B312" s="41" t="s">
        <v>101</v>
      </c>
      <c r="C312" s="41"/>
      <c r="D312" s="41"/>
      <c r="E312" s="41"/>
      <c r="F312" s="41"/>
      <c r="G312" s="41"/>
      <c r="H312" s="1665" t="s">
        <v>2493</v>
      </c>
      <c r="I312" s="1665"/>
      <c r="J312" s="1665"/>
      <c r="K312" s="1665"/>
      <c r="L312" s="1665"/>
      <c r="M312" s="1665"/>
      <c r="N312" s="1665"/>
      <c r="O312" s="1665"/>
      <c r="P312" s="1665"/>
      <c r="Q312" s="1665"/>
      <c r="R312" s="1665"/>
      <c r="S312" s="41"/>
      <c r="T312" s="41" t="s">
        <v>101</v>
      </c>
      <c r="U312" s="41"/>
      <c r="V312" s="41"/>
      <c r="W312" s="41"/>
      <c r="X312" s="41"/>
      <c r="Y312" s="41"/>
      <c r="Z312" s="12"/>
      <c r="AA312" s="1665" t="s">
        <v>2481</v>
      </c>
      <c r="AB312" s="1665"/>
      <c r="AC312" s="1665"/>
      <c r="AD312" s="1665"/>
      <c r="AE312" s="1665"/>
      <c r="AF312" s="1665"/>
      <c r="AG312" s="1665"/>
      <c r="AH312" s="1665"/>
      <c r="AI312" s="1665"/>
      <c r="AJ312" s="1665"/>
      <c r="AK312" s="166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50" t="s">
        <v>2499</v>
      </c>
      <c r="I314" s="1150"/>
      <c r="J314" s="1150"/>
      <c r="K314" s="1150"/>
      <c r="L314" s="1150"/>
      <c r="M314" s="1150"/>
      <c r="N314" s="1150"/>
      <c r="O314" s="1150"/>
      <c r="P314" s="1150"/>
      <c r="Q314" s="1150"/>
      <c r="R314" s="1150"/>
      <c r="S314"/>
      <c r="T314" s="41" t="s">
        <v>89</v>
      </c>
      <c r="U314"/>
      <c r="V314" s="41"/>
      <c r="W314" s="41"/>
      <c r="X314" s="41"/>
      <c r="Y314" s="41"/>
      <c r="Z314"/>
      <c r="AA314" s="1150"/>
      <c r="AB314" s="1150"/>
      <c r="AC314" s="1150"/>
      <c r="AD314" s="1150"/>
      <c r="AE314" s="1150"/>
      <c r="AF314" s="1150"/>
      <c r="AG314" s="1150"/>
      <c r="AH314" s="1150"/>
      <c r="AI314" s="1150"/>
      <c r="AJ314" s="1150"/>
      <c r="AK314" s="1150"/>
      <c r="AL314" s="10"/>
      <c r="AN314" s="279"/>
    </row>
    <row r="315" spans="2:40" s="4" customFormat="1" ht="12.75" customHeight="1">
      <c r="B315" s="41" t="s">
        <v>699</v>
      </c>
      <c r="C315" s="41"/>
      <c r="D315" s="41"/>
      <c r="E315" s="41"/>
      <c r="F315" s="41"/>
      <c r="G315"/>
      <c r="H315" s="1261" t="s">
        <v>2500</v>
      </c>
      <c r="I315" s="1261"/>
      <c r="J315" s="1261"/>
      <c r="K315" s="1261"/>
      <c r="L315" s="1261"/>
      <c r="M315" s="1261"/>
      <c r="N315" s="1261"/>
      <c r="O315" s="1261"/>
      <c r="P315" s="1261"/>
      <c r="Q315" s="1261"/>
      <c r="R315" s="1261"/>
      <c r="S315"/>
      <c r="T315" s="41" t="s">
        <v>699</v>
      </c>
      <c r="U315"/>
      <c r="V315" s="41"/>
      <c r="W315" s="41"/>
      <c r="X315" s="41"/>
      <c r="Y315" s="41"/>
      <c r="Z315"/>
      <c r="AA315" s="1261"/>
      <c r="AB315" s="1261"/>
      <c r="AC315" s="1261"/>
      <c r="AD315" s="1261"/>
      <c r="AE315" s="1261"/>
      <c r="AF315" s="1261"/>
      <c r="AG315" s="1261"/>
      <c r="AH315" s="1261"/>
      <c r="AI315" s="1261"/>
      <c r="AJ315" s="1261"/>
      <c r="AK315" s="1261"/>
      <c r="AL315" s="10"/>
      <c r="AN315" s="279"/>
    </row>
    <row r="316" spans="2:40" s="4" customFormat="1" ht="12.75" customHeight="1">
      <c r="B316" s="41" t="s">
        <v>99</v>
      </c>
      <c r="C316" s="41"/>
      <c r="D316" s="41"/>
      <c r="E316" s="41"/>
      <c r="F316" s="41"/>
      <c r="G316"/>
      <c r="H316" s="1261" t="s">
        <v>2472</v>
      </c>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79"/>
    </row>
    <row r="317" spans="2:40" s="4" customFormat="1" ht="12.75" customHeight="1">
      <c r="B317" s="41" t="s">
        <v>374</v>
      </c>
      <c r="C317" s="41"/>
      <c r="D317" s="41"/>
      <c r="E317" s="41"/>
      <c r="F317" s="41"/>
      <c r="G317"/>
      <c r="H317" s="1261" t="s">
        <v>2501</v>
      </c>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79"/>
    </row>
    <row r="318" spans="2:40" s="4" customFormat="1" ht="12.75" customHeight="1">
      <c r="B318" s="41" t="s">
        <v>375</v>
      </c>
      <c r="C318" s="41"/>
      <c r="D318" s="41"/>
      <c r="E318" s="41"/>
      <c r="F318" s="41"/>
      <c r="G318" s="41"/>
      <c r="H318" s="1404">
        <v>5105227221</v>
      </c>
      <c r="I318" s="1404"/>
      <c r="J318" s="1404"/>
      <c r="K318" s="1404"/>
      <c r="L318" s="1404"/>
      <c r="M318" s="1404"/>
      <c r="N318" s="5" t="s">
        <v>818</v>
      </c>
      <c r="O318" s="5"/>
      <c r="P318" s="1400"/>
      <c r="Q318" s="1400"/>
      <c r="R318" s="1400"/>
      <c r="S318" s="41"/>
      <c r="T318" s="41" t="s">
        <v>375</v>
      </c>
      <c r="U318"/>
      <c r="V318" s="41"/>
      <c r="W318" s="41"/>
      <c r="X318" s="41"/>
      <c r="Y318" s="41"/>
      <c r="Z318"/>
      <c r="AA318" s="1404"/>
      <c r="AB318" s="1404"/>
      <c r="AC318" s="1404"/>
      <c r="AD318" s="1404"/>
      <c r="AE318" s="1404"/>
      <c r="AF318" s="1404"/>
      <c r="AG318" s="5" t="s">
        <v>818</v>
      </c>
      <c r="AH318" s="5"/>
      <c r="AI318" s="1400"/>
      <c r="AJ318" s="1400"/>
      <c r="AK318" s="1400"/>
      <c r="AL318" s="10"/>
      <c r="AN318" s="279"/>
    </row>
    <row r="319" spans="2:40" s="4" customFormat="1" ht="12.75" customHeight="1">
      <c r="B319" s="41" t="s">
        <v>88</v>
      </c>
      <c r="C319" s="41"/>
      <c r="D319" s="41"/>
      <c r="E319" s="41"/>
      <c r="F319" s="41"/>
      <c r="G319" s="41"/>
      <c r="H319" s="1261" t="s">
        <v>100</v>
      </c>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79"/>
    </row>
    <row r="320" spans="2:40" s="4" customFormat="1" ht="12.75" customHeight="1">
      <c r="B320" s="41" t="s">
        <v>90</v>
      </c>
      <c r="C320" s="41"/>
      <c r="D320" s="41"/>
      <c r="E320" s="41"/>
      <c r="F320" s="41"/>
      <c r="G320" s="41"/>
      <c r="H320" s="1261" t="s">
        <v>2502</v>
      </c>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79"/>
    </row>
    <row r="321" spans="1:76" s="4" customFormat="1" ht="12.75" customHeight="1">
      <c r="B321" s="41" t="s">
        <v>101</v>
      </c>
      <c r="C321" s="41"/>
      <c r="D321" s="41"/>
      <c r="E321" s="41"/>
      <c r="F321" s="41"/>
      <c r="G321" s="41"/>
      <c r="H321" s="1665" t="s">
        <v>2503</v>
      </c>
      <c r="I321" s="1665"/>
      <c r="J321" s="1665"/>
      <c r="K321" s="1665"/>
      <c r="L321" s="1665"/>
      <c r="M321" s="1665"/>
      <c r="N321" s="1665"/>
      <c r="O321" s="1665"/>
      <c r="P321" s="1665"/>
      <c r="Q321" s="1665"/>
      <c r="R321" s="1665"/>
      <c r="S321" s="41"/>
      <c r="T321" s="41" t="s">
        <v>101</v>
      </c>
      <c r="U321" s="41"/>
      <c r="V321" s="41"/>
      <c r="W321" s="41"/>
      <c r="X321" s="41"/>
      <c r="Y321" s="41"/>
      <c r="Z321" s="12"/>
      <c r="AA321" s="1665"/>
      <c r="AB321" s="1665"/>
      <c r="AC321" s="1665"/>
      <c r="AD321" s="1665"/>
      <c r="AE321" s="1665"/>
      <c r="AF321" s="1665"/>
      <c r="AG321" s="1665"/>
      <c r="AH321" s="1665"/>
      <c r="AI321" s="1665"/>
      <c r="AJ321" s="1665"/>
      <c r="AK321" s="166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50"/>
      <c r="I323" s="1150"/>
      <c r="J323" s="1150"/>
      <c r="K323" s="1150"/>
      <c r="L323" s="1150"/>
      <c r="M323" s="1150"/>
      <c r="N323" s="1150"/>
      <c r="O323" s="1150"/>
      <c r="P323" s="1150"/>
      <c r="Q323" s="1150"/>
      <c r="R323" s="1150"/>
      <c r="S323"/>
      <c r="T323" s="41" t="s">
        <v>89</v>
      </c>
      <c r="U323"/>
      <c r="V323" s="41"/>
      <c r="W323" s="41"/>
      <c r="X323" s="41"/>
      <c r="Y323" s="41"/>
      <c r="Z323"/>
      <c r="AA323" s="1150"/>
      <c r="AB323" s="1150"/>
      <c r="AC323" s="1150"/>
      <c r="AD323" s="1150"/>
      <c r="AE323" s="1150"/>
      <c r="AF323" s="1150"/>
      <c r="AG323" s="1150"/>
      <c r="AH323" s="1150"/>
      <c r="AI323" s="1150"/>
      <c r="AJ323" s="1150"/>
      <c r="AK323" s="1150"/>
      <c r="AL323" s="41"/>
      <c r="AN323" s="279"/>
    </row>
    <row r="324" spans="1:76" s="4" customFormat="1" ht="12.75" customHeight="1">
      <c r="B324" s="41" t="s">
        <v>699</v>
      </c>
      <c r="C324" s="41"/>
      <c r="D324" s="41"/>
      <c r="E324" s="41"/>
      <c r="F324" s="41"/>
      <c r="G324"/>
      <c r="H324" s="1261"/>
      <c r="I324" s="1261"/>
      <c r="J324" s="1261"/>
      <c r="K324" s="1261"/>
      <c r="L324" s="1261"/>
      <c r="M324" s="1261"/>
      <c r="N324" s="1261"/>
      <c r="O324" s="1261"/>
      <c r="P324" s="1261"/>
      <c r="Q324" s="1261"/>
      <c r="R324" s="1261"/>
      <c r="S324"/>
      <c r="T324" s="41" t="s">
        <v>699</v>
      </c>
      <c r="U324"/>
      <c r="V324" s="41"/>
      <c r="W324" s="41"/>
      <c r="X324" s="41"/>
      <c r="Y324" s="41"/>
      <c r="Z324"/>
      <c r="AA324" s="1261"/>
      <c r="AB324" s="1261"/>
      <c r="AC324" s="1261"/>
      <c r="AD324" s="1261"/>
      <c r="AE324" s="1261"/>
      <c r="AF324" s="1261"/>
      <c r="AG324" s="1261"/>
      <c r="AH324" s="1261"/>
      <c r="AI324" s="1261"/>
      <c r="AJ324" s="1261"/>
      <c r="AK324" s="1261"/>
      <c r="AL324" s="41"/>
      <c r="AN324" s="279"/>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79"/>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79"/>
    </row>
    <row r="327" spans="1:76" s="4" customFormat="1" ht="12.75" customHeight="1">
      <c r="B327" s="41" t="s">
        <v>375</v>
      </c>
      <c r="C327" s="41"/>
      <c r="D327" s="41"/>
      <c r="E327" s="41"/>
      <c r="F327" s="41"/>
      <c r="G327" s="41"/>
      <c r="H327" s="1404"/>
      <c r="I327" s="1404"/>
      <c r="J327" s="1404"/>
      <c r="K327" s="1404"/>
      <c r="L327" s="1404"/>
      <c r="M327" s="1404"/>
      <c r="N327" s="5" t="s">
        <v>818</v>
      </c>
      <c r="O327" s="5"/>
      <c r="P327" s="1400"/>
      <c r="Q327" s="1400"/>
      <c r="R327" s="1400"/>
      <c r="S327" s="41"/>
      <c r="T327" s="41" t="s">
        <v>375</v>
      </c>
      <c r="U327"/>
      <c r="V327" s="41"/>
      <c r="W327" s="41"/>
      <c r="X327" s="41"/>
      <c r="Y327" s="41"/>
      <c r="Z327"/>
      <c r="AA327" s="1404"/>
      <c r="AB327" s="1404"/>
      <c r="AC327" s="1404"/>
      <c r="AD327" s="1404"/>
      <c r="AE327" s="1404"/>
      <c r="AF327" s="1404"/>
      <c r="AG327" s="5" t="s">
        <v>818</v>
      </c>
      <c r="AH327" s="5"/>
      <c r="AI327" s="1400"/>
      <c r="AJ327" s="1400"/>
      <c r="AK327" s="1400"/>
      <c r="AL327" s="41"/>
      <c r="AN327" s="279"/>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79"/>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79"/>
    </row>
    <row r="330" spans="1:76" s="4" customFormat="1" ht="12.75" customHeight="1">
      <c r="B330" s="41" t="s">
        <v>101</v>
      </c>
      <c r="C330" s="41"/>
      <c r="D330" s="41"/>
      <c r="E330" s="41"/>
      <c r="F330" s="41"/>
      <c r="G330" s="41"/>
      <c r="H330" s="1665"/>
      <c r="I330" s="1665"/>
      <c r="J330" s="1665"/>
      <c r="K330" s="1665"/>
      <c r="L330" s="1665"/>
      <c r="M330" s="1665"/>
      <c r="N330" s="1665"/>
      <c r="O330" s="1665"/>
      <c r="P330" s="1665"/>
      <c r="Q330" s="1665"/>
      <c r="R330" s="1665"/>
      <c r="S330" s="41"/>
      <c r="T330" s="41" t="s">
        <v>101</v>
      </c>
      <c r="U330" s="41"/>
      <c r="V330" s="41"/>
      <c r="W330" s="41"/>
      <c r="X330" s="41"/>
      <c r="Y330" s="41"/>
      <c r="Z330" s="12"/>
      <c r="AA330" s="1665"/>
      <c r="AB330" s="1665"/>
      <c r="AC330" s="1665"/>
      <c r="AD330" s="1665"/>
      <c r="AE330" s="1665"/>
      <c r="AF330" s="1665"/>
      <c r="AG330" s="1665"/>
      <c r="AH330" s="1665"/>
      <c r="AI330" s="1665"/>
      <c r="AJ330" s="1665"/>
      <c r="AK330" s="166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6" t="s">
        <v>364</v>
      </c>
      <c r="AF333" s="1706"/>
      <c r="AG333" s="1706"/>
      <c r="AH333" s="1706"/>
      <c r="AI333" s="1706"/>
      <c r="AJ333" s="1706"/>
      <c r="AK333" s="1706"/>
      <c r="AL333" s="3"/>
      <c r="AM333" s="824"/>
      <c r="AN333" s="3"/>
    </row>
    <row r="334" spans="1:76" s="4" customFormat="1" ht="12.75" customHeight="1">
      <c r="A334" s="3"/>
      <c r="B334" s="5"/>
      <c r="C334" s="1707" t="s">
        <v>1827</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79"/>
      <c r="AO341" s="183"/>
    </row>
    <row r="342" spans="1:76" s="4" customFormat="1" ht="12.75" customHeight="1">
      <c r="A342" s="27"/>
      <c r="B342" s="26"/>
      <c r="C342" s="1707" t="s">
        <v>1828</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79"/>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79"/>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79"/>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79"/>
      <c r="AQ345"/>
    </row>
    <row r="346" spans="1:76" s="4" customFormat="1" ht="12.4"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79"/>
      <c r="AQ346"/>
      <c r="AR346"/>
    </row>
    <row r="347" spans="1:76" s="4" customFormat="1" ht="12.75" customHeight="1">
      <c r="A347" s="27"/>
      <c r="B347" s="26"/>
      <c r="C347" s="1707" t="s">
        <v>2275</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79"/>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79"/>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79"/>
      <c r="AR349"/>
    </row>
    <row r="350" spans="1:76" s="4" customFormat="1" ht="12.75" customHeight="1">
      <c r="A350" s="27"/>
      <c r="B350" s="26"/>
      <c r="C350" s="1707" t="s">
        <v>1829</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79"/>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79"/>
      <c r="AQ351"/>
      <c r="AR351"/>
    </row>
    <row r="352" spans="1:76" s="4" customFormat="1" ht="13.1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79"/>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79"/>
      <c r="AO353" s="168"/>
      <c r="AP353" s="168"/>
      <c r="AQ353"/>
    </row>
    <row r="354" spans="1:46" s="4" customFormat="1" ht="11.8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79"/>
      <c r="AO354" s="685" t="s">
        <v>900</v>
      </c>
      <c r="AP354" s="71">
        <f>IF(C379="Yes",5,0)</f>
        <v>0</v>
      </c>
      <c r="AS354" s="3" t="s">
        <v>1765</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79"/>
      <c r="AO355" s="685"/>
      <c r="AP355" s="71"/>
      <c r="AS355" s="1736">
        <f>IF(AQ368=0,AQ381,AQ368)</f>
        <v>10</v>
      </c>
      <c r="AT355" s="1736"/>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79"/>
      <c r="AO356" s="685" t="s">
        <v>901</v>
      </c>
      <c r="AP356" s="71">
        <f>IF(C389="Yes",5,0)</f>
        <v>0</v>
      </c>
      <c r="AS356" s="3" t="s">
        <v>1798</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79"/>
      <c r="AO357" s="685"/>
      <c r="AP357" s="71"/>
      <c r="AS357" s="1736">
        <f>IF(AND(AQ368&gt;0,AQ381&gt;0),(AQ368+AQ381)/2,0)</f>
        <v>0</v>
      </c>
      <c r="AT357" s="1736"/>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79"/>
      <c r="AO358" s="685" t="s">
        <v>907</v>
      </c>
      <c r="AP358" s="71">
        <f>IF(C399="Yes",7,0)</f>
        <v>0</v>
      </c>
    </row>
    <row r="359" spans="1:46" s="4" customFormat="1" ht="12.75" customHeight="1">
      <c r="A359" s="27"/>
      <c r="B359" s="26"/>
      <c r="C359" s="1707" t="s">
        <v>1830</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79"/>
      <c r="AO359" s="279"/>
      <c r="AP359" s="71">
        <f>IF(C401="Yes",5,0)</f>
        <v>0</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79"/>
      <c r="AO360" s="279"/>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79"/>
      <c r="AO361" s="685" t="s">
        <v>431</v>
      </c>
      <c r="AP361" s="71">
        <f>IF(C409="Yes",5,0)</f>
        <v>0</v>
      </c>
    </row>
    <row r="362" spans="1:46" s="4" customFormat="1" ht="11.8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79"/>
      <c r="AO362" s="279"/>
      <c r="AP362" s="71">
        <f>IF(C411="Yes",3,0)</f>
        <v>0</v>
      </c>
    </row>
    <row r="363" spans="1:46" s="4" customFormat="1" ht="12.4"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79"/>
      <c r="AO363" s="279"/>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79"/>
      <c r="AO364" s="685"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79"/>
      <c r="AO365" s="685" t="s">
        <v>434</v>
      </c>
      <c r="AP365" s="71">
        <f>IF(C423="Yes",5,0)</f>
        <v>0</v>
      </c>
    </row>
    <row r="366" spans="1:46" s="4" customFormat="1" ht="12.75" customHeight="1">
      <c r="A366" s="27"/>
      <c r="B366" s="26"/>
      <c r="C366" s="1707" t="s">
        <v>1831</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79"/>
      <c r="AO366" s="279"/>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79"/>
      <c r="AO367" s="686"/>
      <c r="AP367" s="55"/>
    </row>
    <row r="368" spans="1:46" s="4" customFormat="1" ht="68.099999999999994"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79"/>
      <c r="AO368" s="687" t="s">
        <v>610</v>
      </c>
      <c r="AP368" s="166">
        <f>SUM(AP354:AP367)</f>
        <v>0</v>
      </c>
      <c r="AQ368" s="1503">
        <f>IF(AP368&gt;0,AP368,0)</f>
        <v>0</v>
      </c>
      <c r="AR368" s="1503"/>
    </row>
    <row r="369" spans="1:153" s="4" customFormat="1" ht="12.4"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3">
        <f>Application!CQ657-U371</f>
        <v>0</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46</v>
      </c>
      <c r="V371" s="1714"/>
      <c r="W371" s="1714"/>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8" t="s">
        <v>1774</v>
      </c>
      <c r="G375" s="1708"/>
      <c r="H375" s="1708"/>
      <c r="I375" s="1708"/>
      <c r="J375" s="1708"/>
      <c r="K375" s="1708"/>
      <c r="L375" s="1708"/>
      <c r="M375" s="1708"/>
      <c r="N375" s="1708"/>
      <c r="O375" s="1708"/>
      <c r="P375" s="1708"/>
      <c r="Q375" s="1708"/>
      <c r="R375" s="1708"/>
      <c r="S375" s="1708"/>
      <c r="T375" s="1708"/>
      <c r="U375" s="1708"/>
      <c r="V375" s="1708"/>
      <c r="W375" s="1708"/>
      <c r="X375" s="1708"/>
      <c r="Y375" s="1708"/>
      <c r="Z375" s="1708"/>
      <c r="AA375" s="1708"/>
      <c r="AB375" s="1708"/>
      <c r="AC375" s="1708"/>
      <c r="AD375" s="1708"/>
      <c r="AE375" s="1708"/>
      <c r="AF375" s="170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9"/>
      <c r="G376" s="1709"/>
      <c r="H376" s="1709"/>
      <c r="I376" s="1709"/>
      <c r="J376" s="1709"/>
      <c r="K376" s="1709"/>
      <c r="L376" s="1709"/>
      <c r="M376" s="1709"/>
      <c r="N376" s="1709"/>
      <c r="O376" s="1709"/>
      <c r="P376" s="1709"/>
      <c r="Q376" s="1709"/>
      <c r="R376" s="1709"/>
      <c r="S376" s="1709"/>
      <c r="T376" s="1709"/>
      <c r="U376" s="1709"/>
      <c r="V376" s="1709"/>
      <c r="W376" s="1709"/>
      <c r="X376" s="1709"/>
      <c r="Y376" s="1709"/>
      <c r="Z376" s="1709"/>
      <c r="AA376" s="1709"/>
      <c r="AB376" s="1709"/>
      <c r="AC376" s="1709"/>
      <c r="AD376" s="1709"/>
      <c r="AE376" s="1709"/>
      <c r="AF376" s="170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9"/>
      <c r="G377" s="1709"/>
      <c r="H377" s="1709"/>
      <c r="I377" s="1709"/>
      <c r="J377" s="1709"/>
      <c r="K377" s="1709"/>
      <c r="L377" s="1709"/>
      <c r="M377" s="1709"/>
      <c r="N377" s="1709"/>
      <c r="O377" s="1709"/>
      <c r="P377" s="1709"/>
      <c r="Q377" s="1709"/>
      <c r="R377" s="1709"/>
      <c r="S377" s="1709"/>
      <c r="T377" s="1709"/>
      <c r="U377" s="1709"/>
      <c r="V377" s="1709"/>
      <c r="W377" s="1709"/>
      <c r="X377" s="1709"/>
      <c r="Y377" s="1709"/>
      <c r="Z377" s="1709"/>
      <c r="AA377" s="1709"/>
      <c r="AB377" s="1709"/>
      <c r="AC377" s="1709"/>
      <c r="AD377" s="1709"/>
      <c r="AE377" s="1709"/>
      <c r="AF377" s="170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9"/>
      <c r="G378" s="1709"/>
      <c r="H378" s="1709"/>
      <c r="I378" s="1709"/>
      <c r="J378" s="1709"/>
      <c r="K378" s="1709"/>
      <c r="L378" s="1709"/>
      <c r="M378" s="1709"/>
      <c r="N378" s="1709"/>
      <c r="O378" s="1709"/>
      <c r="P378" s="1709"/>
      <c r="Q378" s="1709"/>
      <c r="R378" s="1709"/>
      <c r="S378" s="1709"/>
      <c r="T378" s="1709"/>
      <c r="U378" s="1709"/>
      <c r="V378" s="1709"/>
      <c r="W378" s="1709"/>
      <c r="X378" s="1709"/>
      <c r="Y378" s="1709"/>
      <c r="Z378" s="1709"/>
      <c r="AA378" s="1709"/>
      <c r="AB378" s="1709"/>
      <c r="AC378" s="1709"/>
      <c r="AD378" s="1709"/>
      <c r="AE378" s="1709"/>
      <c r="AF378" s="170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124</v>
      </c>
      <c r="D379" s="1141"/>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88" t="s">
        <v>319</v>
      </c>
      <c r="AG379" s="1188"/>
      <c r="AH379" s="1188"/>
      <c r="AI379" s="1188"/>
      <c r="AJ379" s="1188"/>
      <c r="AK379" s="1188"/>
      <c r="AL379" s="171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03">
        <f>IF(AP381&gt;0,AP381,0)</f>
        <v>10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8" t="s">
        <v>1773</v>
      </c>
      <c r="G384" s="1708"/>
      <c r="H384" s="1708"/>
      <c r="I384" s="1708"/>
      <c r="J384" s="1708"/>
      <c r="K384" s="1708"/>
      <c r="L384" s="1708"/>
      <c r="M384" s="1708"/>
      <c r="N384" s="1708"/>
      <c r="O384" s="1708"/>
      <c r="P384" s="1708"/>
      <c r="Q384" s="1708"/>
      <c r="R384" s="1708"/>
      <c r="S384" s="1708"/>
      <c r="T384" s="1708"/>
      <c r="U384" s="1708"/>
      <c r="V384" s="1708"/>
      <c r="W384" s="1708"/>
      <c r="X384" s="1708"/>
      <c r="Y384" s="1708"/>
      <c r="Z384" s="1708"/>
      <c r="AA384" s="1708"/>
      <c r="AB384" s="1708"/>
      <c r="AC384" s="1708"/>
      <c r="AD384" s="1708"/>
      <c r="AE384" s="1708"/>
      <c r="AF384" s="170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9"/>
      <c r="G385" s="1709"/>
      <c r="H385" s="1709"/>
      <c r="I385" s="1709"/>
      <c r="J385" s="1709"/>
      <c r="K385" s="1709"/>
      <c r="L385" s="1709"/>
      <c r="M385" s="1709"/>
      <c r="N385" s="1709"/>
      <c r="O385" s="1709"/>
      <c r="P385" s="1709"/>
      <c r="Q385" s="1709"/>
      <c r="R385" s="1709"/>
      <c r="S385" s="1709"/>
      <c r="T385" s="1709"/>
      <c r="U385" s="1709"/>
      <c r="V385" s="1709"/>
      <c r="W385" s="1709"/>
      <c r="X385" s="1709"/>
      <c r="Y385" s="1709"/>
      <c r="Z385" s="1709"/>
      <c r="AA385" s="1709"/>
      <c r="AB385" s="1709"/>
      <c r="AC385" s="1709"/>
      <c r="AD385" s="1709"/>
      <c r="AE385" s="1709"/>
      <c r="AF385" s="170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9"/>
      <c r="G386" s="1709"/>
      <c r="H386" s="1709"/>
      <c r="I386" s="1709"/>
      <c r="J386" s="1709"/>
      <c r="K386" s="1709"/>
      <c r="L386" s="1709"/>
      <c r="M386" s="1709"/>
      <c r="N386" s="1709"/>
      <c r="O386" s="1709"/>
      <c r="P386" s="1709"/>
      <c r="Q386" s="1709"/>
      <c r="R386" s="1709"/>
      <c r="S386" s="1709"/>
      <c r="T386" s="1709"/>
      <c r="U386" s="1709"/>
      <c r="V386" s="1709"/>
      <c r="W386" s="1709"/>
      <c r="X386" s="1709"/>
      <c r="Y386" s="1709"/>
      <c r="Z386" s="1709"/>
      <c r="AA386" s="1709"/>
      <c r="AB386" s="1709"/>
      <c r="AC386" s="1709"/>
      <c r="AD386" s="1709"/>
      <c r="AE386" s="1709"/>
      <c r="AF386" s="170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9"/>
      <c r="G387" s="1709"/>
      <c r="H387" s="1709"/>
      <c r="I387" s="1709"/>
      <c r="J387" s="1709"/>
      <c r="K387" s="1709"/>
      <c r="L387" s="1709"/>
      <c r="M387" s="1709"/>
      <c r="N387" s="1709"/>
      <c r="O387" s="1709"/>
      <c r="P387" s="1709"/>
      <c r="Q387" s="1709"/>
      <c r="R387" s="1709"/>
      <c r="S387" s="1709"/>
      <c r="T387" s="1709"/>
      <c r="U387" s="1709"/>
      <c r="V387" s="1709"/>
      <c r="W387" s="1709"/>
      <c r="X387" s="1709"/>
      <c r="Y387" s="1709"/>
      <c r="Z387" s="1709"/>
      <c r="AA387" s="1709"/>
      <c r="AB387" s="1709"/>
      <c r="AC387" s="1709"/>
      <c r="AD387" s="1709"/>
      <c r="AE387" s="1709"/>
      <c r="AF387" s="170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9"/>
      <c r="G388" s="1709"/>
      <c r="H388" s="1709"/>
      <c r="I388" s="1709"/>
      <c r="J388" s="1709"/>
      <c r="K388" s="1709"/>
      <c r="L388" s="1709"/>
      <c r="M388" s="1709"/>
      <c r="N388" s="1709"/>
      <c r="O388" s="1709"/>
      <c r="P388" s="1709"/>
      <c r="Q388" s="1709"/>
      <c r="R388" s="1709"/>
      <c r="S388" s="1709"/>
      <c r="T388" s="1709"/>
      <c r="U388" s="1709"/>
      <c r="V388" s="1709"/>
      <c r="W388" s="1709"/>
      <c r="X388" s="1709"/>
      <c r="Y388" s="1709"/>
      <c r="Z388" s="1709"/>
      <c r="AA388" s="1709"/>
      <c r="AB388" s="1709"/>
      <c r="AC388" s="1709"/>
      <c r="AD388" s="1709"/>
      <c r="AE388" s="1709"/>
      <c r="AF388" s="170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124</v>
      </c>
      <c r="D389" s="1141"/>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88" t="s">
        <v>319</v>
      </c>
      <c r="AG389" s="1188"/>
      <c r="AH389" s="1188"/>
      <c r="AI389" s="1188"/>
      <c r="AJ389" s="1188"/>
      <c r="AK389" s="1188"/>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68"/>
      <c r="D391" s="146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88"/>
      <c r="AG391" s="1188"/>
      <c r="AH391" s="1188"/>
      <c r="AI391" s="1188"/>
      <c r="AJ391" s="1188"/>
      <c r="AK391" s="1188"/>
      <c r="AL391" s="118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1937</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124</v>
      </c>
      <c r="D399" s="1141"/>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88" t="s">
        <v>963</v>
      </c>
      <c r="AG399" s="1188"/>
      <c r="AH399" s="1188"/>
      <c r="AI399" s="1188"/>
      <c r="AJ399" s="1188"/>
      <c r="AK399" s="1188"/>
      <c r="AL399" s="171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124</v>
      </c>
      <c r="D401" s="1141"/>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88" t="s">
        <v>319</v>
      </c>
      <c r="AG401" s="1188"/>
      <c r="AH401" s="1188"/>
      <c r="AI401" s="1188"/>
      <c r="AJ401" s="1188"/>
      <c r="AK401" s="1188"/>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8" t="s">
        <v>1772</v>
      </c>
      <c r="G405" s="1708"/>
      <c r="H405" s="1708"/>
      <c r="I405" s="1708"/>
      <c r="J405" s="1708"/>
      <c r="K405" s="1708"/>
      <c r="L405" s="1708"/>
      <c r="M405" s="1708"/>
      <c r="N405" s="1708"/>
      <c r="O405" s="1708"/>
      <c r="P405" s="1708"/>
      <c r="Q405" s="1708"/>
      <c r="R405" s="1708"/>
      <c r="S405" s="1708"/>
      <c r="T405" s="1708"/>
      <c r="U405" s="1708"/>
      <c r="V405" s="1708"/>
      <c r="W405" s="1708"/>
      <c r="X405" s="1708"/>
      <c r="Y405" s="1708"/>
      <c r="Z405" s="1708"/>
      <c r="AA405" s="1708"/>
      <c r="AB405" s="1708"/>
      <c r="AC405" s="1708"/>
      <c r="AD405" s="1708"/>
      <c r="AE405" s="1708"/>
      <c r="AF405" s="170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9"/>
      <c r="G406" s="1709"/>
      <c r="H406" s="1709"/>
      <c r="I406" s="1709"/>
      <c r="J406" s="1709"/>
      <c r="K406" s="1709"/>
      <c r="L406" s="1709"/>
      <c r="M406" s="1709"/>
      <c r="N406" s="1709"/>
      <c r="O406" s="1709"/>
      <c r="P406" s="1709"/>
      <c r="Q406" s="1709"/>
      <c r="R406" s="1709"/>
      <c r="S406" s="1709"/>
      <c r="T406" s="1709"/>
      <c r="U406" s="1709"/>
      <c r="V406" s="1709"/>
      <c r="W406" s="1709"/>
      <c r="X406" s="1709"/>
      <c r="Y406" s="1709"/>
      <c r="Z406" s="1709"/>
      <c r="AA406" s="1709"/>
      <c r="AB406" s="1709"/>
      <c r="AC406" s="1709"/>
      <c r="AD406" s="1709"/>
      <c r="AE406" s="1709"/>
      <c r="AF406" s="170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9"/>
      <c r="G407" s="1709"/>
      <c r="H407" s="1709"/>
      <c r="I407" s="1709"/>
      <c r="J407" s="1709"/>
      <c r="K407" s="1709"/>
      <c r="L407" s="1709"/>
      <c r="M407" s="1709"/>
      <c r="N407" s="1709"/>
      <c r="O407" s="1709"/>
      <c r="P407" s="1709"/>
      <c r="Q407" s="1709"/>
      <c r="R407" s="1709"/>
      <c r="S407" s="1709"/>
      <c r="T407" s="1709"/>
      <c r="U407" s="1709"/>
      <c r="V407" s="1709"/>
      <c r="W407" s="1709"/>
      <c r="X407" s="1709"/>
      <c r="Y407" s="1709"/>
      <c r="Z407" s="1709"/>
      <c r="AA407" s="1709"/>
      <c r="AB407" s="1709"/>
      <c r="AC407" s="1709"/>
      <c r="AD407" s="1709"/>
      <c r="AE407" s="1709"/>
      <c r="AF407" s="170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9"/>
      <c r="G408" s="1709"/>
      <c r="H408" s="1709"/>
      <c r="I408" s="1709"/>
      <c r="J408" s="1709"/>
      <c r="K408" s="1709"/>
      <c r="L408" s="1709"/>
      <c r="M408" s="1709"/>
      <c r="N408" s="1709"/>
      <c r="O408" s="1709"/>
      <c r="P408" s="1709"/>
      <c r="Q408" s="1709"/>
      <c r="R408" s="1709"/>
      <c r="S408" s="1709"/>
      <c r="T408" s="1709"/>
      <c r="U408" s="1709"/>
      <c r="V408" s="1709"/>
      <c r="W408" s="1709"/>
      <c r="X408" s="1709"/>
      <c r="Y408" s="1709"/>
      <c r="Z408" s="1709"/>
      <c r="AA408" s="1709"/>
      <c r="AB408" s="1709"/>
      <c r="AC408" s="1709"/>
      <c r="AD408" s="1709"/>
      <c r="AE408" s="1709"/>
      <c r="AF408" s="170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141"/>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88" t="s">
        <v>319</v>
      </c>
      <c r="AG409" s="1188"/>
      <c r="AH409" s="1188"/>
      <c r="AI409" s="1188"/>
      <c r="AJ409" s="1188"/>
      <c r="AK409" s="1188"/>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124</v>
      </c>
      <c r="D411" s="1141"/>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88" t="s">
        <v>962</v>
      </c>
      <c r="AG411" s="1188"/>
      <c r="AH411" s="1188"/>
      <c r="AI411" s="1188"/>
      <c r="AJ411" s="1188"/>
      <c r="AK411" s="1188"/>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141"/>
      <c r="E414" s="695" t="s">
        <v>193</v>
      </c>
      <c r="F414" s="1708" t="s">
        <v>1776</v>
      </c>
      <c r="G414" s="1708"/>
      <c r="H414" s="1708"/>
      <c r="I414" s="1708"/>
      <c r="J414" s="1708"/>
      <c r="K414" s="1708"/>
      <c r="L414" s="1708"/>
      <c r="M414" s="1708"/>
      <c r="N414" s="1708"/>
      <c r="O414" s="1708"/>
      <c r="P414" s="1708"/>
      <c r="Q414" s="1708"/>
      <c r="R414" s="1708"/>
      <c r="S414" s="1708"/>
      <c r="T414" s="1708"/>
      <c r="U414" s="1708"/>
      <c r="V414" s="1708"/>
      <c r="W414" s="1708"/>
      <c r="X414" s="1708"/>
      <c r="Y414" s="1708"/>
      <c r="Z414" s="1708"/>
      <c r="AA414" s="1708"/>
      <c r="AB414" s="1708"/>
      <c r="AC414" s="1708"/>
      <c r="AD414" s="1708"/>
      <c r="AE414" s="170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9"/>
      <c r="G415" s="1709"/>
      <c r="H415" s="1709"/>
      <c r="I415" s="1709"/>
      <c r="J415" s="1709"/>
      <c r="K415" s="1709"/>
      <c r="L415" s="1709"/>
      <c r="M415" s="1709"/>
      <c r="N415" s="1709"/>
      <c r="O415" s="1709"/>
      <c r="P415" s="1709"/>
      <c r="Q415" s="1709"/>
      <c r="R415" s="1709"/>
      <c r="S415" s="1709"/>
      <c r="T415" s="1709"/>
      <c r="U415" s="1709"/>
      <c r="V415" s="1709"/>
      <c r="W415" s="1709"/>
      <c r="X415" s="1709"/>
      <c r="Y415" s="1709"/>
      <c r="Z415" s="1709"/>
      <c r="AA415" s="1709"/>
      <c r="AB415" s="1709"/>
      <c r="AC415" s="1709"/>
      <c r="AD415" s="1709"/>
      <c r="AE415" s="1709"/>
      <c r="AF415" s="1695" t="s">
        <v>319</v>
      </c>
      <c r="AG415" s="1695"/>
      <c r="AH415" s="1695"/>
      <c r="AI415" s="1695"/>
      <c r="AJ415" s="1695"/>
      <c r="AK415" s="1695"/>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9"/>
      <c r="G416" s="1709"/>
      <c r="H416" s="1709"/>
      <c r="I416" s="1709"/>
      <c r="J416" s="1709"/>
      <c r="K416" s="1709"/>
      <c r="L416" s="1709"/>
      <c r="M416" s="1709"/>
      <c r="N416" s="1709"/>
      <c r="O416" s="1709"/>
      <c r="P416" s="1709"/>
      <c r="Q416" s="1709"/>
      <c r="R416" s="1709"/>
      <c r="S416" s="1709"/>
      <c r="T416" s="1709"/>
      <c r="U416" s="1709"/>
      <c r="V416" s="1709"/>
      <c r="W416" s="1709"/>
      <c r="X416" s="1709"/>
      <c r="Y416" s="1709"/>
      <c r="Z416" s="1709"/>
      <c r="AA416" s="1709"/>
      <c r="AB416" s="1709"/>
      <c r="AC416" s="1709"/>
      <c r="AD416" s="1709"/>
      <c r="AE416" s="170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8" t="s">
        <v>1778</v>
      </c>
      <c r="G419" s="1708"/>
      <c r="H419" s="1708"/>
      <c r="I419" s="1708"/>
      <c r="J419" s="1708"/>
      <c r="K419" s="1708"/>
      <c r="L419" s="1708"/>
      <c r="M419" s="1708"/>
      <c r="N419" s="1708"/>
      <c r="O419" s="1708"/>
      <c r="P419" s="1708"/>
      <c r="Q419" s="1708"/>
      <c r="R419" s="1708"/>
      <c r="S419" s="1708"/>
      <c r="T419" s="1708"/>
      <c r="U419" s="1708"/>
      <c r="V419" s="1708"/>
      <c r="W419" s="1708"/>
      <c r="X419" s="1708"/>
      <c r="Y419" s="1708"/>
      <c r="Z419" s="1708"/>
      <c r="AA419" s="1708"/>
      <c r="AB419" s="1708"/>
      <c r="AC419" s="1708"/>
      <c r="AD419" s="1708"/>
      <c r="AE419" s="1708"/>
      <c r="AF419" s="715"/>
      <c r="AG419" s="715"/>
      <c r="AH419" s="715"/>
      <c r="AI419" s="715"/>
      <c r="AJ419" s="715"/>
      <c r="AK419" s="715"/>
      <c r="AL419" s="716"/>
      <c r="AM419"/>
    </row>
    <row r="420" spans="1:55">
      <c r="A420" s="5"/>
      <c r="C420" s="701"/>
      <c r="E420" s="192"/>
      <c r="F420" s="1709"/>
      <c r="G420" s="1709"/>
      <c r="H420" s="1709"/>
      <c r="I420" s="1709"/>
      <c r="J420" s="1709"/>
      <c r="K420" s="1709"/>
      <c r="L420" s="1709"/>
      <c r="M420" s="1709"/>
      <c r="N420" s="1709"/>
      <c r="O420" s="1709"/>
      <c r="P420" s="1709"/>
      <c r="Q420" s="1709"/>
      <c r="R420" s="1709"/>
      <c r="S420" s="1709"/>
      <c r="T420" s="1709"/>
      <c r="U420" s="1709"/>
      <c r="V420" s="1709"/>
      <c r="W420" s="1709"/>
      <c r="X420" s="1709"/>
      <c r="Y420" s="1709"/>
      <c r="Z420" s="1709"/>
      <c r="AA420" s="1709"/>
      <c r="AB420" s="1709"/>
      <c r="AC420" s="1709"/>
      <c r="AD420" s="1709"/>
      <c r="AE420" s="1709"/>
      <c r="AF420" s="3"/>
      <c r="AG420" s="5"/>
      <c r="AH420" s="4"/>
      <c r="AI420" s="4"/>
      <c r="AJ420" s="4"/>
      <c r="AK420" s="4"/>
      <c r="AL420" s="702"/>
      <c r="AM420"/>
    </row>
    <row r="421" spans="1:55" s="4" customFormat="1" ht="12.75" customHeight="1">
      <c r="A421" s="5"/>
      <c r="B421" s="21"/>
      <c r="C421" s="701"/>
      <c r="D421" s="21"/>
      <c r="E421" s="192"/>
      <c r="F421" s="1709"/>
      <c r="G421" s="1709"/>
      <c r="H421" s="1709"/>
      <c r="I421" s="1709"/>
      <c r="J421" s="1709"/>
      <c r="K421" s="1709"/>
      <c r="L421" s="1709"/>
      <c r="M421" s="1709"/>
      <c r="N421" s="1709"/>
      <c r="O421" s="1709"/>
      <c r="P421" s="1709"/>
      <c r="Q421" s="1709"/>
      <c r="R421" s="1709"/>
      <c r="S421" s="1709"/>
      <c r="T421" s="1709"/>
      <c r="U421" s="1709"/>
      <c r="V421" s="1709"/>
      <c r="W421" s="1709"/>
      <c r="X421" s="1709"/>
      <c r="Y421" s="1709"/>
      <c r="Z421" s="1709"/>
      <c r="AA421" s="1709"/>
      <c r="AB421" s="1709"/>
      <c r="AC421" s="1709"/>
      <c r="AD421" s="1709"/>
      <c r="AE421" s="1709"/>
      <c r="AL421" s="702"/>
      <c r="AM421"/>
      <c r="AN421" s="279"/>
    </row>
    <row r="422" spans="1:55" s="4" customFormat="1" ht="12.75" customHeight="1">
      <c r="A422" s="5"/>
      <c r="B422" s="21"/>
      <c r="C422" s="704"/>
      <c r="F422" s="1709"/>
      <c r="G422" s="1709"/>
      <c r="H422" s="1709"/>
      <c r="I422" s="1709"/>
      <c r="J422" s="1709"/>
      <c r="K422" s="1709"/>
      <c r="L422" s="1709"/>
      <c r="M422" s="1709"/>
      <c r="N422" s="1709"/>
      <c r="O422" s="1709"/>
      <c r="P422" s="1709"/>
      <c r="Q422" s="1709"/>
      <c r="R422" s="1709"/>
      <c r="S422" s="1709"/>
      <c r="T422" s="1709"/>
      <c r="U422" s="1709"/>
      <c r="V422" s="1709"/>
      <c r="W422" s="1709"/>
      <c r="X422" s="1709"/>
      <c r="Y422" s="1709"/>
      <c r="Z422" s="1709"/>
      <c r="AA422" s="1709"/>
      <c r="AB422" s="1709"/>
      <c r="AC422" s="1709"/>
      <c r="AD422" s="1709"/>
      <c r="AE422" s="1709"/>
      <c r="AL422" s="702"/>
      <c r="AM422"/>
      <c r="AN422" s="279"/>
    </row>
    <row r="423" spans="1:55" s="4" customFormat="1" ht="12.75" customHeight="1">
      <c r="A423" s="5"/>
      <c r="B423" s="21"/>
      <c r="C423" s="1705" t="s">
        <v>124</v>
      </c>
      <c r="D423" s="1141"/>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1"/>
      <c r="AM423"/>
      <c r="AN423" s="279"/>
    </row>
    <row r="424" spans="1:55" s="4" customFormat="1" ht="12.75" customHeight="1">
      <c r="A424" s="5"/>
      <c r="B424" s="21"/>
      <c r="C424" s="704"/>
      <c r="AL424" s="702"/>
      <c r="AM424"/>
      <c r="AN424" s="279"/>
    </row>
    <row r="425" spans="1:55" s="4" customFormat="1" ht="12.75" customHeight="1">
      <c r="A425" s="5"/>
      <c r="B425" s="21"/>
      <c r="C425" s="1705" t="s">
        <v>124</v>
      </c>
      <c r="D425" s="1141"/>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8" t="s">
        <v>1779</v>
      </c>
      <c r="G429" s="1708"/>
      <c r="H429" s="1708"/>
      <c r="I429" s="1708"/>
      <c r="J429" s="1708"/>
      <c r="K429" s="1708"/>
      <c r="L429" s="1708"/>
      <c r="M429" s="1708"/>
      <c r="N429" s="1708"/>
      <c r="O429" s="1708"/>
      <c r="P429" s="1708"/>
      <c r="Q429" s="1708"/>
      <c r="R429" s="1708"/>
      <c r="S429" s="1708"/>
      <c r="T429" s="1708"/>
      <c r="U429" s="1708"/>
      <c r="V429" s="1708"/>
      <c r="W429" s="1708"/>
      <c r="X429" s="1708"/>
      <c r="Y429" s="1708"/>
      <c r="Z429" s="1708"/>
      <c r="AA429" s="1708"/>
      <c r="AB429" s="1708"/>
      <c r="AC429" s="1708"/>
      <c r="AD429" s="1708"/>
      <c r="AE429" s="1708"/>
      <c r="AF429" s="694"/>
      <c r="AG429" s="694"/>
      <c r="AH429" s="694"/>
      <c r="AI429" s="694"/>
      <c r="AJ429" s="694"/>
      <c r="AK429" s="694"/>
      <c r="AL429" s="718"/>
      <c r="AM429"/>
      <c r="AN429" s="279"/>
    </row>
    <row r="430" spans="1:55" s="4" customFormat="1" ht="12.75" customHeight="1">
      <c r="A430" s="5"/>
      <c r="B430" s="73"/>
      <c r="C430" s="719"/>
      <c r="D430" s="73"/>
      <c r="E430" s="192"/>
      <c r="F430" s="1709"/>
      <c r="G430" s="1709"/>
      <c r="H430" s="1709"/>
      <c r="I430" s="1709"/>
      <c r="J430" s="1709"/>
      <c r="K430" s="1709"/>
      <c r="L430" s="1709"/>
      <c r="M430" s="1709"/>
      <c r="N430" s="1709"/>
      <c r="O430" s="1709"/>
      <c r="P430" s="1709"/>
      <c r="Q430" s="1709"/>
      <c r="R430" s="1709"/>
      <c r="S430" s="1709"/>
      <c r="T430" s="1709"/>
      <c r="U430" s="1709"/>
      <c r="V430" s="1709"/>
      <c r="W430" s="1709"/>
      <c r="X430" s="1709"/>
      <c r="Y430" s="1709"/>
      <c r="Z430" s="1709"/>
      <c r="AA430" s="1709"/>
      <c r="AB430" s="1709"/>
      <c r="AC430" s="1709"/>
      <c r="AD430" s="1709"/>
      <c r="AE430" s="1709"/>
      <c r="AF430" s="3"/>
      <c r="AG430" s="5"/>
      <c r="AL430" s="702"/>
      <c r="AM430"/>
      <c r="AN430" s="279"/>
    </row>
    <row r="431" spans="1:55" s="4" customFormat="1" ht="12.4" customHeight="1">
      <c r="A431" s="5"/>
      <c r="B431" s="73"/>
      <c r="C431" s="719"/>
      <c r="D431" s="73"/>
      <c r="E431" s="192"/>
      <c r="F431" s="1709"/>
      <c r="G431" s="1709"/>
      <c r="H431" s="1709"/>
      <c r="I431" s="1709"/>
      <c r="J431" s="1709"/>
      <c r="K431" s="1709"/>
      <c r="L431" s="1709"/>
      <c r="M431" s="1709"/>
      <c r="N431" s="1709"/>
      <c r="O431" s="1709"/>
      <c r="P431" s="1709"/>
      <c r="Q431" s="1709"/>
      <c r="R431" s="1709"/>
      <c r="S431" s="1709"/>
      <c r="T431" s="1709"/>
      <c r="U431" s="1709"/>
      <c r="V431" s="1709"/>
      <c r="W431" s="1709"/>
      <c r="X431" s="1709"/>
      <c r="Y431" s="1709"/>
      <c r="Z431" s="1709"/>
      <c r="AA431" s="1709"/>
      <c r="AB431" s="1709"/>
      <c r="AC431" s="1709"/>
      <c r="AD431" s="1709"/>
      <c r="AE431" s="1709"/>
      <c r="AL431" s="702"/>
      <c r="AM431"/>
      <c r="AN431" s="279"/>
    </row>
    <row r="432" spans="1:55" s="4" customFormat="1" ht="12.75" customHeight="1">
      <c r="A432" s="5"/>
      <c r="B432" s="73"/>
      <c r="C432" s="1705" t="s">
        <v>108</v>
      </c>
      <c r="D432" s="1141"/>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1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8" t="s">
        <v>1780</v>
      </c>
      <c r="G435" s="1708"/>
      <c r="H435" s="1708"/>
      <c r="I435" s="1708"/>
      <c r="J435" s="1708"/>
      <c r="K435" s="1708"/>
      <c r="L435" s="1708"/>
      <c r="M435" s="1708"/>
      <c r="N435" s="1708"/>
      <c r="O435" s="1708"/>
      <c r="P435" s="1708"/>
      <c r="Q435" s="1708"/>
      <c r="R435" s="1708"/>
      <c r="S435" s="1708"/>
      <c r="T435" s="1708"/>
      <c r="U435" s="1708"/>
      <c r="V435" s="1708"/>
      <c r="W435" s="1708"/>
      <c r="X435" s="1708"/>
      <c r="Y435" s="1708"/>
      <c r="Z435" s="1708"/>
      <c r="AA435" s="1708"/>
      <c r="AB435" s="1708"/>
      <c r="AC435" s="1708"/>
      <c r="AD435" s="1708"/>
      <c r="AE435" s="170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9"/>
      <c r="G436" s="1709"/>
      <c r="H436" s="1709"/>
      <c r="I436" s="1709"/>
      <c r="J436" s="1709"/>
      <c r="K436" s="1709"/>
      <c r="L436" s="1709"/>
      <c r="M436" s="1709"/>
      <c r="N436" s="1709"/>
      <c r="O436" s="1709"/>
      <c r="P436" s="1709"/>
      <c r="Q436" s="1709"/>
      <c r="R436" s="1709"/>
      <c r="S436" s="1709"/>
      <c r="T436" s="1709"/>
      <c r="U436" s="1709"/>
      <c r="V436" s="1709"/>
      <c r="W436" s="1709"/>
      <c r="X436" s="1709"/>
      <c r="Y436" s="1709"/>
      <c r="Z436" s="1709"/>
      <c r="AA436" s="1709"/>
      <c r="AB436" s="1709"/>
      <c r="AC436" s="1709"/>
      <c r="AD436" s="1709"/>
      <c r="AE436" s="1709"/>
      <c r="AF436" s="106"/>
      <c r="AG436" s="106"/>
      <c r="AH436" s="106"/>
      <c r="AI436" s="106"/>
      <c r="AJ436" s="106"/>
      <c r="AK436" s="106"/>
      <c r="AL436" s="781"/>
      <c r="AM436"/>
      <c r="AO436" s="4"/>
      <c r="AP436" s="4"/>
    </row>
    <row r="437" spans="1:60" s="4" customFormat="1" ht="12.75" customHeight="1">
      <c r="A437" s="5"/>
      <c r="B437" s="73"/>
      <c r="C437" s="719"/>
      <c r="D437" s="73"/>
      <c r="E437" s="192"/>
      <c r="F437" s="1709"/>
      <c r="G437" s="1709"/>
      <c r="H437" s="1709"/>
      <c r="I437" s="1709"/>
      <c r="J437" s="1709"/>
      <c r="K437" s="1709"/>
      <c r="L437" s="1709"/>
      <c r="M437" s="1709"/>
      <c r="N437" s="1709"/>
      <c r="O437" s="1709"/>
      <c r="P437" s="1709"/>
      <c r="Q437" s="1709"/>
      <c r="R437" s="1709"/>
      <c r="S437" s="1709"/>
      <c r="T437" s="1709"/>
      <c r="U437" s="1709"/>
      <c r="V437" s="1709"/>
      <c r="W437" s="1709"/>
      <c r="X437" s="1709"/>
      <c r="Y437" s="1709"/>
      <c r="Z437" s="1709"/>
      <c r="AA437" s="1709"/>
      <c r="AB437" s="1709"/>
      <c r="AC437" s="1709"/>
      <c r="AD437" s="1709"/>
      <c r="AE437" s="1709"/>
      <c r="AF437" s="106"/>
      <c r="AG437" s="106"/>
      <c r="AH437" s="106"/>
      <c r="AI437" s="106"/>
      <c r="AJ437" s="106"/>
      <c r="AK437" s="106"/>
      <c r="AL437" s="781"/>
      <c r="AM437"/>
      <c r="AN437" s="279"/>
    </row>
    <row r="438" spans="1:60" s="4" customFormat="1" ht="12.75" customHeight="1">
      <c r="A438" s="5"/>
      <c r="B438" s="73"/>
      <c r="C438" s="720"/>
      <c r="D438" s="1"/>
      <c r="E438" s="223"/>
      <c r="F438" s="1709"/>
      <c r="G438" s="1709"/>
      <c r="H438" s="1709"/>
      <c r="I438" s="1709"/>
      <c r="J438" s="1709"/>
      <c r="K438" s="1709"/>
      <c r="L438" s="1709"/>
      <c r="M438" s="1709"/>
      <c r="N438" s="1709"/>
      <c r="O438" s="1709"/>
      <c r="P438" s="1709"/>
      <c r="Q438" s="1709"/>
      <c r="R438" s="1709"/>
      <c r="S438" s="1709"/>
      <c r="T438" s="1709"/>
      <c r="U438" s="1709"/>
      <c r="V438" s="1709"/>
      <c r="W438" s="1709"/>
      <c r="X438" s="1709"/>
      <c r="Y438" s="1709"/>
      <c r="Z438" s="1709"/>
      <c r="AA438" s="1709"/>
      <c r="AB438" s="1709"/>
      <c r="AC438" s="1709"/>
      <c r="AD438" s="1709"/>
      <c r="AE438" s="1709"/>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9"/>
      <c r="G439" s="1709"/>
      <c r="H439" s="1709"/>
      <c r="I439" s="1709"/>
      <c r="J439" s="1709"/>
      <c r="K439" s="1709"/>
      <c r="L439" s="1709"/>
      <c r="M439" s="1709"/>
      <c r="N439" s="1709"/>
      <c r="O439" s="1709"/>
      <c r="P439" s="1709"/>
      <c r="Q439" s="1709"/>
      <c r="R439" s="1709"/>
      <c r="S439" s="1709"/>
      <c r="T439" s="1709"/>
      <c r="U439" s="1709"/>
      <c r="V439" s="1709"/>
      <c r="W439" s="1709"/>
      <c r="X439" s="1709"/>
      <c r="Y439" s="1709"/>
      <c r="Z439" s="1709"/>
      <c r="AA439" s="1709"/>
      <c r="AB439" s="1709"/>
      <c r="AC439" s="1709"/>
      <c r="AD439" s="1709"/>
      <c r="AE439" s="1709"/>
      <c r="AF439" s="106"/>
      <c r="AG439" s="106"/>
      <c r="AH439" s="106"/>
      <c r="AI439" s="106"/>
      <c r="AJ439" s="106"/>
      <c r="AK439" s="106"/>
      <c r="AL439" s="781"/>
      <c r="AM439"/>
      <c r="AN439" s="279"/>
    </row>
    <row r="440" spans="1:60" s="4" customFormat="1" ht="12.75" customHeight="1">
      <c r="A440" s="5"/>
      <c r="B440" s="73"/>
      <c r="C440" s="720"/>
      <c r="D440" s="1"/>
      <c r="E440" s="223"/>
      <c r="F440" s="1709"/>
      <c r="G440" s="1709"/>
      <c r="H440" s="1709"/>
      <c r="I440" s="1709"/>
      <c r="J440" s="1709"/>
      <c r="K440" s="1709"/>
      <c r="L440" s="1709"/>
      <c r="M440" s="1709"/>
      <c r="N440" s="1709"/>
      <c r="O440" s="1709"/>
      <c r="P440" s="1709"/>
      <c r="Q440" s="1709"/>
      <c r="R440" s="1709"/>
      <c r="S440" s="1709"/>
      <c r="T440" s="1709"/>
      <c r="U440" s="1709"/>
      <c r="V440" s="1709"/>
      <c r="W440" s="1709"/>
      <c r="X440" s="1709"/>
      <c r="Y440" s="1709"/>
      <c r="Z440" s="1709"/>
      <c r="AA440" s="1709"/>
      <c r="AB440" s="1709"/>
      <c r="AC440" s="1709"/>
      <c r="AD440" s="1709"/>
      <c r="AE440" s="1709"/>
      <c r="AF440" s="106"/>
      <c r="AG440" s="106"/>
      <c r="AH440" s="106"/>
      <c r="AI440" s="106"/>
      <c r="AJ440" s="106"/>
      <c r="AK440" s="106"/>
      <c r="AL440" s="781"/>
      <c r="AM440"/>
      <c r="AN440" s="279"/>
    </row>
    <row r="441" spans="1:60" s="4" customFormat="1" ht="12.75" customHeight="1">
      <c r="A441" s="5"/>
      <c r="B441" s="73"/>
      <c r="C441" s="720"/>
      <c r="D441" s="1"/>
      <c r="E441" s="223"/>
      <c r="F441" s="1709"/>
      <c r="G441" s="1709"/>
      <c r="H441" s="1709"/>
      <c r="I441" s="1709"/>
      <c r="J441" s="1709"/>
      <c r="K441" s="1709"/>
      <c r="L441" s="1709"/>
      <c r="M441" s="1709"/>
      <c r="N441" s="1709"/>
      <c r="O441" s="1709"/>
      <c r="P441" s="1709"/>
      <c r="Q441" s="1709"/>
      <c r="R441" s="1709"/>
      <c r="S441" s="1709"/>
      <c r="T441" s="1709"/>
      <c r="U441" s="1709"/>
      <c r="V441" s="1709"/>
      <c r="W441" s="1709"/>
      <c r="X441" s="1709"/>
      <c r="Y441" s="1709"/>
      <c r="Z441" s="1709"/>
      <c r="AA441" s="1709"/>
      <c r="AB441" s="1709"/>
      <c r="AC441" s="1709"/>
      <c r="AD441" s="1709"/>
      <c r="AE441" s="1709"/>
      <c r="AF441" s="106"/>
      <c r="AG441" s="106"/>
      <c r="AH441" s="106"/>
      <c r="AI441" s="106"/>
      <c r="AJ441" s="106"/>
      <c r="AK441" s="106"/>
      <c r="AL441" s="781"/>
      <c r="AM441"/>
      <c r="AN441" s="279"/>
    </row>
    <row r="442" spans="1:60" s="4" customFormat="1" ht="12.75" customHeight="1">
      <c r="A442" s="5"/>
      <c r="B442" s="73"/>
      <c r="C442" s="720"/>
      <c r="D442" s="1"/>
      <c r="E442" s="223"/>
      <c r="F442" s="1709"/>
      <c r="G442" s="1709"/>
      <c r="H442" s="1709"/>
      <c r="I442" s="1709"/>
      <c r="J442" s="1709"/>
      <c r="K442" s="1709"/>
      <c r="L442" s="1709"/>
      <c r="M442" s="1709"/>
      <c r="N442" s="1709"/>
      <c r="O442" s="1709"/>
      <c r="P442" s="1709"/>
      <c r="Q442" s="1709"/>
      <c r="R442" s="1709"/>
      <c r="S442" s="1709"/>
      <c r="T442" s="1709"/>
      <c r="U442" s="1709"/>
      <c r="V442" s="1709"/>
      <c r="W442" s="1709"/>
      <c r="X442" s="1709"/>
      <c r="Y442" s="1709"/>
      <c r="Z442" s="1709"/>
      <c r="AA442" s="1709"/>
      <c r="AB442" s="1709"/>
      <c r="AC442" s="1709"/>
      <c r="AD442" s="1709"/>
      <c r="AE442" s="1709"/>
      <c r="AF442" s="106"/>
      <c r="AG442" s="106"/>
      <c r="AH442" s="106"/>
      <c r="AI442" s="106"/>
      <c r="AJ442" s="106"/>
      <c r="AK442" s="106"/>
      <c r="AL442" s="781"/>
      <c r="AM442"/>
      <c r="AN442" s="279"/>
    </row>
    <row r="443" spans="1:60" s="4" customFormat="1" ht="17.25" customHeight="1">
      <c r="A443" s="5"/>
      <c r="B443" s="73"/>
      <c r="C443" s="720"/>
      <c r="D443" s="1"/>
      <c r="E443" s="223"/>
      <c r="F443" s="1709"/>
      <c r="G443" s="1709"/>
      <c r="H443" s="1709"/>
      <c r="I443" s="1709"/>
      <c r="J443" s="1709"/>
      <c r="K443" s="1709"/>
      <c r="L443" s="1709"/>
      <c r="M443" s="1709"/>
      <c r="N443" s="1709"/>
      <c r="O443" s="1709"/>
      <c r="P443" s="1709"/>
      <c r="Q443" s="1709"/>
      <c r="R443" s="1709"/>
      <c r="S443" s="1709"/>
      <c r="T443" s="1709"/>
      <c r="U443" s="1709"/>
      <c r="V443" s="1709"/>
      <c r="W443" s="1709"/>
      <c r="X443" s="1709"/>
      <c r="Y443" s="1709"/>
      <c r="Z443" s="1709"/>
      <c r="AA443" s="1709"/>
      <c r="AB443" s="1709"/>
      <c r="AC443" s="1709"/>
      <c r="AD443" s="1709"/>
      <c r="AE443" s="1709"/>
      <c r="AL443" s="702"/>
      <c r="AM443"/>
      <c r="AN443" s="279"/>
    </row>
    <row r="444" spans="1:60" s="4" customFormat="1" ht="12.75" customHeight="1">
      <c r="A444" s="5"/>
      <c r="B444" s="21"/>
      <c r="C444" s="1705" t="s">
        <v>108</v>
      </c>
      <c r="D444" s="1141"/>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8" t="s">
        <v>1783</v>
      </c>
      <c r="G447" s="1708"/>
      <c r="H447" s="1708"/>
      <c r="I447" s="1708"/>
      <c r="J447" s="1708"/>
      <c r="K447" s="1708"/>
      <c r="L447" s="1708"/>
      <c r="M447" s="1708"/>
      <c r="N447" s="1708"/>
      <c r="O447" s="1708"/>
      <c r="P447" s="1708"/>
      <c r="Q447" s="1708"/>
      <c r="R447" s="1708"/>
      <c r="S447" s="1708"/>
      <c r="T447" s="1708"/>
      <c r="U447" s="1708"/>
      <c r="V447" s="1708"/>
      <c r="W447" s="1708"/>
      <c r="X447" s="1708"/>
      <c r="Y447" s="1708"/>
      <c r="Z447" s="1708"/>
      <c r="AA447" s="1708"/>
      <c r="AB447" s="1708"/>
      <c r="AC447" s="1708"/>
      <c r="AD447" s="1708"/>
      <c r="AE447" s="1708"/>
      <c r="AF447" s="694"/>
      <c r="AG447" s="694"/>
      <c r="AH447" s="694"/>
      <c r="AI447" s="694"/>
      <c r="AJ447" s="694"/>
      <c r="AK447" s="694"/>
      <c r="AL447" s="718"/>
      <c r="AM447"/>
      <c r="AN447" s="279"/>
    </row>
    <row r="448" spans="1:60" s="4" customFormat="1" ht="12.75" customHeight="1">
      <c r="A448" s="5"/>
      <c r="B448" s="73"/>
      <c r="C448" s="720"/>
      <c r="D448" s="1"/>
      <c r="E448" s="223"/>
      <c r="F448" s="1709"/>
      <c r="G448" s="1709"/>
      <c r="H448" s="1709"/>
      <c r="I448" s="1709"/>
      <c r="J448" s="1709"/>
      <c r="K448" s="1709"/>
      <c r="L448" s="1709"/>
      <c r="M448" s="1709"/>
      <c r="N448" s="1709"/>
      <c r="O448" s="1709"/>
      <c r="P448" s="1709"/>
      <c r="Q448" s="1709"/>
      <c r="R448" s="1709"/>
      <c r="S448" s="1709"/>
      <c r="T448" s="1709"/>
      <c r="U448" s="1709"/>
      <c r="V448" s="1709"/>
      <c r="W448" s="1709"/>
      <c r="X448" s="1709"/>
      <c r="Y448" s="1709"/>
      <c r="Z448" s="1709"/>
      <c r="AA448" s="1709"/>
      <c r="AB448" s="1709"/>
      <c r="AC448" s="1709"/>
      <c r="AD448" s="1709"/>
      <c r="AE448" s="1709"/>
      <c r="AF448" s="18"/>
      <c r="AG448" s="18"/>
      <c r="AH448" s="18"/>
      <c r="AI448" s="18"/>
      <c r="AJ448" s="18"/>
      <c r="AK448" s="18"/>
      <c r="AL448" s="778"/>
      <c r="AM448"/>
      <c r="AN448" s="279"/>
    </row>
    <row r="449" spans="1:49" s="4" customFormat="1" ht="12.75" customHeight="1">
      <c r="A449" s="5"/>
      <c r="B449" s="73"/>
      <c r="C449" s="720"/>
      <c r="D449" s="1"/>
      <c r="E449" s="223"/>
      <c r="F449" s="1709"/>
      <c r="G449" s="1709"/>
      <c r="H449" s="1709"/>
      <c r="I449" s="1709"/>
      <c r="J449" s="1709"/>
      <c r="K449" s="1709"/>
      <c r="L449" s="1709"/>
      <c r="M449" s="1709"/>
      <c r="N449" s="1709"/>
      <c r="O449" s="1709"/>
      <c r="P449" s="1709"/>
      <c r="Q449" s="1709"/>
      <c r="R449" s="1709"/>
      <c r="S449" s="1709"/>
      <c r="T449" s="1709"/>
      <c r="U449" s="1709"/>
      <c r="V449" s="1709"/>
      <c r="W449" s="1709"/>
      <c r="X449" s="1709"/>
      <c r="Y449" s="1709"/>
      <c r="Z449" s="1709"/>
      <c r="AA449" s="1709"/>
      <c r="AB449" s="1709"/>
      <c r="AC449" s="1709"/>
      <c r="AD449" s="1709"/>
      <c r="AE449" s="1709"/>
      <c r="AF449" s="18"/>
      <c r="AG449" s="18"/>
      <c r="AH449" s="18"/>
      <c r="AI449" s="18"/>
      <c r="AJ449" s="18"/>
      <c r="AK449" s="18"/>
      <c r="AL449" s="778"/>
      <c r="AM449"/>
      <c r="AN449" s="279"/>
    </row>
    <row r="450" spans="1:49" s="4" customFormat="1" ht="12.75" customHeight="1">
      <c r="A450" s="5"/>
      <c r="B450" s="73"/>
      <c r="C450" s="720"/>
      <c r="D450" s="1"/>
      <c r="E450" s="223"/>
      <c r="F450" s="1709"/>
      <c r="G450" s="1709"/>
      <c r="H450" s="1709"/>
      <c r="I450" s="1709"/>
      <c r="J450" s="1709"/>
      <c r="K450" s="1709"/>
      <c r="L450" s="1709"/>
      <c r="M450" s="1709"/>
      <c r="N450" s="1709"/>
      <c r="O450" s="1709"/>
      <c r="P450" s="1709"/>
      <c r="Q450" s="1709"/>
      <c r="R450" s="1709"/>
      <c r="S450" s="1709"/>
      <c r="T450" s="1709"/>
      <c r="U450" s="1709"/>
      <c r="V450" s="1709"/>
      <c r="W450" s="1709"/>
      <c r="X450" s="1709"/>
      <c r="Y450" s="1709"/>
      <c r="Z450" s="1709"/>
      <c r="AA450" s="1709"/>
      <c r="AB450" s="1709"/>
      <c r="AC450" s="1709"/>
      <c r="AD450" s="1709"/>
      <c r="AE450" s="1709"/>
      <c r="AL450" s="702"/>
      <c r="AM450"/>
      <c r="AN450" s="279"/>
    </row>
    <row r="451" spans="1:49" s="4" customFormat="1" ht="12.75" customHeight="1">
      <c r="A451" s="5"/>
      <c r="B451" s="73"/>
      <c r="C451" s="1705" t="s">
        <v>124</v>
      </c>
      <c r="D451" s="1141"/>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124</v>
      </c>
      <c r="D455" s="1721"/>
      <c r="E455" s="695" t="s">
        <v>967</v>
      </c>
      <c r="F455" s="1708" t="s">
        <v>969</v>
      </c>
      <c r="G455" s="1708"/>
      <c r="H455" s="1708"/>
      <c r="I455" s="1708"/>
      <c r="J455" s="1708"/>
      <c r="K455" s="1708"/>
      <c r="L455" s="1708"/>
      <c r="M455" s="1708"/>
      <c r="N455" s="1708"/>
      <c r="O455" s="1708"/>
      <c r="P455" s="1708"/>
      <c r="Q455" s="1708"/>
      <c r="R455" s="1708"/>
      <c r="S455" s="1708"/>
      <c r="T455" s="1708"/>
      <c r="U455" s="1708"/>
      <c r="V455" s="1708"/>
      <c r="W455" s="1708"/>
      <c r="X455" s="1708"/>
      <c r="Y455" s="1708"/>
      <c r="Z455" s="1708"/>
      <c r="AA455" s="1708"/>
      <c r="AB455" s="1708"/>
      <c r="AC455" s="1708"/>
      <c r="AD455" s="1708"/>
      <c r="AE455" s="1708"/>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709"/>
      <c r="G456" s="1709"/>
      <c r="H456" s="1709"/>
      <c r="I456" s="1709"/>
      <c r="J456" s="1709"/>
      <c r="K456" s="1709"/>
      <c r="L456" s="1709"/>
      <c r="M456" s="1709"/>
      <c r="N456" s="1709"/>
      <c r="O456" s="1709"/>
      <c r="P456" s="1709"/>
      <c r="Q456" s="1709"/>
      <c r="R456" s="1709"/>
      <c r="S456" s="1709"/>
      <c r="T456" s="1709"/>
      <c r="U456" s="1709"/>
      <c r="V456" s="1709"/>
      <c r="W456" s="1709"/>
      <c r="X456" s="1709"/>
      <c r="Y456" s="1709"/>
      <c r="Z456" s="1709"/>
      <c r="AA456" s="1709"/>
      <c r="AB456" s="1709"/>
      <c r="AC456" s="1709"/>
      <c r="AD456" s="1709"/>
      <c r="AE456" s="170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0" t="s">
        <v>124</v>
      </c>
      <c r="D459" s="1721"/>
      <c r="E459" s="695" t="s">
        <v>968</v>
      </c>
      <c r="F459" s="1708" t="s">
        <v>1820</v>
      </c>
      <c r="G459" s="1708"/>
      <c r="H459" s="1708"/>
      <c r="I459" s="1708"/>
      <c r="J459" s="1708"/>
      <c r="K459" s="1708"/>
      <c r="L459" s="1708"/>
      <c r="M459" s="1708"/>
      <c r="N459" s="1708"/>
      <c r="O459" s="1708"/>
      <c r="P459" s="1708"/>
      <c r="Q459" s="1708"/>
      <c r="R459" s="1708"/>
      <c r="S459" s="1708"/>
      <c r="T459" s="1708"/>
      <c r="U459" s="1708"/>
      <c r="V459" s="1708"/>
      <c r="W459" s="1708"/>
      <c r="X459" s="1708"/>
      <c r="Y459" s="1708"/>
      <c r="Z459" s="1708"/>
      <c r="AA459" s="1708"/>
      <c r="AB459" s="1708"/>
      <c r="AC459" s="1708"/>
      <c r="AD459" s="1708"/>
      <c r="AE459" s="1708"/>
      <c r="AF459" s="1728" t="s">
        <v>319</v>
      </c>
      <c r="AG459" s="1728"/>
      <c r="AH459" s="1728"/>
      <c r="AI459" s="1728"/>
      <c r="AJ459" s="1728"/>
      <c r="AK459" s="1728"/>
      <c r="AL459" s="1729"/>
      <c r="AM459"/>
      <c r="AN459" s="667"/>
      <c r="AO459" s="4" t="s">
        <v>1334</v>
      </c>
      <c r="AP459" s="4">
        <v>5</v>
      </c>
      <c r="AQ459" s="5"/>
    </row>
    <row r="460" spans="1:49" s="4" customFormat="1" ht="12.75" customHeight="1">
      <c r="A460" s="5"/>
      <c r="B460" s="21"/>
      <c r="C460" s="701"/>
      <c r="D460" s="21"/>
      <c r="E460" s="192"/>
      <c r="F460" s="1709"/>
      <c r="G460" s="1709"/>
      <c r="H460" s="1709"/>
      <c r="I460" s="1709"/>
      <c r="J460" s="1709"/>
      <c r="K460" s="1709"/>
      <c r="L460" s="1709"/>
      <c r="M460" s="1709"/>
      <c r="N460" s="1709"/>
      <c r="O460" s="1709"/>
      <c r="P460" s="1709"/>
      <c r="Q460" s="1709"/>
      <c r="R460" s="1709"/>
      <c r="S460" s="1709"/>
      <c r="T460" s="1709"/>
      <c r="U460" s="1709"/>
      <c r="V460" s="1709"/>
      <c r="W460" s="1709"/>
      <c r="X460" s="1709"/>
      <c r="Y460" s="1709"/>
      <c r="Z460" s="1709"/>
      <c r="AA460" s="1709"/>
      <c r="AB460" s="1709"/>
      <c r="AC460" s="1709"/>
      <c r="AD460" s="1709"/>
      <c r="AE460" s="1709"/>
      <c r="AF460" s="3"/>
      <c r="AG460" s="5"/>
      <c r="AL460" s="702"/>
      <c r="AM460"/>
      <c r="AN460" s="667"/>
      <c r="AO460" s="4" t="s">
        <v>1330</v>
      </c>
      <c r="AP460" s="4">
        <v>5</v>
      </c>
    </row>
    <row r="461" spans="1:49" s="4" customFormat="1" ht="12.75" customHeight="1">
      <c r="A461" s="5"/>
      <c r="B461" s="21"/>
      <c r="C461" s="701"/>
      <c r="D461" s="21"/>
      <c r="E461" s="192"/>
      <c r="F461" s="1709"/>
      <c r="G461" s="1709"/>
      <c r="H461" s="1709"/>
      <c r="I461" s="1709"/>
      <c r="J461" s="1709"/>
      <c r="K461" s="1709"/>
      <c r="L461" s="1709"/>
      <c r="M461" s="1709"/>
      <c r="N461" s="1709"/>
      <c r="O461" s="1709"/>
      <c r="P461" s="1709"/>
      <c r="Q461" s="1709"/>
      <c r="R461" s="1709"/>
      <c r="S461" s="1709"/>
      <c r="T461" s="1709"/>
      <c r="U461" s="1709"/>
      <c r="V461" s="1709"/>
      <c r="W461" s="1709"/>
      <c r="X461" s="1709"/>
      <c r="Y461" s="1709"/>
      <c r="Z461" s="1709"/>
      <c r="AA461" s="1709"/>
      <c r="AB461" s="1709"/>
      <c r="AC461" s="1709"/>
      <c r="AD461" s="1709"/>
      <c r="AE461" s="1709"/>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8" t="s">
        <v>1821</v>
      </c>
      <c r="G464" s="1708"/>
      <c r="H464" s="1708"/>
      <c r="I464" s="1708"/>
      <c r="J464" s="1708"/>
      <c r="K464" s="1708"/>
      <c r="L464" s="1708"/>
      <c r="M464" s="1708"/>
      <c r="N464" s="1708"/>
      <c r="O464" s="1708"/>
      <c r="P464" s="1708"/>
      <c r="Q464" s="1708"/>
      <c r="R464" s="1708"/>
      <c r="S464" s="1708"/>
      <c r="T464" s="1708"/>
      <c r="U464" s="1708"/>
      <c r="V464" s="1708"/>
      <c r="W464" s="1708"/>
      <c r="X464" s="1708"/>
      <c r="Y464" s="1708"/>
      <c r="Z464" s="1708"/>
      <c r="AA464" s="1708"/>
      <c r="AB464" s="1708"/>
      <c r="AC464" s="1708"/>
      <c r="AD464" s="1708"/>
      <c r="AE464" s="1708"/>
      <c r="AF464" s="1708"/>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9"/>
      <c r="G465" s="1709"/>
      <c r="H465" s="1709"/>
      <c r="I465" s="1709"/>
      <c r="J465" s="1709"/>
      <c r="K465" s="1709"/>
      <c r="L465" s="1709"/>
      <c r="M465" s="1709"/>
      <c r="N465" s="1709"/>
      <c r="O465" s="1709"/>
      <c r="P465" s="1709"/>
      <c r="Q465" s="1709"/>
      <c r="R465" s="1709"/>
      <c r="S465" s="1709"/>
      <c r="T465" s="1709"/>
      <c r="U465" s="1709"/>
      <c r="V465" s="1709"/>
      <c r="W465" s="1709"/>
      <c r="X465" s="1709"/>
      <c r="Y465" s="1709"/>
      <c r="Z465" s="1709"/>
      <c r="AA465" s="1709"/>
      <c r="AB465" s="1709"/>
      <c r="AC465" s="1709"/>
      <c r="AD465" s="1709"/>
      <c r="AE465" s="1709"/>
      <c r="AF465" s="1709"/>
      <c r="AL465" s="702"/>
      <c r="AM465"/>
      <c r="AN465" s="279"/>
      <c r="AS465" s="343"/>
      <c r="AW465" s="343" t="s">
        <v>975</v>
      </c>
      <c r="BA465" s="343" t="s">
        <v>976</v>
      </c>
    </row>
    <row r="466" spans="1:54" s="4" customFormat="1" ht="12.75" customHeight="1">
      <c r="A466" s="5"/>
      <c r="B466" s="21"/>
      <c r="C466" s="704"/>
      <c r="F466" s="1709"/>
      <c r="G466" s="1709"/>
      <c r="H466" s="1709"/>
      <c r="I466" s="1709"/>
      <c r="J466" s="1709"/>
      <c r="K466" s="1709"/>
      <c r="L466" s="1709"/>
      <c r="M466" s="1709"/>
      <c r="N466" s="1709"/>
      <c r="O466" s="1709"/>
      <c r="P466" s="1709"/>
      <c r="Q466" s="1709"/>
      <c r="R466" s="1709"/>
      <c r="S466" s="1709"/>
      <c r="T466" s="1709"/>
      <c r="U466" s="1709"/>
      <c r="V466" s="1709"/>
      <c r="W466" s="1709"/>
      <c r="X466" s="1709"/>
      <c r="Y466" s="1709"/>
      <c r="Z466" s="1709"/>
      <c r="AA466" s="1709"/>
      <c r="AB466" s="1709"/>
      <c r="AC466" s="1709"/>
      <c r="AD466" s="1709"/>
      <c r="AE466" s="1709"/>
      <c r="AF466" s="170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9"/>
      <c r="G467" s="1709"/>
      <c r="H467" s="1709"/>
      <c r="I467" s="1709"/>
      <c r="J467" s="1709"/>
      <c r="K467" s="1709"/>
      <c r="L467" s="1709"/>
      <c r="M467" s="1709"/>
      <c r="N467" s="1709"/>
      <c r="O467" s="1709"/>
      <c r="P467" s="1709"/>
      <c r="Q467" s="1709"/>
      <c r="R467" s="1709"/>
      <c r="S467" s="1709"/>
      <c r="T467" s="1709"/>
      <c r="U467" s="1709"/>
      <c r="V467" s="1709"/>
      <c r="W467" s="1709"/>
      <c r="X467" s="1709"/>
      <c r="Y467" s="1709"/>
      <c r="Z467" s="1709"/>
      <c r="AA467" s="1709"/>
      <c r="AB467" s="1709"/>
      <c r="AC467" s="1709"/>
      <c r="AD467" s="1709"/>
      <c r="AE467" s="1709"/>
      <c r="AF467" s="1709"/>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5" t="s">
        <v>124</v>
      </c>
      <c r="D468" s="1141"/>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88" t="s">
        <v>319</v>
      </c>
      <c r="AG468" s="1188"/>
      <c r="AH468" s="1188"/>
      <c r="AI468" s="1188"/>
      <c r="AJ468" s="1188"/>
      <c r="AK468" s="1188"/>
      <c r="AL468" s="171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88" t="s">
        <v>1257</v>
      </c>
      <c r="AF477" s="1188"/>
      <c r="AG477" s="1188"/>
      <c r="AH477" s="1188"/>
      <c r="AI477" s="1188"/>
      <c r="AJ477" s="1188"/>
      <c r="AK477" s="118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7" t="s">
        <v>124</v>
      </c>
      <c r="D483" s="1718"/>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1333</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4"/>
      <c r="E500" s="1334"/>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657</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493" t="s">
        <v>1496</v>
      </c>
      <c r="AQ507" s="1494"/>
      <c r="AR507" s="1495"/>
      <c r="AS507" s="621">
        <v>80</v>
      </c>
      <c r="AT507" s="4">
        <v>0</v>
      </c>
      <c r="AU507" s="158">
        <v>10</v>
      </c>
      <c r="AV507" s="158">
        <v>25</v>
      </c>
      <c r="AW507" s="158">
        <v>37.5</v>
      </c>
      <c r="AX507" s="158">
        <v>35</v>
      </c>
      <c r="AY507" s="158">
        <v>37.5</v>
      </c>
      <c r="AZ507" s="158">
        <v>50</v>
      </c>
      <c r="BA507" s="158">
        <v>50</v>
      </c>
      <c r="BB507" s="21"/>
      <c r="BC507" s="21"/>
      <c r="BE507" s="1493" t="s">
        <v>1496</v>
      </c>
      <c r="BF507" s="1494"/>
      <c r="BG507" s="149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974</v>
      </c>
      <c r="AI508" s="728"/>
      <c r="AJ508" s="727"/>
      <c r="AK508" s="712"/>
      <c r="AL508" s="4"/>
      <c r="AM508" s="4"/>
      <c r="AN508" s="666"/>
      <c r="AO508" s="38"/>
      <c r="AP508" s="1496"/>
      <c r="AQ508" s="1497"/>
      <c r="AR508" s="1498"/>
      <c r="AS508" s="621">
        <v>75</v>
      </c>
      <c r="AT508" s="4">
        <v>0</v>
      </c>
      <c r="AU508" s="158">
        <v>10</v>
      </c>
      <c r="AV508" s="158">
        <v>25</v>
      </c>
      <c r="AW508" s="158">
        <v>37.5</v>
      </c>
      <c r="AX508" s="158">
        <v>35</v>
      </c>
      <c r="AY508" s="158">
        <v>37.5</v>
      </c>
      <c r="AZ508" s="158">
        <v>50</v>
      </c>
      <c r="BA508" s="158">
        <v>50</v>
      </c>
      <c r="BB508" s="21"/>
      <c r="BC508" s="21"/>
      <c r="BE508" s="1496"/>
      <c r="BF508" s="1497"/>
      <c r="BG508" s="149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96"/>
      <c r="AQ509" s="1497"/>
      <c r="AR509" s="1498"/>
      <c r="AS509" s="621">
        <v>70</v>
      </c>
      <c r="AT509" s="4">
        <v>0</v>
      </c>
      <c r="AU509" s="158">
        <v>10</v>
      </c>
      <c r="AV509" s="158">
        <v>25</v>
      </c>
      <c r="AW509" s="158">
        <v>37.5</v>
      </c>
      <c r="AX509" s="158">
        <v>35</v>
      </c>
      <c r="AY509" s="158">
        <v>37.5</v>
      </c>
      <c r="AZ509" s="158">
        <v>50</v>
      </c>
      <c r="BA509" s="158">
        <v>50</v>
      </c>
      <c r="BB509" s="21"/>
      <c r="BC509" s="21"/>
      <c r="BE509" s="1496"/>
      <c r="BF509" s="1497"/>
      <c r="BG509" s="149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496"/>
      <c r="AQ510" s="1497"/>
      <c r="AR510" s="1498"/>
      <c r="AS510" s="621">
        <v>65</v>
      </c>
      <c r="AT510" s="4">
        <v>0</v>
      </c>
      <c r="AU510" s="158">
        <v>10</v>
      </c>
      <c r="AV510" s="158">
        <v>25</v>
      </c>
      <c r="AW510" s="158">
        <v>37.5</v>
      </c>
      <c r="AX510" s="158">
        <v>35</v>
      </c>
      <c r="AY510" s="158">
        <v>37.5</v>
      </c>
      <c r="AZ510" s="158">
        <v>50</v>
      </c>
      <c r="BA510" s="158">
        <v>50</v>
      </c>
      <c r="BB510" s="21"/>
      <c r="BC510" s="21"/>
      <c r="BE510" s="1496"/>
      <c r="BF510" s="1497"/>
      <c r="BG510" s="149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496"/>
      <c r="AQ511" s="1497"/>
      <c r="AR511" s="1498"/>
      <c r="AS511" s="621">
        <v>60</v>
      </c>
      <c r="AT511" s="4">
        <v>0</v>
      </c>
      <c r="AU511" s="158">
        <v>10</v>
      </c>
      <c r="AV511" s="158">
        <v>25</v>
      </c>
      <c r="AW511" s="158">
        <v>37.5</v>
      </c>
      <c r="AX511" s="158">
        <v>35</v>
      </c>
      <c r="AY511" s="158">
        <v>37.5</v>
      </c>
      <c r="AZ511" s="158">
        <v>50</v>
      </c>
      <c r="BA511" s="158">
        <v>50</v>
      </c>
      <c r="BB511" s="21"/>
      <c r="BC511" s="21"/>
      <c r="BE511" s="1496"/>
      <c r="BF511" s="1497"/>
      <c r="BG511" s="149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96"/>
      <c r="AQ512" s="1497"/>
      <c r="AR512" s="1498"/>
      <c r="AS512" s="621">
        <v>55</v>
      </c>
      <c r="AT512" s="4">
        <v>0</v>
      </c>
      <c r="AU512" s="158">
        <v>10</v>
      </c>
      <c r="AV512" s="158">
        <v>25</v>
      </c>
      <c r="AW512" s="158">
        <v>37.5</v>
      </c>
      <c r="AX512" s="158">
        <v>35</v>
      </c>
      <c r="AY512" s="158">
        <v>37.5</v>
      </c>
      <c r="AZ512" s="158">
        <v>50</v>
      </c>
      <c r="BA512" s="158">
        <v>50</v>
      </c>
      <c r="BE512" s="1496"/>
      <c r="BF512" s="1497"/>
      <c r="BG512" s="149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96"/>
      <c r="AQ513" s="1497"/>
      <c r="AR513" s="1498"/>
      <c r="AS513" s="157">
        <v>50</v>
      </c>
      <c r="AT513" s="4">
        <v>0</v>
      </c>
      <c r="AU513" s="158">
        <v>10</v>
      </c>
      <c r="AV513" s="158">
        <v>25</v>
      </c>
      <c r="AW513" s="158">
        <v>37.5</v>
      </c>
      <c r="AX513" s="158">
        <v>35</v>
      </c>
      <c r="AY513" s="158">
        <v>37.5</v>
      </c>
      <c r="AZ513" s="158">
        <v>50</v>
      </c>
      <c r="BA513" s="158">
        <v>50</v>
      </c>
      <c r="BE513" s="1496"/>
      <c r="BF513" s="1497"/>
      <c r="BG513" s="149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96"/>
      <c r="AQ514" s="1497"/>
      <c r="AR514" s="1498"/>
      <c r="AS514" s="157">
        <v>45</v>
      </c>
      <c r="AT514" s="4">
        <v>0</v>
      </c>
      <c r="AU514" s="158">
        <v>10</v>
      </c>
      <c r="AV514" s="158">
        <v>22.5</v>
      </c>
      <c r="AW514" s="158">
        <v>33.799999999999997</v>
      </c>
      <c r="AX514" s="158">
        <v>35</v>
      </c>
      <c r="AY514" s="158">
        <v>37.5</v>
      </c>
      <c r="AZ514" s="158">
        <v>50</v>
      </c>
      <c r="BA514" s="158">
        <v>50</v>
      </c>
      <c r="BE514" s="1496"/>
      <c r="BF514" s="1497"/>
      <c r="BG514" s="149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96"/>
      <c r="AQ515" s="1497"/>
      <c r="AR515" s="1498"/>
      <c r="AS515" s="157">
        <v>40</v>
      </c>
      <c r="AT515" s="4">
        <v>0</v>
      </c>
      <c r="AU515" s="158">
        <v>10</v>
      </c>
      <c r="AV515" s="158">
        <v>20</v>
      </c>
      <c r="AW515" s="158">
        <v>30</v>
      </c>
      <c r="AX515" s="158">
        <v>35</v>
      </c>
      <c r="AY515" s="158">
        <v>37.5</v>
      </c>
      <c r="AZ515" s="158">
        <v>50</v>
      </c>
      <c r="BA515" s="158">
        <v>50</v>
      </c>
      <c r="BE515" s="1496"/>
      <c r="BF515" s="1497"/>
      <c r="BG515" s="149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96"/>
      <c r="AQ516" s="1497"/>
      <c r="AR516" s="1498"/>
      <c r="AS516" s="157">
        <v>35</v>
      </c>
      <c r="AT516" s="4">
        <v>0</v>
      </c>
      <c r="AU516" s="158">
        <v>8.8000000000000007</v>
      </c>
      <c r="AV516" s="158">
        <v>17.5</v>
      </c>
      <c r="AW516" s="158">
        <v>26.3</v>
      </c>
      <c r="AX516" s="158">
        <v>35</v>
      </c>
      <c r="AY516" s="158">
        <v>37.5</v>
      </c>
      <c r="AZ516" s="158">
        <v>50</v>
      </c>
      <c r="BA516" s="158">
        <v>50</v>
      </c>
      <c r="BE516" s="1496"/>
      <c r="BF516" s="1497"/>
      <c r="BG516" s="149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334"/>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96"/>
      <c r="AQ517" s="1497"/>
      <c r="AR517" s="1498"/>
      <c r="AS517" s="157">
        <v>30</v>
      </c>
      <c r="AT517" s="4">
        <v>0</v>
      </c>
      <c r="AU517" s="158">
        <v>7.5</v>
      </c>
      <c r="AV517" s="158">
        <v>15</v>
      </c>
      <c r="AW517" s="158">
        <v>22.5</v>
      </c>
      <c r="AX517" s="158">
        <v>30</v>
      </c>
      <c r="AY517" s="158">
        <v>37.5</v>
      </c>
      <c r="AZ517" s="158">
        <v>45</v>
      </c>
      <c r="BA517" s="158">
        <v>50</v>
      </c>
      <c r="BE517" s="1496"/>
      <c r="BF517" s="1497"/>
      <c r="BG517" s="149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496"/>
      <c r="AQ518" s="1497"/>
      <c r="AR518" s="1498"/>
      <c r="AS518" s="157">
        <v>25</v>
      </c>
      <c r="AT518" s="4">
        <v>0</v>
      </c>
      <c r="AU518" s="158">
        <v>6.3</v>
      </c>
      <c r="AV518" s="158">
        <v>12.5</v>
      </c>
      <c r="AW518" s="158">
        <v>18.8</v>
      </c>
      <c r="AX518" s="158">
        <v>25</v>
      </c>
      <c r="AY518" s="158">
        <v>31.3</v>
      </c>
      <c r="AZ518" s="158">
        <v>37.5</v>
      </c>
      <c r="BA518" s="158">
        <v>50</v>
      </c>
      <c r="BE518" s="1496"/>
      <c r="BF518" s="1497"/>
      <c r="BG518" s="149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96"/>
      <c r="AQ519" s="1497"/>
      <c r="AR519" s="1498"/>
      <c r="AS519" s="157">
        <v>20</v>
      </c>
      <c r="AT519" s="4">
        <v>0</v>
      </c>
      <c r="AU519" s="158">
        <v>5</v>
      </c>
      <c r="AV519" s="158">
        <v>10</v>
      </c>
      <c r="AW519" s="158">
        <v>15</v>
      </c>
      <c r="AX519" s="158">
        <v>20</v>
      </c>
      <c r="AY519" s="158">
        <v>25</v>
      </c>
      <c r="AZ519" s="158">
        <v>30</v>
      </c>
      <c r="BA519" s="158">
        <v>40</v>
      </c>
      <c r="BE519" s="1496"/>
      <c r="BF519" s="1497"/>
      <c r="BG519" s="149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96"/>
      <c r="AQ520" s="1497"/>
      <c r="AR520" s="1498"/>
      <c r="AS520" s="157">
        <v>15</v>
      </c>
      <c r="AT520" s="4">
        <v>0</v>
      </c>
      <c r="AU520" s="158">
        <v>3.8</v>
      </c>
      <c r="AV520" s="158">
        <v>7.5</v>
      </c>
      <c r="AW520" s="158">
        <v>11.3</v>
      </c>
      <c r="AX520" s="158">
        <v>15</v>
      </c>
      <c r="AY520" s="158">
        <v>18.8</v>
      </c>
      <c r="AZ520" s="158">
        <v>22.5</v>
      </c>
      <c r="BA520" s="158">
        <v>30</v>
      </c>
      <c r="BE520" s="1496"/>
      <c r="BF520" s="1497"/>
      <c r="BG520" s="149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99"/>
      <c r="AQ521" s="1500"/>
      <c r="AR521" s="1501"/>
      <c r="AS521" s="157">
        <v>10</v>
      </c>
      <c r="AT521" s="4">
        <v>0</v>
      </c>
      <c r="AU521" s="158">
        <v>2.5</v>
      </c>
      <c r="AV521" s="158">
        <v>5</v>
      </c>
      <c r="AW521" s="158">
        <v>7.5</v>
      </c>
      <c r="AX521" s="158">
        <v>10</v>
      </c>
      <c r="AY521" s="158">
        <v>12.5</v>
      </c>
      <c r="AZ521" s="158">
        <v>15</v>
      </c>
      <c r="BA521" s="158">
        <v>20</v>
      </c>
      <c r="BE521" s="1499"/>
      <c r="BF521" s="1500"/>
      <c r="BG521" s="150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874</v>
      </c>
      <c r="G524" s="1709" t="s">
        <v>983</v>
      </c>
      <c r="H524" s="1709"/>
      <c r="I524" s="1709"/>
      <c r="J524" s="1709"/>
      <c r="K524" s="1709"/>
      <c r="L524" s="1709"/>
      <c r="M524" s="1709"/>
      <c r="N524" s="1709"/>
      <c r="O524" s="1709"/>
      <c r="P524" s="1709"/>
      <c r="Q524" s="1709"/>
      <c r="R524" s="1709"/>
      <c r="S524" s="1709"/>
      <c r="T524" s="1709"/>
      <c r="U524" s="1709"/>
      <c r="V524" s="1709"/>
      <c r="W524" s="1709"/>
      <c r="X524" s="1709"/>
      <c r="Y524" s="1709"/>
      <c r="Z524" s="1709"/>
      <c r="AA524" s="1709"/>
      <c r="AB524" s="1709"/>
      <c r="AC524" s="1709"/>
      <c r="AD524" s="1709"/>
      <c r="AE524" s="1709"/>
      <c r="AF524" s="170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0">
        <f>BJ528</f>
        <v>46</v>
      </c>
      <c r="BE524" s="174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46</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5" t="s">
        <v>124</v>
      </c>
      <c r="D528" s="1141"/>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46</v>
      </c>
      <c r="BK528" s="1775"/>
      <c r="BM528" s="1722"/>
      <c r="BN528" s="1723"/>
      <c r="BO528" s="1722"/>
      <c r="BP528" s="1723"/>
      <c r="BQ528" s="1732"/>
      <c r="BR528" s="1734"/>
      <c r="BS528" s="1732"/>
      <c r="BT528" s="1734"/>
      <c r="BU528" s="1722">
        <f>IF(T611&gt;0,1,0)</f>
        <v>0</v>
      </c>
      <c r="BV528" s="1723"/>
      <c r="BW528" s="1722">
        <f>IF(Y611&gt;=0.1,1,0)</f>
        <v>0</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42" t="s">
        <v>124</v>
      </c>
      <c r="G529" s="1142"/>
      <c r="H529" s="1142"/>
      <c r="I529" s="1142"/>
      <c r="J529" s="1142"/>
      <c r="K529" s="1142"/>
      <c r="L529" s="1142"/>
      <c r="M529" s="1142"/>
      <c r="N529" s="1142"/>
      <c r="O529" s="1142"/>
      <c r="P529" s="1142"/>
      <c r="Q529" s="1142"/>
      <c r="R529" s="1142"/>
      <c r="S529" s="1142"/>
      <c r="T529" s="1142"/>
      <c r="U529" s="1142"/>
      <c r="V529" s="1142"/>
      <c r="W529" s="1142"/>
      <c r="X529" s="1142"/>
      <c r="Y529" s="1142"/>
      <c r="Z529" s="1142"/>
      <c r="AA529" s="1142"/>
      <c r="AB529" s="1142"/>
      <c r="AC529" s="1142"/>
      <c r="AD529" s="1142"/>
      <c r="AE529" s="1142"/>
      <c r="AF529" s="1142"/>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1</v>
      </c>
      <c r="BZ529" s="1734"/>
      <c r="CA529" s="1732">
        <f>IF(Y612&gt;=0.1,1,0)</f>
        <v>1</v>
      </c>
      <c r="CB529" s="1734"/>
      <c r="CC529" s="1722"/>
      <c r="CD529" s="1723"/>
      <c r="CE529" s="1722"/>
      <c r="CF529" s="1723"/>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1</v>
      </c>
      <c r="CD530" s="1723"/>
      <c r="CE530" s="1722">
        <f>IF(Y613&gt;=0.1,1,0)</f>
        <v>1</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0</v>
      </c>
      <c r="BR531" s="1723"/>
      <c r="BS531" s="1722">
        <f>SUM(BS526:BT530)</f>
        <v>0</v>
      </c>
      <c r="BT531" s="1723"/>
      <c r="BU531" s="1722">
        <f>SUM(BU526:BV530)</f>
        <v>0</v>
      </c>
      <c r="BV531" s="1723"/>
      <c r="BW531" s="1722">
        <f>SUM(BW526:BX530)</f>
        <v>0</v>
      </c>
      <c r="BX531" s="1723"/>
      <c r="BY531" s="1722">
        <f>SUM(BY526:BZ530)</f>
        <v>1</v>
      </c>
      <c r="BZ531" s="1723"/>
      <c r="CA531" s="1722">
        <f>SUM(CA526:CB530)</f>
        <v>1</v>
      </c>
      <c r="CB531" s="1723"/>
      <c r="CC531" s="1722">
        <f>SUM(CC526:CD530)</f>
        <v>1</v>
      </c>
      <c r="CD531" s="1723"/>
      <c r="CE531" s="1722">
        <f>SUM(CE526:CF530)</f>
        <v>1</v>
      </c>
      <c r="CF531" s="172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0</v>
      </c>
      <c r="BR532" s="1733"/>
      <c r="BS532" s="1733"/>
      <c r="BT532" s="1734"/>
      <c r="BU532" s="1732">
        <f>SUM(BU531:BX531)</f>
        <v>0</v>
      </c>
      <c r="BV532" s="1733"/>
      <c r="BW532" s="1733"/>
      <c r="BX532" s="1734"/>
      <c r="BY532" s="1732">
        <f>SUM(BY531:CB531)</f>
        <v>2</v>
      </c>
      <c r="BZ532" s="1733"/>
      <c r="CA532" s="1733"/>
      <c r="CB532" s="1734"/>
      <c r="CC532" s="1732">
        <f>SUM(CC531:CF531)</f>
        <v>2</v>
      </c>
      <c r="CD532" s="1733"/>
      <c r="CE532" s="1733"/>
      <c r="CF532" s="173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9">
        <f>RANK(T609,$T$609:$X$613,0)+COUNTIF($T$609:$X$613,T609)-1</f>
        <v>5</v>
      </c>
      <c r="AQ533" s="1700"/>
      <c r="AR533" s="1700"/>
      <c r="AS533" s="1700"/>
      <c r="AT533" s="1701"/>
      <c r="AU533" s="1699">
        <f>RANK(Y609,$Y$609:$AC$613,0)+COUNTIF($Y$609:$AC$613,Y609)-1</f>
        <v>5</v>
      </c>
      <c r="AV533" s="1700"/>
      <c r="AW533" s="1700"/>
      <c r="AX533" s="1700"/>
      <c r="AY533" s="1701"/>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9">
        <f>RANK(T610,$T$609:$X$613,0)+COUNTIF($T$609:$X$613,T610)-1</f>
        <v>5</v>
      </c>
      <c r="AQ534" s="1700"/>
      <c r="AR534" s="1700"/>
      <c r="AS534" s="1700"/>
      <c r="AT534" s="1701"/>
      <c r="AU534" s="1699">
        <f>RANK(Y610,$Y$609:$AC$613,0)+COUNTIF($Y$609:$AC$613,Y610)-1</f>
        <v>5</v>
      </c>
      <c r="AV534" s="1700"/>
      <c r="AW534" s="1700"/>
      <c r="AX534" s="1700"/>
      <c r="AY534" s="1701"/>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9">
        <f>RANK(T611,$T$609:$X$613,0)+COUNTIF($T$609:$X$613,T611)-1</f>
        <v>5</v>
      </c>
      <c r="AQ535" s="1700"/>
      <c r="AR535" s="1700"/>
      <c r="AS535" s="1700"/>
      <c r="AT535" s="1701"/>
      <c r="AU535" s="1699">
        <f>RANK(Y611,$Y$609:$AC$613,0)+COUNTIF($Y$609:$AC$613,Y611)-1</f>
        <v>5</v>
      </c>
      <c r="AV535" s="1700"/>
      <c r="AW535" s="1700"/>
      <c r="AX535" s="1700"/>
      <c r="AY535" s="1701"/>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9">
        <f>RANK(T612,$T$609:$X$613,0)+COUNTIF($T$609:$X$613,T612)-1</f>
        <v>2</v>
      </c>
      <c r="AQ536" s="1700"/>
      <c r="AR536" s="1700"/>
      <c r="AS536" s="1700"/>
      <c r="AT536" s="1701"/>
      <c r="AU536" s="1699">
        <f>RANK(Y612,$Y$609:$AC$613,0)+COUNTIF($Y$609:$AC$613,Y612)-1</f>
        <v>2</v>
      </c>
      <c r="AV536" s="1700"/>
      <c r="AW536" s="1700"/>
      <c r="AX536" s="1700"/>
      <c r="AY536" s="1701"/>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9">
        <f>RANK(T613,$T$609:$X$613,0)+COUNTIF($T$609:$X$613,T613)-1</f>
        <v>1</v>
      </c>
      <c r="AQ537" s="1700"/>
      <c r="AR537" s="1700"/>
      <c r="AS537" s="1700"/>
      <c r="AT537" s="1701"/>
      <c r="AU537" s="1699">
        <f>RANK(Y613,$Y$609:$AC$613,0)+COUNTIF($Y$609:$AC$613,Y613)-1</f>
        <v>2</v>
      </c>
      <c r="AV537" s="1700"/>
      <c r="AW537" s="1700"/>
      <c r="AX537" s="1700"/>
      <c r="AY537" s="1701"/>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5">
        <f>SUM(AG484:AG529)</f>
        <v>0</v>
      </c>
      <c r="AL540" s="1266"/>
      <c r="AM540" s="1267"/>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2">
        <f>SUM(O609:S613)</f>
        <v>46</v>
      </c>
      <c r="AZ541" s="1723"/>
      <c r="CG541"/>
      <c r="CH541" s="1853" t="s">
        <v>775</v>
      </c>
      <c r="CI541" s="1091"/>
      <c r="CJ541" s="1091"/>
      <c r="CK541" s="109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2" t="str">
        <f>IF(AY541=BK568,"passed","failed")</f>
        <v>passed</v>
      </c>
      <c r="AT542" s="1735"/>
      <c r="AU542" s="1723"/>
      <c r="AV542" s="149"/>
      <c r="AW542" s="149"/>
      <c r="AX542" s="149"/>
      <c r="AY542" s="149"/>
      <c r="AZ542" s="150"/>
      <c r="CG542"/>
      <c r="CH542" s="1093"/>
      <c r="CI542" s="1094"/>
      <c r="CJ542" s="1094"/>
      <c r="CK542" s="109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6" t="s">
        <v>365</v>
      </c>
      <c r="AF543" s="1706"/>
      <c r="AG543" s="1706"/>
      <c r="AH543" s="1706"/>
      <c r="AI543" s="1706"/>
      <c r="AJ543" s="1706"/>
      <c r="AK543" s="1706"/>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093"/>
      <c r="CI543" s="1094"/>
      <c r="CJ543" s="1094"/>
      <c r="CK543" s="109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093"/>
      <c r="CI544" s="1094"/>
      <c r="CJ544" s="1094"/>
      <c r="CK544" s="1095"/>
    </row>
    <row r="545" spans="1:89" s="4" customFormat="1" ht="12.75" customHeight="1">
      <c r="A545" s="3"/>
      <c r="B545" s="1675" t="s">
        <v>2303</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79"/>
      <c r="AP545" s="431" t="s">
        <v>613</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096"/>
      <c r="CI545" s="1097"/>
      <c r="CJ545" s="1097"/>
      <c r="CK545" s="1098"/>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1"/>
      <c r="AL546" s="161"/>
      <c r="AM546" s="161"/>
      <c r="AN546" s="279"/>
      <c r="AP546" s="434" t="s">
        <v>611</v>
      </c>
      <c r="AQ546" s="435"/>
      <c r="AR546" s="435"/>
      <c r="AS546" s="435"/>
      <c r="AT546" s="435"/>
      <c r="AU546" s="1748">
        <f>ROUNDUP(BK568*0.1,0)</f>
        <v>5</v>
      </c>
      <c r="AV546" s="1750"/>
      <c r="AW546" s="435"/>
      <c r="AX546" s="435">
        <f>AU546-AP548</f>
        <v>-41</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0"/>
      <c r="AI548" s="160"/>
      <c r="AJ548" s="160"/>
      <c r="AK548" s="161"/>
      <c r="AL548" s="161"/>
      <c r="AM548" s="161"/>
      <c r="AN548" s="279"/>
      <c r="AP548" s="1741">
        <f>SUM(T609:X613)</f>
        <v>46</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0"/>
      <c r="AI549" s="160"/>
      <c r="AJ549" s="160"/>
      <c r="AK549" s="161"/>
      <c r="AL549" s="161"/>
      <c r="AM549" s="161"/>
      <c r="AN549" s="279"/>
      <c r="AP549" s="437"/>
      <c r="AQ549" s="438"/>
      <c r="AR549" s="438"/>
      <c r="AS549" s="438"/>
      <c r="AT549" s="439" t="s">
        <v>606</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3.7"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4" customHeight="1">
      <c r="B551" s="1756" t="s">
        <v>1497</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6" t="s">
        <v>1750</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606</v>
      </c>
      <c r="AU554" s="149"/>
      <c r="AV554" s="1722" t="str">
        <f>IF(BJ590&gt;0,"failed","passed")</f>
        <v>failed</v>
      </c>
      <c r="AW554" s="1735"/>
      <c r="AX554" s="1735"/>
      <c r="AY554" s="1723"/>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8" t="s">
        <v>1498</v>
      </c>
      <c r="R557" s="1698"/>
      <c r="S557" s="1698"/>
      <c r="T557" s="1698"/>
      <c r="U557" s="1698"/>
      <c r="V557" s="1698"/>
      <c r="W557" s="1698"/>
      <c r="X557" s="1698"/>
      <c r="Y557" s="1698"/>
      <c r="Z557" s="1698"/>
      <c r="AA557" s="1698"/>
      <c r="AB557" s="1698"/>
      <c r="AC557" s="1698"/>
      <c r="AD557" s="1698"/>
      <c r="AE557" s="1698"/>
      <c r="AF557" s="1698"/>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8"/>
      <c r="R558" s="1698"/>
      <c r="S558" s="1698"/>
      <c r="T558" s="1698"/>
      <c r="U558" s="1698"/>
      <c r="V558" s="1698"/>
      <c r="W558" s="1698"/>
      <c r="X558" s="1698"/>
      <c r="Y558" s="1698"/>
      <c r="Z558" s="1698"/>
      <c r="AA558" s="1698"/>
      <c r="AB558" s="1698"/>
      <c r="AC558" s="1698"/>
      <c r="AD558" s="1698"/>
      <c r="AE558" s="1698"/>
      <c r="AF558" s="1698"/>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2" t="s">
        <v>1749</v>
      </c>
      <c r="R559" s="1673"/>
      <c r="S559" s="1703" t="s">
        <v>204</v>
      </c>
      <c r="T559" s="1703"/>
      <c r="U559" s="1672">
        <v>0.5</v>
      </c>
      <c r="V559" s="1673"/>
      <c r="W559" s="1672">
        <v>0.45</v>
      </c>
      <c r="X559" s="1673"/>
      <c r="Y559" s="1672">
        <v>0.4</v>
      </c>
      <c r="Z559" s="1673"/>
      <c r="AA559" s="1672">
        <v>0.35</v>
      </c>
      <c r="AB559" s="1673"/>
      <c r="AC559" s="1746">
        <v>0.3</v>
      </c>
      <c r="AD559" s="1747"/>
      <c r="AE559" s="1672">
        <v>0.2</v>
      </c>
      <c r="AF559" s="16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7"/>
      <c r="P560" s="1678"/>
      <c r="Q560" s="1683"/>
      <c r="R560" s="1682"/>
      <c r="S560" s="1866"/>
      <c r="T560" s="1866"/>
      <c r="U560" s="1682"/>
      <c r="V560" s="1682"/>
      <c r="W560" s="1682"/>
      <c r="X560" s="1682"/>
      <c r="Y560" s="1682"/>
      <c r="Z560" s="1682"/>
      <c r="AA560" s="1862"/>
      <c r="AB560" s="1862"/>
      <c r="AC560" s="1682"/>
      <c r="AD560" s="1682"/>
      <c r="AE560" s="1744"/>
      <c r="AF560" s="1745"/>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77"/>
      <c r="P561" s="1678"/>
      <c r="Q561" s="1679"/>
      <c r="R561" s="1676"/>
      <c r="S561" s="1676"/>
      <c r="T561" s="1676"/>
      <c r="U561" s="1676"/>
      <c r="V561" s="1676"/>
      <c r="W561" s="1676"/>
      <c r="X561" s="1676"/>
      <c r="Y561" s="1674"/>
      <c r="Z561" s="1674"/>
      <c r="AA561" s="1676"/>
      <c r="AB561" s="1676"/>
      <c r="AC561" s="1674"/>
      <c r="AD561" s="1674"/>
      <c r="AE561" s="1680"/>
      <c r="AF561" s="1681"/>
      <c r="AN561" s="279"/>
      <c r="AP561"/>
      <c r="AQ561"/>
      <c r="AR561"/>
      <c r="AS561"/>
      <c r="AT561"/>
      <c r="AU561"/>
      <c r="AV561"/>
      <c r="AW561"/>
      <c r="AX561"/>
      <c r="AY561"/>
    </row>
    <row r="562" spans="1:96" s="4" customFormat="1" ht="12.75" customHeight="1">
      <c r="B562" s="63"/>
      <c r="I562" s="218"/>
      <c r="J562" s="160"/>
      <c r="N562" s="5"/>
      <c r="O562" s="1677"/>
      <c r="P562" s="1678"/>
      <c r="Q562" s="1679"/>
      <c r="R562" s="1676"/>
      <c r="S562" s="1676"/>
      <c r="T562" s="1676"/>
      <c r="U562" s="1676"/>
      <c r="V562" s="1676"/>
      <c r="W562" s="1676"/>
      <c r="X562" s="1676"/>
      <c r="Y562" s="1676"/>
      <c r="Z562" s="1676"/>
      <c r="AA562" s="1674"/>
      <c r="AB562" s="1674"/>
      <c r="AC562" s="1676"/>
      <c r="AD562" s="1676"/>
      <c r="AE562" s="1754"/>
      <c r="AF562" s="1755"/>
      <c r="AN562" s="279"/>
      <c r="AP562" s="151" t="s">
        <v>607</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77"/>
      <c r="P563" s="1678"/>
      <c r="Q563" s="1679"/>
      <c r="R563" s="1676"/>
      <c r="S563" s="1676"/>
      <c r="T563" s="1676"/>
      <c r="U563" s="1676"/>
      <c r="V563" s="1676"/>
      <c r="W563" s="1676"/>
      <c r="X563" s="1676"/>
      <c r="Y563" s="1674"/>
      <c r="Z563" s="1674"/>
      <c r="AA563" s="1676"/>
      <c r="AB563" s="1676"/>
      <c r="AC563" s="1674"/>
      <c r="AD563" s="1674"/>
      <c r="AE563" s="1680"/>
      <c r="AF563" s="1681"/>
      <c r="AN563" s="279"/>
    </row>
    <row r="564" spans="1:96" s="4" customFormat="1" ht="12.75" customHeight="1">
      <c r="B564" s="63"/>
      <c r="I564" s="218"/>
      <c r="J564" s="160"/>
      <c r="N564" s="5"/>
      <c r="O564" s="1677"/>
      <c r="P564" s="1678"/>
      <c r="Q564" s="1679"/>
      <c r="R564" s="1676"/>
      <c r="S564" s="1676"/>
      <c r="T564" s="1676"/>
      <c r="U564" s="1676"/>
      <c r="V564" s="1676"/>
      <c r="W564" s="1674"/>
      <c r="X564" s="1674"/>
      <c r="Y564" s="1676"/>
      <c r="Z564" s="1676"/>
      <c r="AA564" s="1674"/>
      <c r="AB564" s="1674"/>
      <c r="AC564" s="1676"/>
      <c r="AD564" s="1676"/>
      <c r="AE564" s="1754"/>
      <c r="AF564" s="1755"/>
      <c r="AN564" s="279"/>
    </row>
    <row r="565" spans="1:96" s="4" customFormat="1" ht="12.75" customHeight="1">
      <c r="B565" s="63"/>
      <c r="I565" s="218"/>
      <c r="J565" s="160"/>
      <c r="N565" s="5"/>
      <c r="O565" s="1677"/>
      <c r="P565" s="1678"/>
      <c r="Q565" s="1679"/>
      <c r="R565" s="1676"/>
      <c r="S565" s="1676"/>
      <c r="T565" s="1676"/>
      <c r="U565" s="1676"/>
      <c r="V565" s="1676"/>
      <c r="W565" s="1676"/>
      <c r="X565" s="1676"/>
      <c r="Y565" s="1674"/>
      <c r="Z565" s="1674"/>
      <c r="AA565" s="1676"/>
      <c r="AB565" s="1676"/>
      <c r="AC565" s="1674"/>
      <c r="AD565" s="1674"/>
      <c r="AE565" s="1680"/>
      <c r="AF565" s="1681"/>
      <c r="AN565" s="279"/>
      <c r="AU565" s="21"/>
      <c r="AV565" s="21"/>
      <c r="AW565" s="8"/>
      <c r="AX565" s="9"/>
      <c r="AY565" s="9"/>
      <c r="AZ565" s="60" t="s">
        <v>1126</v>
      </c>
      <c r="BA565" s="1844" t="s">
        <v>714</v>
      </c>
      <c r="BB565" s="1845"/>
      <c r="BC565" s="1845"/>
      <c r="BD565" s="1845"/>
      <c r="BE565" s="1846"/>
      <c r="BF565" s="1863">
        <f>SUM(O609:S613)</f>
        <v>46</v>
      </c>
      <c r="BG565" s="1864"/>
      <c r="BH565" s="1864"/>
      <c r="BI565" s="1864"/>
      <c r="BJ565" s="1865"/>
      <c r="BK565" s="1690">
        <f>SUM(T609:X613)</f>
        <v>46</v>
      </c>
      <c r="BL565" s="1691"/>
      <c r="BM565" s="1691"/>
      <c r="BN565" s="1691"/>
      <c r="BO565" s="1692"/>
    </row>
    <row r="566" spans="1:96" s="4" customFormat="1" ht="12.75" customHeight="1">
      <c r="B566" s="35"/>
      <c r="I566" s="1496" t="s">
        <v>1496</v>
      </c>
      <c r="J566" s="1497"/>
      <c r="K566" s="1497"/>
      <c r="L566" s="1497"/>
      <c r="M566" s="1497"/>
      <c r="N566" s="1498"/>
      <c r="O566" s="1677">
        <v>0.5</v>
      </c>
      <c r="P566" s="1678"/>
      <c r="Q566" s="1903"/>
      <c r="R566" s="1704"/>
      <c r="S566" s="1676"/>
      <c r="T566" s="1676"/>
      <c r="U566" s="1702" t="s">
        <v>1500</v>
      </c>
      <c r="V566" s="1702"/>
      <c r="W566" s="1905">
        <v>37.5</v>
      </c>
      <c r="X566" s="1905"/>
      <c r="Y566" s="1704"/>
      <c r="Z566" s="1704"/>
      <c r="AA566" s="1905"/>
      <c r="AB566" s="1905"/>
      <c r="AC566" s="1704"/>
      <c r="AD566" s="1704"/>
      <c r="AE566" s="1854"/>
      <c r="AF566" s="1855"/>
      <c r="AN566" s="279"/>
      <c r="CL566"/>
      <c r="CM566"/>
    </row>
    <row r="567" spans="1:96" s="4" customFormat="1" ht="12.75" customHeight="1">
      <c r="B567" s="118"/>
      <c r="C567" s="61"/>
      <c r="I567" s="1496"/>
      <c r="J567" s="1497"/>
      <c r="K567" s="1497"/>
      <c r="L567" s="1497"/>
      <c r="M567" s="1497"/>
      <c r="N567" s="1498"/>
      <c r="O567" s="1677">
        <v>0.45</v>
      </c>
      <c r="P567" s="1678"/>
      <c r="Q567" s="1679"/>
      <c r="R567" s="1676"/>
      <c r="S567" s="1676"/>
      <c r="T567" s="1676"/>
      <c r="U567" s="1766" t="s">
        <v>130</v>
      </c>
      <c r="V567" s="1766"/>
      <c r="W567" s="1674">
        <v>33.799999999999997</v>
      </c>
      <c r="X567" s="1674"/>
      <c r="Y567" s="1674"/>
      <c r="Z567" s="1674"/>
      <c r="AA567" s="1676"/>
      <c r="AB567" s="1676"/>
      <c r="AC567" s="1674"/>
      <c r="AD567" s="1674"/>
      <c r="AE567" s="1680"/>
      <c r="AF567" s="1681"/>
      <c r="AN567" s="279"/>
      <c r="CL567"/>
      <c r="CM567"/>
    </row>
    <row r="568" spans="1:96" s="4" customFormat="1" ht="12.75" customHeight="1">
      <c r="B568" s="5"/>
      <c r="C568" s="5"/>
      <c r="D568" s="5"/>
      <c r="E568" s="5"/>
      <c r="I568" s="1496"/>
      <c r="J568" s="1497"/>
      <c r="K568" s="1497"/>
      <c r="L568" s="1497"/>
      <c r="M568" s="1497"/>
      <c r="N568" s="1498"/>
      <c r="O568" s="1677">
        <v>0.4</v>
      </c>
      <c r="P568" s="1678"/>
      <c r="Q568" s="1679"/>
      <c r="R568" s="1676"/>
      <c r="S568" s="1766" t="s">
        <v>1499</v>
      </c>
      <c r="T568" s="1766"/>
      <c r="U568" s="1674">
        <v>20</v>
      </c>
      <c r="V568" s="1674"/>
      <c r="W568" s="1674">
        <v>30</v>
      </c>
      <c r="X568" s="1674"/>
      <c r="Y568" s="1674"/>
      <c r="Z568" s="1674"/>
      <c r="AA568" s="1674"/>
      <c r="AB568" s="1674"/>
      <c r="AC568" s="1674"/>
      <c r="AD568" s="1674"/>
      <c r="AE568" s="1680"/>
      <c r="AF568" s="168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46</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96"/>
      <c r="J569" s="1497"/>
      <c r="K569" s="1497"/>
      <c r="L569" s="1497"/>
      <c r="M569" s="1497"/>
      <c r="N569" s="1498"/>
      <c r="O569" s="1677">
        <v>0.35</v>
      </c>
      <c r="P569" s="1678"/>
      <c r="Q569" s="1679"/>
      <c r="R569" s="1676"/>
      <c r="S569" s="1766" t="s">
        <v>1751</v>
      </c>
      <c r="T569" s="1766"/>
      <c r="U569" s="1674">
        <v>17.5</v>
      </c>
      <c r="V569" s="1674"/>
      <c r="W569" s="1674">
        <v>26.3</v>
      </c>
      <c r="X569" s="1674"/>
      <c r="Y569" s="1674">
        <v>35</v>
      </c>
      <c r="Z569" s="1674"/>
      <c r="AA569" s="1674"/>
      <c r="AB569" s="1674"/>
      <c r="AC569" s="1674">
        <v>50</v>
      </c>
      <c r="AD569" s="1674"/>
      <c r="AE569" s="1680"/>
      <c r="AF569" s="168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96"/>
      <c r="J570" s="1497"/>
      <c r="K570" s="1497"/>
      <c r="L570" s="1497"/>
      <c r="M570" s="1497"/>
      <c r="N570" s="1498"/>
      <c r="O570" s="1677">
        <v>0.3</v>
      </c>
      <c r="P570" s="1678"/>
      <c r="Q570" s="1679"/>
      <c r="R570" s="1676"/>
      <c r="S570" s="1766" t="s">
        <v>1752</v>
      </c>
      <c r="T570" s="1766"/>
      <c r="U570" s="1674">
        <v>15</v>
      </c>
      <c r="V570" s="1674"/>
      <c r="W570" s="1674">
        <v>22.5</v>
      </c>
      <c r="X570" s="1674"/>
      <c r="Y570" s="1674">
        <v>30</v>
      </c>
      <c r="Z570" s="1674"/>
      <c r="AA570" s="1674">
        <v>37.5</v>
      </c>
      <c r="AB570" s="1674"/>
      <c r="AC570" s="1674">
        <v>45</v>
      </c>
      <c r="AD570" s="1674"/>
      <c r="AE570" s="1680"/>
      <c r="AF570" s="168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496"/>
      <c r="J571" s="1497"/>
      <c r="K571" s="1497"/>
      <c r="L571" s="1497"/>
      <c r="M571" s="1497"/>
      <c r="N571" s="1498"/>
      <c r="O571" s="1677">
        <v>0.25</v>
      </c>
      <c r="P571" s="1678"/>
      <c r="Q571" s="1679"/>
      <c r="R571" s="1676"/>
      <c r="S571" s="1766" t="s">
        <v>1753</v>
      </c>
      <c r="T571" s="1766"/>
      <c r="U571" s="1674">
        <v>12.5</v>
      </c>
      <c r="V571" s="1674"/>
      <c r="W571" s="1674">
        <v>18.8</v>
      </c>
      <c r="X571" s="1674"/>
      <c r="Y571" s="1674">
        <v>25</v>
      </c>
      <c r="Z571" s="1674"/>
      <c r="AA571" s="1674">
        <v>31.3</v>
      </c>
      <c r="AB571" s="1674"/>
      <c r="AC571" s="1674">
        <v>37.5</v>
      </c>
      <c r="AD571" s="1674"/>
      <c r="AE571" s="1680">
        <v>50</v>
      </c>
      <c r="AF571" s="1681"/>
      <c r="AN571" s="279"/>
      <c r="AP571" s="1786" t="str">
        <f t="shared" ref="AP571:AP577" si="0">J608</f>
        <v>5 BR</v>
      </c>
      <c r="AQ571" s="1787"/>
      <c r="AR571" s="1787"/>
      <c r="AS571" s="1787"/>
      <c r="AT571" s="1788"/>
      <c r="AU571" s="1438">
        <f t="shared" ref="AU571:AU576" si="1">O608</f>
        <v>0</v>
      </c>
      <c r="AV571" s="1439"/>
      <c r="AW571" s="1439"/>
      <c r="AX571" s="1439"/>
      <c r="AY571" s="1440"/>
      <c r="AZ571" s="1438">
        <f t="shared" ref="AZ571:AZ576" si="2">T608</f>
        <v>0</v>
      </c>
      <c r="BA571" s="1439"/>
      <c r="BB571" s="1439"/>
      <c r="BC571" s="1439"/>
      <c r="BD571" s="1440"/>
      <c r="BE571" s="1783">
        <f t="shared" ref="BE571:BE576" si="3">Y608</f>
        <v>0</v>
      </c>
      <c r="BF571" s="1784"/>
      <c r="BG571" s="1784"/>
      <c r="BH571" s="1784"/>
      <c r="BI571" s="1785"/>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18"/>
      <c r="B572" s="5"/>
      <c r="C572" s="5"/>
      <c r="D572" s="5"/>
      <c r="E572" s="5"/>
      <c r="I572" s="1496"/>
      <c r="J572" s="1497"/>
      <c r="K572" s="1497"/>
      <c r="L572" s="1497"/>
      <c r="M572" s="1497"/>
      <c r="N572" s="1498"/>
      <c r="O572" s="1677">
        <v>0.2</v>
      </c>
      <c r="P572" s="1678"/>
      <c r="Q572" s="1679"/>
      <c r="R572" s="1676"/>
      <c r="S572" s="1812" t="s">
        <v>1756</v>
      </c>
      <c r="T572" s="1812"/>
      <c r="U572" s="1674">
        <v>10</v>
      </c>
      <c r="V572" s="1674"/>
      <c r="W572" s="1674">
        <v>15</v>
      </c>
      <c r="X572" s="1674"/>
      <c r="Y572" s="1674">
        <v>20</v>
      </c>
      <c r="Z572" s="1674"/>
      <c r="AA572" s="1674">
        <v>25</v>
      </c>
      <c r="AB572" s="1674"/>
      <c r="AC572" s="1674">
        <v>30</v>
      </c>
      <c r="AD572" s="1674"/>
      <c r="AE572" s="1680">
        <v>40</v>
      </c>
      <c r="AF572" s="1681"/>
      <c r="AN572" s="279"/>
      <c r="AP572" s="1786" t="str">
        <f t="shared" si="0"/>
        <v>4 BR</v>
      </c>
      <c r="AQ572" s="1787"/>
      <c r="AR572" s="1787"/>
      <c r="AS572" s="1787"/>
      <c r="AT572" s="1788"/>
      <c r="AU572" s="1438">
        <f t="shared" si="1"/>
        <v>0</v>
      </c>
      <c r="AV572" s="1439"/>
      <c r="AW572" s="1439"/>
      <c r="AX572" s="1439"/>
      <c r="AY572" s="1440"/>
      <c r="AZ572" s="1438">
        <f t="shared" si="2"/>
        <v>0</v>
      </c>
      <c r="BA572" s="1439"/>
      <c r="BB572" s="1439"/>
      <c r="BC572" s="1439"/>
      <c r="BD572" s="1440"/>
      <c r="BE572" s="1783">
        <f t="shared" si="3"/>
        <v>0</v>
      </c>
      <c r="BF572" s="1784"/>
      <c r="BG572" s="1784"/>
      <c r="BH572" s="1784"/>
      <c r="BI572" s="1785"/>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18"/>
      <c r="B573" s="5"/>
      <c r="C573" s="5"/>
      <c r="D573" s="5"/>
      <c r="E573" s="5"/>
      <c r="I573" s="1496"/>
      <c r="J573" s="1497"/>
      <c r="K573" s="1497"/>
      <c r="L573" s="1497"/>
      <c r="M573" s="1497"/>
      <c r="N573" s="1498"/>
      <c r="O573" s="1677">
        <v>0.15</v>
      </c>
      <c r="P573" s="1678"/>
      <c r="Q573" s="1679"/>
      <c r="R573" s="1676"/>
      <c r="S573" s="1766" t="s">
        <v>1754</v>
      </c>
      <c r="T573" s="1766"/>
      <c r="U573" s="1674">
        <v>7.5</v>
      </c>
      <c r="V573" s="1674"/>
      <c r="W573" s="1674">
        <v>11.3</v>
      </c>
      <c r="X573" s="1674"/>
      <c r="Y573" s="1674">
        <v>15</v>
      </c>
      <c r="Z573" s="1674"/>
      <c r="AA573" s="1674">
        <v>18.8</v>
      </c>
      <c r="AB573" s="1674"/>
      <c r="AC573" s="1674">
        <v>22.5</v>
      </c>
      <c r="AD573" s="1674"/>
      <c r="AE573" s="1680">
        <v>30</v>
      </c>
      <c r="AF573" s="1681"/>
      <c r="AN573" s="279"/>
      <c r="AP573" s="1786" t="str">
        <f t="shared" si="0"/>
        <v>3 BR</v>
      </c>
      <c r="AQ573" s="1787"/>
      <c r="AR573" s="1787"/>
      <c r="AS573" s="1787"/>
      <c r="AT573" s="1788"/>
      <c r="AU573" s="1438">
        <f t="shared" si="1"/>
        <v>0</v>
      </c>
      <c r="AV573" s="1439"/>
      <c r="AW573" s="1439"/>
      <c r="AX573" s="1439"/>
      <c r="AY573" s="1440"/>
      <c r="AZ573" s="1438">
        <f t="shared" si="2"/>
        <v>0</v>
      </c>
      <c r="BA573" s="1439"/>
      <c r="BB573" s="1439"/>
      <c r="BC573" s="1439"/>
      <c r="BD573" s="1440"/>
      <c r="BE573" s="1783">
        <f t="shared" si="3"/>
        <v>0</v>
      </c>
      <c r="BF573" s="1784"/>
      <c r="BG573" s="1784"/>
      <c r="BH573" s="1784"/>
      <c r="BI573" s="1785"/>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499"/>
      <c r="J574" s="1500"/>
      <c r="K574" s="1500"/>
      <c r="L574" s="1500"/>
      <c r="M574" s="1500"/>
      <c r="N574" s="1501"/>
      <c r="O574" s="1677">
        <v>0.1</v>
      </c>
      <c r="P574" s="1678"/>
      <c r="Q574" s="1810"/>
      <c r="R574" s="1811"/>
      <c r="S574" s="1766" t="s">
        <v>1755</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438">
        <f t="shared" si="1"/>
        <v>0</v>
      </c>
      <c r="AV574" s="1439"/>
      <c r="AW574" s="1439"/>
      <c r="AX574" s="1439"/>
      <c r="AY574" s="1440"/>
      <c r="AZ574" s="1438">
        <f t="shared" si="2"/>
        <v>0</v>
      </c>
      <c r="BA574" s="1439"/>
      <c r="BB574" s="1439"/>
      <c r="BC574" s="1439"/>
      <c r="BD574" s="1440"/>
      <c r="BE574" s="1783">
        <f t="shared" si="3"/>
        <v>0</v>
      </c>
      <c r="BF574" s="1784"/>
      <c r="BG574" s="1784"/>
      <c r="BH574" s="1784"/>
      <c r="BI574" s="1785"/>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554" t="s">
        <v>939</v>
      </c>
      <c r="F575" s="1534"/>
      <c r="G575" s="1534"/>
      <c r="H575" s="1534"/>
      <c r="I575" s="1534"/>
      <c r="J575" s="1534"/>
      <c r="K575" s="1534"/>
      <c r="L575" s="1534"/>
      <c r="M575" s="1534"/>
      <c r="N575" s="1534"/>
      <c r="O575" s="1534"/>
      <c r="P575" s="1534"/>
      <c r="Q575" s="1534"/>
      <c r="R575" s="1534"/>
      <c r="S575" s="1534"/>
      <c r="T575" s="1534"/>
      <c r="U575" s="1534"/>
      <c r="V575" s="1534"/>
      <c r="W575" s="1534"/>
      <c r="X575" s="1534"/>
      <c r="Y575" s="1534"/>
      <c r="Z575" s="1534"/>
      <c r="AA575" s="1534"/>
      <c r="AB575" s="1534"/>
      <c r="AC575" s="1534"/>
      <c r="AD575" s="1534"/>
      <c r="AE575" s="1534"/>
      <c r="AF575" s="1534"/>
      <c r="AG575" s="1534"/>
      <c r="AH575" s="1535"/>
      <c r="AK575" s="165"/>
      <c r="AL575" s="165"/>
      <c r="AM575" s="5"/>
      <c r="AN575" s="279"/>
      <c r="AP575" s="1786" t="str">
        <f t="shared" si="0"/>
        <v>1 BR</v>
      </c>
      <c r="AQ575" s="1787"/>
      <c r="AR575" s="1787"/>
      <c r="AS575" s="1787"/>
      <c r="AT575" s="1788"/>
      <c r="AU575" s="1438">
        <f t="shared" si="1"/>
        <v>21</v>
      </c>
      <c r="AV575" s="1439"/>
      <c r="AW575" s="1439"/>
      <c r="AX575" s="1439"/>
      <c r="AY575" s="1440"/>
      <c r="AZ575" s="1438">
        <f t="shared" si="2"/>
        <v>21</v>
      </c>
      <c r="BA575" s="1439"/>
      <c r="BB575" s="1439"/>
      <c r="BC575" s="1439"/>
      <c r="BD575" s="1440"/>
      <c r="BE575" s="1783">
        <f t="shared" si="3"/>
        <v>1</v>
      </c>
      <c r="BF575" s="1784"/>
      <c r="BG575" s="1784"/>
      <c r="BH575" s="1784"/>
      <c r="BI575" s="1785"/>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772"/>
      <c r="F576" s="1213"/>
      <c r="G576" s="1213"/>
      <c r="H576" s="1213"/>
      <c r="I576" s="1213"/>
      <c r="J576" s="1213"/>
      <c r="K576" s="1213"/>
      <c r="L576" s="1213"/>
      <c r="M576" s="1213"/>
      <c r="N576" s="1213"/>
      <c r="O576" s="1213"/>
      <c r="P576" s="1213"/>
      <c r="Q576" s="1213"/>
      <c r="R576" s="1213"/>
      <c r="S576" s="1213"/>
      <c r="T576" s="1213"/>
      <c r="U576" s="1213"/>
      <c r="V576" s="1213"/>
      <c r="W576" s="1213"/>
      <c r="X576" s="1213"/>
      <c r="Y576" s="1213"/>
      <c r="Z576" s="1213"/>
      <c r="AA576" s="1213"/>
      <c r="AB576" s="1213"/>
      <c r="AC576" s="1213"/>
      <c r="AD576" s="1213"/>
      <c r="AE576" s="1213"/>
      <c r="AF576" s="1213"/>
      <c r="AG576" s="1213"/>
      <c r="AH576" s="1773"/>
      <c r="AN576" s="279"/>
      <c r="AP576" s="1786" t="str">
        <f t="shared" si="0"/>
        <v>SRO</v>
      </c>
      <c r="AQ576" s="1787"/>
      <c r="AR576" s="1787"/>
      <c r="AS576" s="1787"/>
      <c r="AT576" s="1788"/>
      <c r="AU576" s="1438">
        <f t="shared" si="1"/>
        <v>25</v>
      </c>
      <c r="AV576" s="1439"/>
      <c r="AW576" s="1439"/>
      <c r="AX576" s="1439"/>
      <c r="AY576" s="1440"/>
      <c r="AZ576" s="1438">
        <f t="shared" si="2"/>
        <v>25</v>
      </c>
      <c r="BA576" s="1439"/>
      <c r="BB576" s="1439"/>
      <c r="BC576" s="1439"/>
      <c r="BD576" s="1440"/>
      <c r="BE576" s="1783">
        <f t="shared" si="3"/>
        <v>1</v>
      </c>
      <c r="BF576" s="1784"/>
      <c r="BG576" s="1784"/>
      <c r="BH576" s="1784"/>
      <c r="BI576" s="1785"/>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666" t="s">
        <v>1506</v>
      </c>
      <c r="F577" s="1667"/>
      <c r="G577" s="1667"/>
      <c r="H577" s="1667"/>
      <c r="I577" s="1667"/>
      <c r="J577" s="1668"/>
      <c r="K577" s="1666" t="s">
        <v>2304</v>
      </c>
      <c r="L577" s="1667"/>
      <c r="M577" s="1667"/>
      <c r="N577" s="1667"/>
      <c r="O577" s="1667"/>
      <c r="P577" s="1668"/>
      <c r="Q577" s="1493" t="s">
        <v>1502</v>
      </c>
      <c r="R577" s="1494"/>
      <c r="S577" s="1494"/>
      <c r="T577" s="1494"/>
      <c r="U577" s="1494"/>
      <c r="V577" s="1495"/>
      <c r="W577" s="1493" t="str">
        <f>I566</f>
        <v>Percent of Low-Income Units (exclusive of manager’s units)</v>
      </c>
      <c r="X577" s="1494"/>
      <c r="Y577" s="1494"/>
      <c r="Z577" s="1494"/>
      <c r="AA577" s="1494"/>
      <c r="AB577" s="1495"/>
      <c r="AC577" s="1493" t="s">
        <v>1505</v>
      </c>
      <c r="AD577" s="1494"/>
      <c r="AE577" s="1494"/>
      <c r="AF577" s="1494"/>
      <c r="AG577" s="1494"/>
      <c r="AH577" s="1495"/>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669"/>
      <c r="F578" s="1670"/>
      <c r="G578" s="1670"/>
      <c r="H578" s="1670"/>
      <c r="I578" s="1670"/>
      <c r="J578" s="1671"/>
      <c r="K578" s="1669"/>
      <c r="L578" s="1670"/>
      <c r="M578" s="1670"/>
      <c r="N578" s="1670"/>
      <c r="O578" s="1670"/>
      <c r="P578" s="1671"/>
      <c r="Q578" s="1496"/>
      <c r="R578" s="1497"/>
      <c r="S578" s="1497"/>
      <c r="T578" s="1497"/>
      <c r="U578" s="1497"/>
      <c r="V578" s="1498"/>
      <c r="W578" s="1496"/>
      <c r="X578" s="1497"/>
      <c r="Y578" s="1497"/>
      <c r="Z578" s="1497"/>
      <c r="AA578" s="1497"/>
      <c r="AB578" s="1498"/>
      <c r="AC578" s="1496"/>
      <c r="AD578" s="1497"/>
      <c r="AE578" s="1497"/>
      <c r="AF578" s="1497"/>
      <c r="AG578" s="1497"/>
      <c r="AH578" s="1498"/>
      <c r="AN578" s="279"/>
    </row>
    <row r="579" spans="5:96" s="4" customFormat="1" ht="12.75" customHeight="1">
      <c r="E579" s="1669"/>
      <c r="F579" s="1670"/>
      <c r="G579" s="1670"/>
      <c r="H579" s="1670"/>
      <c r="I579" s="1670"/>
      <c r="J579" s="1671"/>
      <c r="K579" s="1669"/>
      <c r="L579" s="1670"/>
      <c r="M579" s="1670"/>
      <c r="N579" s="1670"/>
      <c r="O579" s="1670"/>
      <c r="P579" s="1671"/>
      <c r="Q579" s="1496"/>
      <c r="R579" s="1497"/>
      <c r="S579" s="1497"/>
      <c r="T579" s="1497"/>
      <c r="U579" s="1497"/>
      <c r="V579" s="1498"/>
      <c r="W579" s="1496"/>
      <c r="X579" s="1497"/>
      <c r="Y579" s="1497"/>
      <c r="Z579" s="1497"/>
      <c r="AA579" s="1497"/>
      <c r="AB579" s="1498"/>
      <c r="AC579" s="1496"/>
      <c r="AD579" s="1497"/>
      <c r="AE579" s="1497"/>
      <c r="AF579" s="1497"/>
      <c r="AG579" s="1497"/>
      <c r="AH579" s="1498"/>
      <c r="AN579" s="279"/>
    </row>
    <row r="580" spans="5:96" s="4" customFormat="1" ht="12.75" customHeight="1">
      <c r="E580" s="1669"/>
      <c r="F580" s="1670"/>
      <c r="G580" s="1670"/>
      <c r="H580" s="1670"/>
      <c r="I580" s="1670"/>
      <c r="J580" s="1671"/>
      <c r="K580" s="1669"/>
      <c r="L580" s="1670"/>
      <c r="M580" s="1670"/>
      <c r="N580" s="1670"/>
      <c r="O580" s="1670"/>
      <c r="P580" s="1671"/>
      <c r="Q580" s="1496"/>
      <c r="R580" s="1497"/>
      <c r="S580" s="1497"/>
      <c r="T580" s="1497"/>
      <c r="U580" s="1497"/>
      <c r="V580" s="1498"/>
      <c r="W580" s="1496"/>
      <c r="X580" s="1497"/>
      <c r="Y580" s="1497"/>
      <c r="Z580" s="1497"/>
      <c r="AA580" s="1497"/>
      <c r="AB580" s="1498"/>
      <c r="AC580" s="1496"/>
      <c r="AD580" s="1497"/>
      <c r="AE580" s="1497"/>
      <c r="AF580" s="1497"/>
      <c r="AG580" s="1497"/>
      <c r="AH580" s="1498"/>
      <c r="AN580" s="279"/>
      <c r="AP580" s="3" t="s">
        <v>1127</v>
      </c>
      <c r="BH580" s="3" t="s">
        <v>1128</v>
      </c>
    </row>
    <row r="581" spans="5:96" s="4" customFormat="1" ht="12.75" customHeight="1">
      <c r="E581" s="1687"/>
      <c r="F581" s="1688"/>
      <c r="G581" s="1688"/>
      <c r="H581" s="1688"/>
      <c r="I581" s="1688"/>
      <c r="J581" s="1689"/>
      <c r="K581" s="1690">
        <v>20</v>
      </c>
      <c r="L581" s="1691"/>
      <c r="M581" s="1691"/>
      <c r="N581" s="1691"/>
      <c r="O581" s="1691"/>
      <c r="P581" s="1692"/>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90">
        <f t="shared" ref="AP581:AP586" si="4">IF(OR(BE571&gt;=0.1,BE571=0),0,1)</f>
        <v>0</v>
      </c>
      <c r="AQ581" s="1691"/>
      <c r="AR581" s="1691"/>
      <c r="AS581" s="1691"/>
      <c r="AT581" s="1692"/>
      <c r="AX581" s="1722" t="s">
        <v>794</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87">
        <v>46</v>
      </c>
      <c r="F582" s="1688"/>
      <c r="G582" s="1688"/>
      <c r="H582" s="1688"/>
      <c r="I582" s="1688"/>
      <c r="J582" s="1689"/>
      <c r="K582" s="1690">
        <v>30</v>
      </c>
      <c r="L582" s="1691"/>
      <c r="M582" s="1691"/>
      <c r="N582" s="1691"/>
      <c r="O582" s="1691"/>
      <c r="P582" s="1692"/>
      <c r="Q582" s="1763">
        <f>IF(ISERROR(IF((((E582/$BJ$528)*100)&gt;100),"EXCESSIVE VALUE",(E582/$BJ$528)*100)),0,IF((((E582/$BJ$528)*100)&gt;100),"EXCESSIVE VALUE",(E582/$BJ$528)*100))</f>
        <v>100</v>
      </c>
      <c r="R582" s="1764"/>
      <c r="S582" s="1764"/>
      <c r="T582" s="1764"/>
      <c r="U582" s="1764"/>
      <c r="V582" s="1765"/>
      <c r="W582" s="1760">
        <f>IF(FLOOR(Q582,5)&gt;80,80,FLOOR(Q582,5))</f>
        <v>80</v>
      </c>
      <c r="X582" s="1761"/>
      <c r="Y582" s="1761"/>
      <c r="Z582" s="1761"/>
      <c r="AA582" s="1761"/>
      <c r="AB582" s="1762"/>
      <c r="AC582" s="1760">
        <f t="shared" ref="AC582:AC586" si="5">IFERROR(IF(W582&gt;0,INDEX($BI$507:$BP$521,MATCH(W582,$BH$507:$BH$521,0),MATCH(K582,$BI$506:$BP$506,0)),0),0)</f>
        <v>50</v>
      </c>
      <c r="AD582" s="1761"/>
      <c r="AE582" s="1761"/>
      <c r="AF582" s="1761"/>
      <c r="AG582" s="1761"/>
      <c r="AH582" s="1762"/>
      <c r="AN582" s="279"/>
      <c r="AO582" s="4">
        <v>4</v>
      </c>
      <c r="AP582" s="1690">
        <f t="shared" si="4"/>
        <v>0</v>
      </c>
      <c r="AQ582" s="1691"/>
      <c r="AR582" s="1691"/>
      <c r="AS582" s="1691"/>
      <c r="AT582" s="1692"/>
      <c r="AX582" s="1770" t="s">
        <v>616</v>
      </c>
      <c r="AY582" s="1771"/>
      <c r="AZ582" s="1274" t="s">
        <v>616</v>
      </c>
      <c r="BA582" s="1276"/>
      <c r="BB582" s="1770" t="s">
        <v>265</v>
      </c>
      <c r="BC582" s="1771"/>
      <c r="BD582" s="1732" t="s">
        <v>265</v>
      </c>
      <c r="BE582" s="1734"/>
      <c r="BF582" s="1770" t="s">
        <v>264</v>
      </c>
      <c r="BG582" s="1771"/>
      <c r="BH582" s="1732" t="s">
        <v>264</v>
      </c>
      <c r="BI582" s="1734"/>
      <c r="BJ582" s="1770" t="s">
        <v>263</v>
      </c>
      <c r="BK582" s="1771"/>
      <c r="BL582" s="1732" t="s">
        <v>263</v>
      </c>
      <c r="BM582" s="1734"/>
      <c r="BN582" s="1770" t="s">
        <v>615</v>
      </c>
      <c r="BO582" s="1771"/>
      <c r="BP582" s="1732" t="s">
        <v>615</v>
      </c>
      <c r="BQ582" s="1734"/>
    </row>
    <row r="583" spans="5:96" s="4" customFormat="1" ht="12.75" customHeight="1">
      <c r="E583" s="1687"/>
      <c r="F583" s="1688"/>
      <c r="G583" s="1688"/>
      <c r="H583" s="1688"/>
      <c r="I583" s="1688"/>
      <c r="J583" s="1689"/>
      <c r="K583" s="1690">
        <v>35</v>
      </c>
      <c r="L583" s="1691"/>
      <c r="M583" s="1691"/>
      <c r="N583" s="1691"/>
      <c r="O583" s="1691"/>
      <c r="P583" s="1692"/>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90">
        <f t="shared" si="4"/>
        <v>0</v>
      </c>
      <c r="AQ583" s="1691"/>
      <c r="AR583" s="1691"/>
      <c r="AS583" s="1691"/>
      <c r="AT583" s="1692"/>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87"/>
      <c r="F584" s="1688"/>
      <c r="G584" s="1688"/>
      <c r="H584" s="1688"/>
      <c r="I584" s="1688"/>
      <c r="J584" s="1689"/>
      <c r="K584" s="1690">
        <v>40</v>
      </c>
      <c r="L584" s="1691"/>
      <c r="M584" s="1691"/>
      <c r="N584" s="1691"/>
      <c r="O584" s="1691"/>
      <c r="P584" s="1692"/>
      <c r="Q584" s="1763">
        <f t="shared" si="6"/>
        <v>0</v>
      </c>
      <c r="R584" s="1764"/>
      <c r="S584" s="1764"/>
      <c r="T584" s="1764"/>
      <c r="U584" s="1764"/>
      <c r="V584" s="1765"/>
      <c r="W584" s="1760">
        <f t="shared" si="7"/>
        <v>0</v>
      </c>
      <c r="X584" s="1761"/>
      <c r="Y584" s="1761"/>
      <c r="Z584" s="1761"/>
      <c r="AA584" s="1761"/>
      <c r="AB584" s="1762"/>
      <c r="AC584" s="1760">
        <f t="shared" si="5"/>
        <v>0</v>
      </c>
      <c r="AD584" s="1761"/>
      <c r="AE584" s="1761"/>
      <c r="AF584" s="1761"/>
      <c r="AG584" s="1761"/>
      <c r="AH584" s="1762"/>
      <c r="AN584" s="279"/>
      <c r="AO584" s="4">
        <v>2</v>
      </c>
      <c r="AP584" s="1690">
        <f t="shared" si="4"/>
        <v>0</v>
      </c>
      <c r="AQ584" s="1691"/>
      <c r="AR584" s="1691"/>
      <c r="AS584" s="1691"/>
      <c r="AT584" s="1692"/>
      <c r="AX584" s="1780"/>
      <c r="AY584" s="1781"/>
      <c r="AZ584" s="1722"/>
      <c r="BA584" s="1723"/>
      <c r="BB584" s="1770">
        <f>IF(AP534=1,1,0)</f>
        <v>0</v>
      </c>
      <c r="BC584" s="1771"/>
      <c r="BD584" s="1722"/>
      <c r="BE584" s="1723"/>
      <c r="BF584" s="1780"/>
      <c r="BG584" s="1781"/>
      <c r="BH584" s="1732">
        <f>IF(AND(T610&gt;0,AP534&gt;0),1,0)</f>
        <v>0</v>
      </c>
      <c r="BI584" s="1734"/>
      <c r="BJ584" s="1780"/>
      <c r="BK584" s="1781"/>
      <c r="BL584" s="1732">
        <f>IF(AND(T610&gt;0,AP534&gt;0),1,0)</f>
        <v>0</v>
      </c>
      <c r="BM584" s="1734"/>
      <c r="BN584" s="1780"/>
      <c r="BO584" s="1781"/>
      <c r="BP584" s="1732">
        <f>IF(AND(T610&gt;0,AP534&gt;0),1,0)</f>
        <v>0</v>
      </c>
      <c r="BQ584" s="1734"/>
    </row>
    <row r="585" spans="5:96" s="4" customFormat="1" ht="12.75" customHeight="1">
      <c r="E585" s="1687"/>
      <c r="F585" s="1688"/>
      <c r="G585" s="1688"/>
      <c r="H585" s="1688"/>
      <c r="I585" s="1688"/>
      <c r="J585" s="1689"/>
      <c r="K585" s="1690">
        <v>45</v>
      </c>
      <c r="L585" s="1691"/>
      <c r="M585" s="1691"/>
      <c r="N585" s="1691"/>
      <c r="O585" s="1691"/>
      <c r="P585" s="1692"/>
      <c r="Q585" s="1763">
        <f t="shared" si="6"/>
        <v>0</v>
      </c>
      <c r="R585" s="1764"/>
      <c r="S585" s="1764"/>
      <c r="T585" s="1764"/>
      <c r="U585" s="1764"/>
      <c r="V585" s="1765"/>
      <c r="W585" s="1760">
        <f>IF(FLOOR(Q585,5)&gt;65,65,FLOOR(Q585,5))</f>
        <v>0</v>
      </c>
      <c r="X585" s="1761"/>
      <c r="Y585" s="1761"/>
      <c r="Z585" s="1761"/>
      <c r="AA585" s="1761"/>
      <c r="AB585" s="1762"/>
      <c r="AC585" s="1760">
        <f t="shared" si="5"/>
        <v>0</v>
      </c>
      <c r="AD585" s="1761"/>
      <c r="AE585" s="1761"/>
      <c r="AF585" s="1761"/>
      <c r="AG585" s="1761"/>
      <c r="AH585" s="1762"/>
      <c r="AN585" s="279"/>
      <c r="AO585" s="4">
        <v>1</v>
      </c>
      <c r="AP585" s="1690">
        <f t="shared" si="4"/>
        <v>0</v>
      </c>
      <c r="AQ585" s="1691"/>
      <c r="AR585" s="1691"/>
      <c r="AS585" s="1691"/>
      <c r="AT585" s="1692"/>
      <c r="AX585" s="1780"/>
      <c r="AY585" s="1781"/>
      <c r="AZ585" s="1722"/>
      <c r="BA585" s="1723"/>
      <c r="BB585" s="1780"/>
      <c r="BC585" s="1781"/>
      <c r="BD585" s="1722"/>
      <c r="BE585" s="1723"/>
      <c r="BF585" s="1770">
        <f>IF(AP535=1,1,0)</f>
        <v>0</v>
      </c>
      <c r="BG585" s="1771"/>
      <c r="BH585" s="1722"/>
      <c r="BI585" s="1723"/>
      <c r="BJ585" s="1780"/>
      <c r="BK585" s="1781"/>
      <c r="BL585" s="1732">
        <f>IF(AND(T611&gt;0,AP535&gt;0),1,0)</f>
        <v>0</v>
      </c>
      <c r="BM585" s="1734"/>
      <c r="BN585" s="1780"/>
      <c r="BO585" s="1781"/>
      <c r="BP585" s="1732">
        <f>IF(AND(T611&gt;0,AP535&gt;0),1,0)</f>
        <v>0</v>
      </c>
      <c r="BQ585" s="1734"/>
    </row>
    <row r="586" spans="5:96" s="4" customFormat="1" ht="12.75" customHeight="1">
      <c r="E586" s="1687"/>
      <c r="F586" s="1688"/>
      <c r="G586" s="1688"/>
      <c r="H586" s="1688"/>
      <c r="I586" s="1688"/>
      <c r="J586" s="1689"/>
      <c r="K586" s="1690">
        <f>IF(OR(Application!D211="Rural",Application!D211="Rural apportionment (Section 514)",Application!D211="Rural apportionment (Section 515)",Application!D211="Rural apportionment (CDBG-DR)",Application!D211="Rural apportionment (HOME)",Application!D211="Rural (Native American apportionment)"),"",50)</f>
        <v>50</v>
      </c>
      <c r="L586" s="1691"/>
      <c r="M586" s="1691"/>
      <c r="N586" s="1691"/>
      <c r="O586" s="1691"/>
      <c r="P586" s="1692"/>
      <c r="Q586" s="1763">
        <f t="shared" si="6"/>
        <v>0</v>
      </c>
      <c r="R586" s="1764"/>
      <c r="S586" s="1764"/>
      <c r="T586" s="1764"/>
      <c r="U586" s="1764"/>
      <c r="V586" s="1765"/>
      <c r="W586" s="1760">
        <f>IF(FLOOR(Q586,5)&gt;40,40,FLOOR(Q586,5))</f>
        <v>0</v>
      </c>
      <c r="X586" s="1761"/>
      <c r="Y586" s="1761"/>
      <c r="Z586" s="1761"/>
      <c r="AA586" s="1761"/>
      <c r="AB586" s="1762"/>
      <c r="AC586" s="1760">
        <f t="shared" si="5"/>
        <v>0</v>
      </c>
      <c r="AD586" s="1761"/>
      <c r="AE586" s="1761"/>
      <c r="AF586" s="1761"/>
      <c r="AG586" s="1761"/>
      <c r="AH586" s="1762"/>
      <c r="AN586" s="279"/>
      <c r="AO586" s="4">
        <v>0</v>
      </c>
      <c r="AP586" s="1690">
        <f t="shared" si="4"/>
        <v>0</v>
      </c>
      <c r="AQ586" s="1691"/>
      <c r="AR586" s="1691"/>
      <c r="AS586" s="1691"/>
      <c r="AT586" s="1692"/>
      <c r="AX586" s="1780"/>
      <c r="AY586" s="1781"/>
      <c r="AZ586" s="1722"/>
      <c r="BA586" s="1723"/>
      <c r="BB586" s="1780"/>
      <c r="BC586" s="1781"/>
      <c r="BD586" s="1722"/>
      <c r="BE586" s="1723"/>
      <c r="BF586" s="1780"/>
      <c r="BG586" s="1781"/>
      <c r="BH586" s="1722"/>
      <c r="BI586" s="1723"/>
      <c r="BJ586" s="1770">
        <f>IF(AP536=1,1,0)</f>
        <v>0</v>
      </c>
      <c r="BK586" s="1771"/>
      <c r="BL586" s="1780"/>
      <c r="BM586" s="1781"/>
      <c r="BN586" s="1780"/>
      <c r="BO586" s="1781"/>
      <c r="BP586" s="1732">
        <f>IF(AND(T612&gt;0,AP536&gt;0),1,0)</f>
        <v>1</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2286</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90"/>
      <c r="AQ587" s="1691"/>
      <c r="AR587" s="1691"/>
      <c r="AS587" s="1691"/>
      <c r="AT587" s="1692"/>
      <c r="AX587" s="1780"/>
      <c r="AY587" s="1781"/>
      <c r="AZ587" s="1722"/>
      <c r="BA587" s="1723"/>
      <c r="BB587" s="1780"/>
      <c r="BC587" s="1781"/>
      <c r="BD587" s="1722"/>
      <c r="BE587" s="1723"/>
      <c r="BF587" s="1780"/>
      <c r="BG587" s="1781"/>
      <c r="BH587" s="1722"/>
      <c r="BI587" s="1723"/>
      <c r="BJ587" s="1780"/>
      <c r="BK587" s="1781"/>
      <c r="BL587" s="1780"/>
      <c r="BM587" s="1781"/>
      <c r="BN587" s="1770">
        <f>IF(AP537=1,1,0)</f>
        <v>1</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2286</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0</v>
      </c>
      <c r="BG588" s="1771"/>
      <c r="BH588" s="1732">
        <f>SUM(BH583:BI587)</f>
        <v>0</v>
      </c>
      <c r="BI588" s="1734"/>
      <c r="BJ588" s="1770">
        <f>SUM(BJ583:BK587)</f>
        <v>0</v>
      </c>
      <c r="BK588" s="1771"/>
      <c r="BL588" s="1732">
        <f>SUM(BL583:BM587)</f>
        <v>0</v>
      </c>
      <c r="BM588" s="1734"/>
      <c r="BN588" s="1770">
        <f>SUM(BN583:BO587)</f>
        <v>1</v>
      </c>
      <c r="BO588" s="1771"/>
      <c r="BP588" s="1732">
        <f>SUM(BP583:BQ587)</f>
        <v>1</v>
      </c>
      <c r="BQ588" s="1734"/>
    </row>
    <row r="589" spans="5:96" s="4" customFormat="1" ht="12.75" customHeight="1">
      <c r="E589" s="1687"/>
      <c r="F589" s="1688"/>
      <c r="G589" s="1688"/>
      <c r="H589" s="1688"/>
      <c r="I589" s="1688"/>
      <c r="J589" s="1689"/>
      <c r="K589" s="1690" t="s">
        <v>2114</v>
      </c>
      <c r="L589" s="1691"/>
      <c r="M589" s="1691"/>
      <c r="N589" s="1691"/>
      <c r="O589" s="1691"/>
      <c r="P589" s="1692"/>
      <c r="Q589" s="1763">
        <f t="shared" si="6"/>
        <v>0</v>
      </c>
      <c r="R589" s="1764"/>
      <c r="S589" s="1764"/>
      <c r="T589" s="1764"/>
      <c r="U589" s="1764"/>
      <c r="V589" s="1765"/>
      <c r="W589" s="1760">
        <f t="shared" si="7"/>
        <v>0</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1</v>
      </c>
      <c r="BO589" s="1790"/>
      <c r="BP589" s="1790"/>
      <c r="BQ589" s="1791"/>
    </row>
    <row r="590" spans="5:96" s="4" customFormat="1" ht="12.75" customHeight="1">
      <c r="E590" s="1687"/>
      <c r="F590" s="1688"/>
      <c r="G590" s="1688"/>
      <c r="H590" s="1688"/>
      <c r="I590" s="1688"/>
      <c r="J590" s="1689"/>
      <c r="K590" s="1690" t="s">
        <v>2115</v>
      </c>
      <c r="L590" s="1691"/>
      <c r="M590" s="1691"/>
      <c r="N590" s="1691"/>
      <c r="O590" s="1691"/>
      <c r="P590" s="1692"/>
      <c r="Q590" s="1763">
        <f>IF(ISERROR(IF((((E590/$BJ$528)*100)&gt;100),"EXCESSIVE VALUE",(E590/$BJ$528)*100)),0,IF((((E590/$BJ$528)*100)&gt;100),"EXCESSIVE VALUE",(E590/$BJ$528)*100))</f>
        <v>0</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610</v>
      </c>
      <c r="BJ590" s="1789">
        <f>AX589+BB589+BF589+BJ589+BN589</f>
        <v>1</v>
      </c>
      <c r="BK590" s="1790"/>
      <c r="BL590" s="1790"/>
      <c r="BM590" s="1791"/>
      <c r="BN590"/>
      <c r="BO590"/>
      <c r="BP590"/>
      <c r="BQ590"/>
    </row>
    <row r="591" spans="5:96" s="4" customFormat="1" ht="12.75" customHeight="1">
      <c r="E591" s="1687"/>
      <c r="F591" s="1688"/>
      <c r="G591" s="1688"/>
      <c r="H591" s="1688"/>
      <c r="I591" s="1688"/>
      <c r="J591" s="1689"/>
      <c r="K591" s="1690" t="s">
        <v>2116</v>
      </c>
      <c r="L591" s="1691"/>
      <c r="M591" s="1691"/>
      <c r="N591" s="1691"/>
      <c r="O591" s="1691"/>
      <c r="P591" s="1692"/>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609</v>
      </c>
      <c r="BK591"/>
      <c r="BL591"/>
      <c r="BM591"/>
      <c r="BN591"/>
      <c r="BO591"/>
      <c r="BP591"/>
      <c r="BQ591"/>
    </row>
    <row r="592" spans="5:96" s="4" customFormat="1" ht="12.75" customHeight="1">
      <c r="E592" s="1792">
        <f>SUM(E581:J591)</f>
        <v>46</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50</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5" t="s">
        <v>103</v>
      </c>
      <c r="AH596" s="1695"/>
      <c r="AI596" s="1695"/>
      <c r="AJ596" s="1695"/>
      <c r="AK596" s="5"/>
      <c r="AL596" s="5"/>
      <c r="AM596" s="5"/>
      <c r="AN596" s="279"/>
    </row>
    <row r="597" spans="1:64" s="4" customFormat="1" ht="12.75" customHeight="1">
      <c r="B597" s="1675" t="s">
        <v>2104</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79"/>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79"/>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79"/>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6"/>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0"/>
    </row>
    <row r="604" spans="1:64">
      <c r="J604" s="1801" t="s">
        <v>795</v>
      </c>
      <c r="K604" s="1802"/>
      <c r="L604" s="1802"/>
      <c r="M604" s="1802"/>
      <c r="N604" s="1803"/>
      <c r="O604" s="1493" t="s">
        <v>1503</v>
      </c>
      <c r="P604" s="1494"/>
      <c r="Q604" s="1494"/>
      <c r="R604" s="1494"/>
      <c r="S604" s="1495"/>
      <c r="T604" s="1493" t="s">
        <v>1757</v>
      </c>
      <c r="U604" s="1494"/>
      <c r="V604" s="1494"/>
      <c r="W604" s="1494"/>
      <c r="X604" s="1495"/>
      <c r="Y604" s="1493" t="s">
        <v>1504</v>
      </c>
      <c r="Z604" s="1494"/>
      <c r="AA604" s="1494"/>
      <c r="AB604" s="1494"/>
      <c r="AC604" s="1495"/>
      <c r="AF604"/>
      <c r="AG604"/>
      <c r="AH604"/>
      <c r="AI604"/>
      <c r="AJ604"/>
    </row>
    <row r="605" spans="1:64">
      <c r="D605"/>
      <c r="E605"/>
      <c r="F605"/>
      <c r="G605"/>
      <c r="H605"/>
      <c r="I605"/>
      <c r="J605" s="1776"/>
      <c r="K605" s="1777"/>
      <c r="L605" s="1777"/>
      <c r="M605" s="1777"/>
      <c r="N605" s="1804"/>
      <c r="O605" s="1496"/>
      <c r="P605" s="1497"/>
      <c r="Q605" s="1497"/>
      <c r="R605" s="1497"/>
      <c r="S605" s="1498"/>
      <c r="T605" s="1496"/>
      <c r="U605" s="1497"/>
      <c r="V605" s="1497"/>
      <c r="W605" s="1497"/>
      <c r="X605" s="1498"/>
      <c r="Y605" s="1496"/>
      <c r="Z605" s="1497"/>
      <c r="AA605" s="1497"/>
      <c r="AB605" s="1497"/>
      <c r="AC605" s="1498"/>
      <c r="AF605"/>
      <c r="AG605"/>
      <c r="AH605"/>
      <c r="AI605"/>
      <c r="AJ605"/>
      <c r="AO605" s="38" t="s">
        <v>2211</v>
      </c>
      <c r="AR605" s="21" t="b">
        <f>$Y$614&gt;=10%</f>
        <v>1</v>
      </c>
    </row>
    <row r="606" spans="1:64">
      <c r="I606"/>
      <c r="J606" s="1776"/>
      <c r="K606" s="1777"/>
      <c r="L606" s="1777"/>
      <c r="M606" s="1777"/>
      <c r="N606" s="1804"/>
      <c r="O606" s="1496"/>
      <c r="P606" s="1497"/>
      <c r="Q606" s="1497"/>
      <c r="R606" s="1497"/>
      <c r="S606" s="1498"/>
      <c r="T606" s="1496"/>
      <c r="U606" s="1497"/>
      <c r="V606" s="1497"/>
      <c r="W606" s="1497"/>
      <c r="X606" s="1498"/>
      <c r="Y606" s="1496"/>
      <c r="Z606" s="1497"/>
      <c r="AA606" s="1497"/>
      <c r="AB606" s="1497"/>
      <c r="AC606" s="1498"/>
      <c r="AD606"/>
      <c r="AF606"/>
      <c r="AG606"/>
      <c r="AH606"/>
      <c r="AI606"/>
      <c r="AJ606"/>
      <c r="AO606" s="38" t="s">
        <v>2212</v>
      </c>
      <c r="AR606" s="951">
        <f>ROUNDUP(($O$614*10%),0)</f>
        <v>5</v>
      </c>
    </row>
    <row r="607" spans="1:64" ht="19.5" customHeight="1">
      <c r="D607"/>
      <c r="E607"/>
      <c r="F607"/>
      <c r="G607"/>
      <c r="H607"/>
      <c r="I607"/>
      <c r="J607" s="1776"/>
      <c r="K607" s="1777"/>
      <c r="L607" s="1777"/>
      <c r="M607" s="1777"/>
      <c r="N607" s="1804"/>
      <c r="O607" s="1496"/>
      <c r="P607" s="1497"/>
      <c r="Q607" s="1497"/>
      <c r="R607" s="1497"/>
      <c r="S607" s="1498"/>
      <c r="T607" s="1496"/>
      <c r="U607" s="1497"/>
      <c r="V607" s="1497"/>
      <c r="W607" s="1497"/>
      <c r="X607" s="1498"/>
      <c r="Y607" s="1496"/>
      <c r="Z607" s="1497"/>
      <c r="AA607" s="1497"/>
      <c r="AB607" s="1497"/>
      <c r="AC607" s="1498"/>
      <c r="AD607"/>
      <c r="AF607"/>
      <c r="AG607"/>
      <c r="AH607"/>
      <c r="AI607"/>
      <c r="AJ607"/>
      <c r="AO607" s="38" t="s">
        <v>2213</v>
      </c>
      <c r="AR607" s="21" t="s">
        <v>2214</v>
      </c>
    </row>
    <row r="608" spans="1:64">
      <c r="D608"/>
      <c r="E608"/>
      <c r="F608"/>
      <c r="G608"/>
      <c r="H608"/>
      <c r="I608"/>
      <c r="J608" s="1805" t="s">
        <v>225</v>
      </c>
      <c r="K608" s="1806"/>
      <c r="L608" s="1806"/>
      <c r="M608" s="1806"/>
      <c r="N608" s="1807"/>
      <c r="O608" s="1690">
        <f>Application!CM634</f>
        <v>0</v>
      </c>
      <c r="P608" s="1691"/>
      <c r="Q608" s="1691"/>
      <c r="R608" s="1691"/>
      <c r="S608" s="1692"/>
      <c r="T608" s="1690">
        <f>Application!DR635</f>
        <v>0</v>
      </c>
      <c r="U608" s="1691"/>
      <c r="V608" s="1691"/>
      <c r="W608" s="1691"/>
      <c r="X608" s="1692"/>
      <c r="Y608" s="1767">
        <f t="shared" ref="Y608:Y614" si="8">IF(T608&gt;0,T608/O608,0)</f>
        <v>0</v>
      </c>
      <c r="Z608" s="1768"/>
      <c r="AA608" s="1768"/>
      <c r="AB608" s="1768"/>
      <c r="AC608" s="1769"/>
      <c r="AD608"/>
      <c r="AF608"/>
      <c r="AG608"/>
      <c r="AH608"/>
      <c r="AI608"/>
      <c r="AJ608"/>
      <c r="AO608" s="951">
        <f t="shared" ref="AO608:AO613" si="9">ROUNDUP((O608*10%),0)</f>
        <v>0</v>
      </c>
      <c r="AP608" s="204"/>
      <c r="AR608" s="952" t="b">
        <f>OR(SUM($T$608:T608)&gt;=$AR$606,T608&gt;=AO608)</f>
        <v>1</v>
      </c>
    </row>
    <row r="609" spans="1:60">
      <c r="D609"/>
      <c r="E609"/>
      <c r="F609"/>
      <c r="G609"/>
      <c r="H609"/>
      <c r="I609"/>
      <c r="J609" s="1805" t="s">
        <v>31</v>
      </c>
      <c r="K609" s="1806"/>
      <c r="L609" s="1806"/>
      <c r="M609" s="1806"/>
      <c r="N609" s="1807"/>
      <c r="O609" s="1690">
        <f>Application!CH634</f>
        <v>0</v>
      </c>
      <c r="P609" s="1691"/>
      <c r="Q609" s="1691"/>
      <c r="R609" s="1691"/>
      <c r="S609" s="1692"/>
      <c r="T609" s="1690">
        <f>Application!DM635</f>
        <v>0</v>
      </c>
      <c r="U609" s="1691"/>
      <c r="V609" s="1691"/>
      <c r="W609" s="1691"/>
      <c r="X609" s="1692"/>
      <c r="Y609" s="1767">
        <f t="shared" si="8"/>
        <v>0</v>
      </c>
      <c r="Z609" s="1768"/>
      <c r="AA609" s="1768"/>
      <c r="AB609" s="1768"/>
      <c r="AC609" s="1769"/>
      <c r="AD609"/>
      <c r="AF609"/>
      <c r="AG609"/>
      <c r="AH609"/>
      <c r="AI609"/>
      <c r="AJ609"/>
      <c r="AO609" s="951">
        <f t="shared" si="9"/>
        <v>0</v>
      </c>
      <c r="AP609" s="204"/>
      <c r="AR609" s="952" t="b">
        <f>OR(SUM($T$608:T609)&gt;=$AR$606,T609&gt;=AO609)</f>
        <v>1</v>
      </c>
    </row>
    <row r="610" spans="1:60">
      <c r="D610"/>
      <c r="E610"/>
      <c r="F610"/>
      <c r="G610"/>
      <c r="H610"/>
      <c r="I610"/>
      <c r="J610" s="1805" t="s">
        <v>265</v>
      </c>
      <c r="K610" s="1806"/>
      <c r="L610" s="1806"/>
      <c r="M610" s="1806"/>
      <c r="N610" s="1807"/>
      <c r="O610" s="1690">
        <f>Application!CC634</f>
        <v>0</v>
      </c>
      <c r="P610" s="1691"/>
      <c r="Q610" s="1691"/>
      <c r="R610" s="1691"/>
      <c r="S610" s="1692"/>
      <c r="T610" s="1690">
        <f>Application!DH635</f>
        <v>0</v>
      </c>
      <c r="U610" s="1691"/>
      <c r="V610" s="1691"/>
      <c r="W610" s="1691"/>
      <c r="X610" s="1692"/>
      <c r="Y610" s="1767">
        <f t="shared" si="8"/>
        <v>0</v>
      </c>
      <c r="Z610" s="1768"/>
      <c r="AA610" s="1768"/>
      <c r="AB610" s="1768"/>
      <c r="AC610" s="1769"/>
      <c r="AD610"/>
      <c r="AF610"/>
      <c r="AG610"/>
      <c r="AH610"/>
      <c r="AI610"/>
      <c r="AJ610"/>
      <c r="AO610" s="951">
        <f t="shared" si="9"/>
        <v>0</v>
      </c>
      <c r="AP610" s="204"/>
      <c r="AR610" s="952" t="b">
        <f>OR(SUM($T$608:T610)&gt;=$AR$606,T610&gt;=AO610)</f>
        <v>1</v>
      </c>
    </row>
    <row r="611" spans="1:60">
      <c r="D611"/>
      <c r="E611"/>
      <c r="F611"/>
      <c r="G611"/>
      <c r="H611"/>
      <c r="I611"/>
      <c r="J611" s="1805" t="s">
        <v>264</v>
      </c>
      <c r="K611" s="1806"/>
      <c r="L611" s="1806"/>
      <c r="M611" s="1806"/>
      <c r="N611" s="1807"/>
      <c r="O611" s="1690">
        <f>Application!BX634</f>
        <v>0</v>
      </c>
      <c r="P611" s="1691"/>
      <c r="Q611" s="1691"/>
      <c r="R611" s="1691"/>
      <c r="S611" s="1692"/>
      <c r="T611" s="1690">
        <f>Application!DC635</f>
        <v>0</v>
      </c>
      <c r="U611" s="1691"/>
      <c r="V611" s="1691"/>
      <c r="W611" s="1691"/>
      <c r="X611" s="1692"/>
      <c r="Y611" s="1767">
        <f t="shared" si="8"/>
        <v>0</v>
      </c>
      <c r="Z611" s="1768"/>
      <c r="AA611" s="1768"/>
      <c r="AB611" s="1768"/>
      <c r="AC611" s="1769"/>
      <c r="AD611"/>
      <c r="AF611"/>
      <c r="AG611"/>
      <c r="AH611"/>
      <c r="AI611"/>
      <c r="AJ611"/>
      <c r="AO611" s="951">
        <f t="shared" si="9"/>
        <v>0</v>
      </c>
      <c r="AP611" s="204"/>
      <c r="AR611" s="952" t="b">
        <f>OR(SUM($T$608:T611)&gt;=$AR$606,T611&gt;=AO611)</f>
        <v>1</v>
      </c>
    </row>
    <row r="612" spans="1:60">
      <c r="D612"/>
      <c r="E612"/>
      <c r="F612"/>
      <c r="G612"/>
      <c r="H612"/>
      <c r="I612"/>
      <c r="J612" s="1805" t="s">
        <v>263</v>
      </c>
      <c r="K612" s="1806"/>
      <c r="L612" s="1806"/>
      <c r="M612" s="1806"/>
      <c r="N612" s="1807"/>
      <c r="O612" s="1690">
        <f>Application!BS634</f>
        <v>21</v>
      </c>
      <c r="P612" s="1691"/>
      <c r="Q612" s="1691"/>
      <c r="R612" s="1691"/>
      <c r="S612" s="1692"/>
      <c r="T612" s="1690">
        <f>Application!CX635</f>
        <v>21</v>
      </c>
      <c r="U612" s="1691"/>
      <c r="V612" s="1691"/>
      <c r="W612" s="1691"/>
      <c r="X612" s="1692"/>
      <c r="Y612" s="1767">
        <f t="shared" si="8"/>
        <v>1</v>
      </c>
      <c r="Z612" s="1768"/>
      <c r="AA612" s="1768"/>
      <c r="AB612" s="1768"/>
      <c r="AC612" s="1769"/>
      <c r="AD612"/>
      <c r="AF612"/>
      <c r="AG612"/>
      <c r="AH612"/>
      <c r="AI612"/>
      <c r="AJ612"/>
      <c r="AO612" s="951">
        <f t="shared" si="9"/>
        <v>3</v>
      </c>
      <c r="AP612" s="204"/>
      <c r="AR612" s="952" t="b">
        <f>OR(SUM($T$608:T612)&gt;=$AR$606,T612&gt;=AO612)</f>
        <v>1</v>
      </c>
    </row>
    <row r="613" spans="1:60">
      <c r="D613"/>
      <c r="E613"/>
      <c r="F613"/>
      <c r="G613"/>
      <c r="H613"/>
      <c r="I613"/>
      <c r="J613" s="1805" t="s">
        <v>615</v>
      </c>
      <c r="K613" s="1806"/>
      <c r="L613" s="1806"/>
      <c r="M613" s="1806"/>
      <c r="N613" s="1807"/>
      <c r="O613" s="1690">
        <f>Application!BN634</f>
        <v>25</v>
      </c>
      <c r="P613" s="1691"/>
      <c r="Q613" s="1691"/>
      <c r="R613" s="1691"/>
      <c r="S613" s="1692"/>
      <c r="T613" s="1690">
        <f>Application!CS635</f>
        <v>25</v>
      </c>
      <c r="U613" s="1691"/>
      <c r="V613" s="1691"/>
      <c r="W613" s="1691"/>
      <c r="X613" s="1692"/>
      <c r="Y613" s="1767">
        <f t="shared" si="8"/>
        <v>1</v>
      </c>
      <c r="Z613" s="1768"/>
      <c r="AA613" s="1768"/>
      <c r="AB613" s="1768"/>
      <c r="AC613" s="1769"/>
      <c r="AD613"/>
      <c r="AF613"/>
      <c r="AG613"/>
      <c r="AH613"/>
      <c r="AI613"/>
      <c r="AJ613"/>
      <c r="AO613" s="951">
        <f t="shared" si="9"/>
        <v>3</v>
      </c>
      <c r="AP613" s="204"/>
      <c r="AR613" s="952" t="b">
        <f>OR(SUM($T$608:T613)&gt;=$AR$606,T613&gt;=AO613)</f>
        <v>1</v>
      </c>
    </row>
    <row r="614" spans="1:60">
      <c r="D614"/>
      <c r="E614"/>
      <c r="F614"/>
      <c r="G614"/>
      <c r="H614"/>
      <c r="I614"/>
      <c r="J614" s="1160" t="s">
        <v>876</v>
      </c>
      <c r="K614" s="1161"/>
      <c r="L614" s="1161"/>
      <c r="M614" s="1161"/>
      <c r="N614" s="1162"/>
      <c r="O614" s="1684">
        <f>SUM(O608:S613)</f>
        <v>46</v>
      </c>
      <c r="P614" s="1685"/>
      <c r="Q614" s="1685"/>
      <c r="R614" s="1685"/>
      <c r="S614" s="1686"/>
      <c r="T614" s="1684">
        <f>SUM(T608:X613)</f>
        <v>46</v>
      </c>
      <c r="U614" s="1685"/>
      <c r="V614" s="1685"/>
      <c r="W614" s="1685"/>
      <c r="X614" s="1686"/>
      <c r="Y614" s="1813">
        <f t="shared" si="8"/>
        <v>1</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87" t="s">
        <v>1507</v>
      </c>
      <c r="B617" s="1088"/>
      <c r="C617" s="1088"/>
      <c r="D617" s="1088"/>
      <c r="E617" s="1088"/>
      <c r="F617" s="1088"/>
      <c r="G617" s="1088"/>
      <c r="H617" s="1088"/>
      <c r="I617" s="1088"/>
      <c r="J617" s="1088"/>
      <c r="K617" s="1088"/>
      <c r="L617" s="1088"/>
      <c r="M617" s="1088"/>
      <c r="N617" s="1088"/>
      <c r="O617" s="1088"/>
      <c r="P617" s="1088"/>
      <c r="Q617" s="1088"/>
      <c r="R617" s="1088"/>
      <c r="S617" s="1088"/>
      <c r="T617" s="1088"/>
      <c r="U617" s="1088"/>
      <c r="V617" s="1088"/>
      <c r="W617" s="1088"/>
      <c r="X617" s="1088"/>
      <c r="Y617" s="1088"/>
      <c r="Z617" s="1088"/>
      <c r="AA617" s="1088"/>
      <c r="AB617" s="1088"/>
      <c r="AC617" s="1088"/>
      <c r="AD617" s="1088"/>
      <c r="AE617" s="1088"/>
      <c r="AF617" s="1088"/>
      <c r="AG617" s="1088"/>
      <c r="AH617" s="1088"/>
      <c r="AI617" s="1089"/>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65">
        <f>IF($E$592=Application!G738,$AC$592+$AJ$617,0)</f>
        <v>52</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9" t="s">
        <v>1508</v>
      </c>
      <c r="C623" s="1709"/>
      <c r="D623" s="1709"/>
      <c r="E623" s="1709"/>
      <c r="F623" s="1709"/>
      <c r="G623" s="1709"/>
      <c r="H623" s="1709"/>
      <c r="I623" s="1709"/>
      <c r="J623" s="1709"/>
      <c r="K623" s="1709"/>
      <c r="L623" s="1709"/>
      <c r="M623" s="1709"/>
      <c r="N623" s="1709"/>
      <c r="O623" s="1709"/>
      <c r="P623" s="1709"/>
      <c r="Q623" s="1709"/>
      <c r="R623" s="1709"/>
      <c r="S623" s="1709"/>
      <c r="T623" s="1709"/>
      <c r="U623" s="1709"/>
      <c r="V623" s="1709"/>
      <c r="W623" s="1709"/>
      <c r="X623" s="1709"/>
      <c r="Y623" s="1709"/>
      <c r="Z623" s="1709"/>
      <c r="AA623" s="1709"/>
      <c r="AB623" s="1709"/>
      <c r="AC623" s="1709"/>
      <c r="AD623" s="1709"/>
      <c r="AE623" s="1709"/>
      <c r="AF623" s="1709"/>
      <c r="AG623" s="1709"/>
      <c r="AH623" s="1709"/>
      <c r="AI623" s="1709"/>
      <c r="AJ623" s="1709"/>
      <c r="AK623" s="4"/>
      <c r="AL623" s="4"/>
      <c r="AM623" s="4"/>
    </row>
    <row r="624" spans="1:60">
      <c r="A624" s="4"/>
      <c r="B624" s="1709"/>
      <c r="C624" s="1709"/>
      <c r="D624" s="1709"/>
      <c r="E624" s="1709"/>
      <c r="F624" s="1709"/>
      <c r="G624" s="1709"/>
      <c r="H624" s="1709"/>
      <c r="I624" s="1709"/>
      <c r="J624" s="1709"/>
      <c r="K624" s="1709"/>
      <c r="L624" s="1709"/>
      <c r="M624" s="1709"/>
      <c r="N624" s="1709"/>
      <c r="O624" s="1709"/>
      <c r="P624" s="1709"/>
      <c r="Q624" s="1709"/>
      <c r="R624" s="1709"/>
      <c r="S624" s="1709"/>
      <c r="T624" s="1709"/>
      <c r="U624" s="1709"/>
      <c r="V624" s="1709"/>
      <c r="W624" s="1709"/>
      <c r="X624" s="1709"/>
      <c r="Y624" s="1709"/>
      <c r="Z624" s="1709"/>
      <c r="AA624" s="1709"/>
      <c r="AB624" s="1709"/>
      <c r="AC624" s="1709"/>
      <c r="AD624" s="1709"/>
      <c r="AE624" s="1709"/>
      <c r="AF624" s="1709"/>
      <c r="AG624" s="1709"/>
      <c r="AH624" s="1709"/>
      <c r="AI624" s="1709"/>
      <c r="AJ624" s="1709"/>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41" t="s">
        <v>108</v>
      </c>
      <c r="D627" s="1141"/>
      <c r="E627" s="183"/>
      <c r="F627" s="1894" t="s">
        <v>2204</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4" t="s">
        <v>938</v>
      </c>
      <c r="AH627" s="1044"/>
      <c r="AI627" s="1044"/>
      <c r="AJ627" s="1044"/>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9" t="s">
        <v>2209</v>
      </c>
      <c r="C631" s="1709"/>
      <c r="D631" s="1709"/>
      <c r="E631" s="1709"/>
      <c r="F631" s="1709"/>
      <c r="G631" s="1709"/>
      <c r="H631" s="1709"/>
      <c r="I631" s="1709"/>
      <c r="J631" s="1709"/>
      <c r="K631" s="1709"/>
      <c r="L631" s="1709"/>
      <c r="M631" s="1709"/>
      <c r="N631" s="1709"/>
      <c r="O631" s="1709"/>
      <c r="P631" s="1709"/>
      <c r="Q631" s="1709"/>
      <c r="R631" s="1709"/>
      <c r="S631" s="1709"/>
      <c r="T631" s="1709"/>
      <c r="U631" s="1709"/>
      <c r="V631" s="1709"/>
      <c r="W631" s="1709"/>
      <c r="X631" s="1709"/>
      <c r="Y631" s="1709"/>
      <c r="Z631" s="1709"/>
      <c r="AA631" s="1709"/>
      <c r="AB631" s="1709"/>
      <c r="AC631" s="1709"/>
      <c r="AD631" s="1709"/>
      <c r="AE631" s="1709"/>
      <c r="AF631" s="1709"/>
      <c r="AG631" s="1709"/>
      <c r="AH631" s="1709"/>
      <c r="AI631" s="173"/>
      <c r="AJ631" s="4"/>
      <c r="AK631" s="4"/>
      <c r="AL631" s="4"/>
      <c r="AM631" s="4"/>
      <c r="AN631" s="79"/>
    </row>
    <row r="632" spans="1:44" ht="13.7" customHeight="1">
      <c r="B632" s="1709"/>
      <c r="C632" s="1709"/>
      <c r="D632" s="1709"/>
      <c r="E632" s="1709"/>
      <c r="F632" s="1709"/>
      <c r="G632" s="1709"/>
      <c r="H632" s="1709"/>
      <c r="I632" s="1709"/>
      <c r="J632" s="1709"/>
      <c r="K632" s="1709"/>
      <c r="L632" s="1709"/>
      <c r="M632" s="1709"/>
      <c r="N632" s="1709"/>
      <c r="O632" s="1709"/>
      <c r="P632" s="1709"/>
      <c r="Q632" s="1709"/>
      <c r="R632" s="1709"/>
      <c r="S632" s="1709"/>
      <c r="T632" s="1709"/>
      <c r="U632" s="1709"/>
      <c r="V632" s="1709"/>
      <c r="W632" s="1709"/>
      <c r="X632" s="1709"/>
      <c r="Y632" s="1709"/>
      <c r="Z632" s="1709"/>
      <c r="AA632" s="1709"/>
      <c r="AB632" s="1709"/>
      <c r="AC632" s="1709"/>
      <c r="AD632" s="1709"/>
      <c r="AE632" s="1709"/>
      <c r="AF632" s="1709"/>
      <c r="AG632" s="1709"/>
      <c r="AH632" s="1709"/>
      <c r="AI632" s="160"/>
      <c r="AJ632" s="4"/>
      <c r="AK632" s="4"/>
      <c r="AL632" s="4"/>
      <c r="AM632" s="4"/>
      <c r="AN632" s="79"/>
      <c r="AR632" s="41"/>
    </row>
    <row r="633" spans="1:44" ht="13.7" customHeight="1">
      <c r="A633" s="4"/>
      <c r="B633" s="1709"/>
      <c r="C633" s="1709"/>
      <c r="D633" s="1709"/>
      <c r="E633" s="1709"/>
      <c r="F633" s="1709"/>
      <c r="G633" s="1709"/>
      <c r="H633" s="1709"/>
      <c r="I633" s="1709"/>
      <c r="J633" s="1709"/>
      <c r="K633" s="1709"/>
      <c r="L633" s="1709"/>
      <c r="M633" s="1709"/>
      <c r="N633" s="1709"/>
      <c r="O633" s="1709"/>
      <c r="P633" s="1709"/>
      <c r="Q633" s="1709"/>
      <c r="R633" s="1709"/>
      <c r="S633" s="1709"/>
      <c r="T633" s="1709"/>
      <c r="U633" s="1709"/>
      <c r="V633" s="1709"/>
      <c r="W633" s="1709"/>
      <c r="X633" s="1709"/>
      <c r="Y633" s="1709"/>
      <c r="Z633" s="1709"/>
      <c r="AA633" s="1709"/>
      <c r="AB633" s="1709"/>
      <c r="AC633" s="1709"/>
      <c r="AD633" s="1709"/>
      <c r="AE633" s="1709"/>
      <c r="AF633" s="1709"/>
      <c r="AG633" s="1709"/>
      <c r="AH633" s="1709"/>
      <c r="AI633" s="160"/>
      <c r="AJ633" s="4"/>
      <c r="AK633" s="4"/>
      <c r="AL633" s="4"/>
      <c r="AM633" s="4"/>
      <c r="AN633" s="79"/>
    </row>
    <row r="634" spans="1:44" ht="13.7" customHeight="1">
      <c r="A634" s="4"/>
      <c r="B634" s="1709"/>
      <c r="C634" s="1709"/>
      <c r="D634" s="1709"/>
      <c r="E634" s="1709"/>
      <c r="F634" s="1709"/>
      <c r="G634" s="1709"/>
      <c r="H634" s="1709"/>
      <c r="I634" s="1709"/>
      <c r="J634" s="1709"/>
      <c r="K634" s="1709"/>
      <c r="L634" s="1709"/>
      <c r="M634" s="1709"/>
      <c r="N634" s="1709"/>
      <c r="O634" s="1709"/>
      <c r="P634" s="1709"/>
      <c r="Q634" s="1709"/>
      <c r="R634" s="1709"/>
      <c r="S634" s="1709"/>
      <c r="T634" s="1709"/>
      <c r="U634" s="1709"/>
      <c r="V634" s="1709"/>
      <c r="W634" s="1709"/>
      <c r="X634" s="1709"/>
      <c r="Y634" s="1709"/>
      <c r="Z634" s="1709"/>
      <c r="AA634" s="1709"/>
      <c r="AB634" s="1709"/>
      <c r="AC634" s="1709"/>
      <c r="AD634" s="1709"/>
      <c r="AE634" s="1709"/>
      <c r="AF634" s="1709"/>
      <c r="AG634" s="1709"/>
      <c r="AH634" s="1709"/>
      <c r="AI634" s="160"/>
      <c r="AJ634" s="4"/>
      <c r="AK634" s="4"/>
      <c r="AL634" s="4"/>
      <c r="AM634" s="4"/>
      <c r="AN634" s="79"/>
    </row>
    <row r="635" spans="1:44" ht="13.7" customHeight="1">
      <c r="A635" s="4"/>
      <c r="B635" s="1709"/>
      <c r="C635" s="1709"/>
      <c r="D635" s="1709"/>
      <c r="E635" s="1709"/>
      <c r="F635" s="1709"/>
      <c r="G635" s="1709"/>
      <c r="H635" s="1709"/>
      <c r="I635" s="1709"/>
      <c r="J635" s="1709"/>
      <c r="K635" s="1709"/>
      <c r="L635" s="1709"/>
      <c r="M635" s="1709"/>
      <c r="N635" s="1709"/>
      <c r="O635" s="1709"/>
      <c r="P635" s="1709"/>
      <c r="Q635" s="1709"/>
      <c r="R635" s="1709"/>
      <c r="S635" s="1709"/>
      <c r="T635" s="1709"/>
      <c r="U635" s="1709"/>
      <c r="V635" s="1709"/>
      <c r="W635" s="1709"/>
      <c r="X635" s="1709"/>
      <c r="Y635" s="1709"/>
      <c r="Z635" s="1709"/>
      <c r="AA635" s="1709"/>
      <c r="AB635" s="1709"/>
      <c r="AC635" s="1709"/>
      <c r="AD635" s="1709"/>
      <c r="AE635" s="1709"/>
      <c r="AF635" s="1709"/>
      <c r="AG635" s="1709"/>
      <c r="AH635" s="1709"/>
      <c r="AI635" s="160"/>
      <c r="AJ635" s="4"/>
      <c r="AK635" s="4"/>
      <c r="AL635" s="4"/>
      <c r="AM635" s="4"/>
      <c r="AN635" s="79"/>
    </row>
    <row r="636" spans="1:44" ht="13.7" customHeight="1">
      <c r="A636" s="4"/>
      <c r="B636" s="1709"/>
      <c r="C636" s="1709"/>
      <c r="D636" s="1709"/>
      <c r="E636" s="1709"/>
      <c r="F636" s="1709"/>
      <c r="G636" s="1709"/>
      <c r="H636" s="1709"/>
      <c r="I636" s="1709"/>
      <c r="J636" s="1709"/>
      <c r="K636" s="1709"/>
      <c r="L636" s="1709"/>
      <c r="M636" s="1709"/>
      <c r="N636" s="1709"/>
      <c r="O636" s="1709"/>
      <c r="P636" s="1709"/>
      <c r="Q636" s="1709"/>
      <c r="R636" s="1709"/>
      <c r="S636" s="1709"/>
      <c r="T636" s="1709"/>
      <c r="U636" s="1709"/>
      <c r="V636" s="1709"/>
      <c r="W636" s="1709"/>
      <c r="X636" s="1709"/>
      <c r="Y636" s="1709"/>
      <c r="Z636" s="1709"/>
      <c r="AA636" s="1709"/>
      <c r="AB636" s="1709"/>
      <c r="AC636" s="1709"/>
      <c r="AD636" s="1709"/>
      <c r="AE636" s="1709"/>
      <c r="AF636" s="1709"/>
      <c r="AG636" s="1709"/>
      <c r="AH636" s="1709"/>
      <c r="AI636" s="160"/>
      <c r="AJ636" s="4"/>
      <c r="AK636" s="4"/>
      <c r="AL636" s="4"/>
      <c r="AM636" s="4"/>
      <c r="AN636" s="79"/>
    </row>
    <row r="637" spans="1:44" ht="13.7" customHeight="1">
      <c r="A637" s="4"/>
      <c r="B637" s="1709"/>
      <c r="C637" s="1709"/>
      <c r="D637" s="1709"/>
      <c r="E637" s="1709"/>
      <c r="F637" s="1709"/>
      <c r="G637" s="1709"/>
      <c r="H637" s="1709"/>
      <c r="I637" s="1709"/>
      <c r="J637" s="1709"/>
      <c r="K637" s="1709"/>
      <c r="L637" s="1709"/>
      <c r="M637" s="1709"/>
      <c r="N637" s="1709"/>
      <c r="O637" s="1709"/>
      <c r="P637" s="1709"/>
      <c r="Q637" s="1709"/>
      <c r="R637" s="1709"/>
      <c r="S637" s="1709"/>
      <c r="T637" s="1709"/>
      <c r="U637" s="1709"/>
      <c r="V637" s="1709"/>
      <c r="W637" s="1709"/>
      <c r="X637" s="1709"/>
      <c r="Y637" s="1709"/>
      <c r="Z637" s="1709"/>
      <c r="AA637" s="1709"/>
      <c r="AB637" s="1709"/>
      <c r="AC637" s="1709"/>
      <c r="AD637" s="1709"/>
      <c r="AE637" s="1709"/>
      <c r="AF637" s="1709"/>
      <c r="AG637" s="1709"/>
      <c r="AH637" s="1709"/>
      <c r="AI637" s="160"/>
      <c r="AJ637" s="4"/>
      <c r="AK637" s="4"/>
      <c r="AL637" s="4"/>
      <c r="AM637" s="4"/>
      <c r="AN637" s="79"/>
    </row>
    <row r="638" spans="1:44">
      <c r="A638" s="4"/>
      <c r="B638" s="1709"/>
      <c r="C638" s="1709"/>
      <c r="D638" s="1709"/>
      <c r="E638" s="1709"/>
      <c r="F638" s="1709"/>
      <c r="G638" s="1709"/>
      <c r="H638" s="1709"/>
      <c r="I638" s="1709"/>
      <c r="J638" s="1709"/>
      <c r="K638" s="1709"/>
      <c r="L638" s="1709"/>
      <c r="M638" s="1709"/>
      <c r="N638" s="1709"/>
      <c r="O638" s="1709"/>
      <c r="P638" s="1709"/>
      <c r="Q638" s="1709"/>
      <c r="R638" s="1709"/>
      <c r="S638" s="1709"/>
      <c r="T638" s="1709"/>
      <c r="U638" s="1709"/>
      <c r="V638" s="1709"/>
      <c r="W638" s="1709"/>
      <c r="X638" s="1709"/>
      <c r="Y638" s="1709"/>
      <c r="Z638" s="1709"/>
      <c r="AA638" s="1709"/>
      <c r="AB638" s="1709"/>
      <c r="AC638" s="1709"/>
      <c r="AD638" s="1709"/>
      <c r="AE638" s="1709"/>
      <c r="AF638" s="1709"/>
      <c r="AG638" s="1709"/>
      <c r="AH638" s="1709"/>
      <c r="AI638" s="160"/>
      <c r="AJ638" s="4"/>
      <c r="AK638" s="4"/>
      <c r="AL638" s="4"/>
      <c r="AM638" s="4"/>
      <c r="AN638" s="79"/>
    </row>
    <row r="639" spans="1:44">
      <c r="A639" s="4"/>
      <c r="B639" s="1709"/>
      <c r="C639" s="1709"/>
      <c r="D639" s="1709"/>
      <c r="E639" s="1709"/>
      <c r="F639" s="1709"/>
      <c r="G639" s="1709"/>
      <c r="H639" s="1709"/>
      <c r="I639" s="1709"/>
      <c r="J639" s="1709"/>
      <c r="K639" s="1709"/>
      <c r="L639" s="1709"/>
      <c r="M639" s="1709"/>
      <c r="N639" s="1709"/>
      <c r="O639" s="1709"/>
      <c r="P639" s="1709"/>
      <c r="Q639" s="1709"/>
      <c r="R639" s="1709"/>
      <c r="S639" s="1709"/>
      <c r="T639" s="1709"/>
      <c r="U639" s="1709"/>
      <c r="V639" s="1709"/>
      <c r="W639" s="1709"/>
      <c r="X639" s="1709"/>
      <c r="Y639" s="1709"/>
      <c r="Z639" s="1709"/>
      <c r="AA639" s="1709"/>
      <c r="AB639" s="1709"/>
      <c r="AC639" s="1709"/>
      <c r="AD639" s="1709"/>
      <c r="AE639" s="1709"/>
      <c r="AF639" s="1709"/>
      <c r="AG639" s="1709"/>
      <c r="AH639" s="1709"/>
      <c r="AI639" s="160"/>
      <c r="AJ639" s="4"/>
      <c r="AK639" s="4"/>
      <c r="AL639" s="4"/>
      <c r="AM639" s="4"/>
      <c r="AN639" s="79"/>
    </row>
    <row r="640" spans="1:44">
      <c r="A640" s="4"/>
      <c r="B640" s="1709"/>
      <c r="C640" s="1709"/>
      <c r="D640" s="1709"/>
      <c r="E640" s="1709"/>
      <c r="F640" s="1709"/>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09"/>
      <c r="AF640" s="1709"/>
      <c r="AG640" s="1709"/>
      <c r="AH640" s="1709"/>
      <c r="AI640" s="160"/>
      <c r="AJ640" s="4"/>
      <c r="AK640" s="4"/>
      <c r="AL640" s="4"/>
      <c r="AM640" s="4"/>
      <c r="AN640" s="79"/>
    </row>
    <row r="641" spans="1:60">
      <c r="A641" s="4"/>
      <c r="B641" s="1709"/>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60"/>
      <c r="AJ641" s="4"/>
      <c r="AK641" s="4"/>
      <c r="AL641" s="4"/>
      <c r="AM641" s="4"/>
      <c r="AN641" s="79"/>
    </row>
    <row r="642" spans="1:60" s="641" customFormat="1" ht="12.4" customHeight="1">
      <c r="A642" s="4"/>
      <c r="B642" s="1709"/>
      <c r="C642" s="1709"/>
      <c r="D642" s="1709"/>
      <c r="E642" s="1709"/>
      <c r="F642" s="1709"/>
      <c r="G642" s="1709"/>
      <c r="H642" s="1709"/>
      <c r="I642" s="1709"/>
      <c r="J642" s="1709"/>
      <c r="K642" s="1709"/>
      <c r="L642" s="1709"/>
      <c r="M642" s="1709"/>
      <c r="N642" s="1709"/>
      <c r="O642" s="1709"/>
      <c r="P642" s="1709"/>
      <c r="Q642" s="1709"/>
      <c r="R642" s="1709"/>
      <c r="S642" s="1709"/>
      <c r="T642" s="1709"/>
      <c r="U642" s="1709"/>
      <c r="V642" s="1709"/>
      <c r="W642" s="1709"/>
      <c r="X642" s="1709"/>
      <c r="Y642" s="1709"/>
      <c r="Z642" s="1709"/>
      <c r="AA642" s="1709"/>
      <c r="AB642" s="1709"/>
      <c r="AC642" s="1709"/>
      <c r="AD642" s="1709"/>
      <c r="AE642" s="1709"/>
      <c r="AF642" s="1709"/>
      <c r="AG642" s="1709"/>
      <c r="AH642" s="1709"/>
      <c r="AI642" s="160"/>
      <c r="AJ642" s="4"/>
      <c r="AK642" s="4"/>
      <c r="AL642" s="4"/>
      <c r="AM642" s="4"/>
      <c r="AN642" s="675"/>
      <c r="BD642" s="643"/>
      <c r="BE642" s="643"/>
      <c r="BF642" s="643"/>
      <c r="BG642" s="643"/>
      <c r="BH642" s="643"/>
    </row>
    <row r="643" spans="1:60">
      <c r="A643" s="4"/>
      <c r="B643" s="1709"/>
      <c r="C643" s="1709"/>
      <c r="D643" s="1709"/>
      <c r="E643" s="1709"/>
      <c r="F643" s="1709"/>
      <c r="G643" s="1709"/>
      <c r="H643" s="1709"/>
      <c r="I643" s="1709"/>
      <c r="J643" s="1709"/>
      <c r="K643" s="1709"/>
      <c r="L643" s="1709"/>
      <c r="M643" s="1709"/>
      <c r="N643" s="1709"/>
      <c r="O643" s="1709"/>
      <c r="P643" s="1709"/>
      <c r="Q643" s="1709"/>
      <c r="R643" s="1709"/>
      <c r="S643" s="1709"/>
      <c r="T643" s="1709"/>
      <c r="U643" s="1709"/>
      <c r="V643" s="1709"/>
      <c r="W643" s="1709"/>
      <c r="X643" s="1709"/>
      <c r="Y643" s="1709"/>
      <c r="Z643" s="1709"/>
      <c r="AA643" s="1709"/>
      <c r="AB643" s="1709"/>
      <c r="AC643" s="1709"/>
      <c r="AD643" s="1709"/>
      <c r="AE643" s="1709"/>
      <c r="AF643" s="1709"/>
      <c r="AG643" s="1709"/>
      <c r="AH643" s="170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41" t="s">
        <v>124</v>
      </c>
      <c r="D650" s="1141"/>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41" t="s">
        <v>124</v>
      </c>
      <c r="D655" s="1141"/>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41" t="s">
        <v>108</v>
      </c>
      <c r="D659" s="1141"/>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41" t="s">
        <v>124</v>
      </c>
      <c r="D663" s="1141"/>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41" t="s">
        <v>124</v>
      </c>
      <c r="D665" s="1141"/>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41" t="s">
        <v>124</v>
      </c>
      <c r="D670" s="1141"/>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41" t="s">
        <v>124</v>
      </c>
      <c r="D673" s="1141"/>
      <c r="E673" s="183" t="s">
        <v>281</v>
      </c>
      <c r="F673" s="1709" t="s">
        <v>2197</v>
      </c>
      <c r="G673" s="1709"/>
      <c r="H673" s="1709"/>
      <c r="I673" s="1709"/>
      <c r="J673" s="1709"/>
      <c r="K673" s="1709"/>
      <c r="L673" s="1709"/>
      <c r="M673" s="1709"/>
      <c r="N673" s="1709"/>
      <c r="O673" s="1709"/>
      <c r="P673" s="1709"/>
      <c r="Q673" s="1709"/>
      <c r="R673" s="1709"/>
      <c r="S673" s="1709"/>
      <c r="T673" s="1709"/>
      <c r="U673" s="1709"/>
      <c r="V673" s="1709"/>
      <c r="W673" s="1709"/>
      <c r="X673" s="1709"/>
      <c r="Y673" s="1709"/>
      <c r="Z673" s="1709"/>
      <c r="AA673" s="1709"/>
      <c r="AB673" s="1709"/>
      <c r="AC673" s="1709"/>
      <c r="AD673" s="1709"/>
      <c r="AE673" s="19"/>
      <c r="AF673" s="19"/>
      <c r="AG673" s="3" t="s">
        <v>103</v>
      </c>
      <c r="AH673" s="19"/>
      <c r="AI673" s="19"/>
      <c r="AJ673" s="4"/>
      <c r="AK673" s="4"/>
      <c r="AL673" s="4"/>
      <c r="AM673" s="4"/>
      <c r="AN673" s="79"/>
      <c r="AO673" s="21"/>
    </row>
    <row r="674" spans="1:60">
      <c r="A674" s="4"/>
      <c r="B674" s="19"/>
      <c r="C674" s="19"/>
      <c r="D674" s="19"/>
      <c r="E674" s="19"/>
      <c r="F674" s="1709"/>
      <c r="G674" s="1709"/>
      <c r="H674" s="1709"/>
      <c r="I674" s="1709"/>
      <c r="J674" s="1709"/>
      <c r="K674" s="1709"/>
      <c r="L674" s="1709"/>
      <c r="M674" s="1709"/>
      <c r="N674" s="1709"/>
      <c r="O674" s="1709"/>
      <c r="P674" s="1709"/>
      <c r="Q674" s="1709"/>
      <c r="R674" s="1709"/>
      <c r="S674" s="1709"/>
      <c r="T674" s="1709"/>
      <c r="U674" s="1709"/>
      <c r="V674" s="1709"/>
      <c r="W674" s="1709"/>
      <c r="X674" s="1709"/>
      <c r="Y674" s="1709"/>
      <c r="Z674" s="1709"/>
      <c r="AA674" s="1709"/>
      <c r="AB674" s="1709"/>
      <c r="AC674" s="1709"/>
      <c r="AD674" s="1709"/>
      <c r="AE674" s="19"/>
      <c r="AF674" s="19"/>
      <c r="AG674" s="19"/>
      <c r="AH674" s="19"/>
      <c r="AI674" s="19"/>
      <c r="AJ674" s="4"/>
      <c r="AK674" s="4"/>
      <c r="AL674" s="4"/>
      <c r="AM674" s="4"/>
      <c r="AN674" s="79"/>
      <c r="AO674" s="21"/>
    </row>
    <row r="675" spans="1:60" ht="0.75" customHeight="1">
      <c r="A675" s="4"/>
      <c r="B675" s="19"/>
      <c r="C675" s="19"/>
      <c r="D675" s="19"/>
      <c r="E675" s="19"/>
      <c r="F675" s="1709"/>
      <c r="G675" s="1709"/>
      <c r="H675" s="1709"/>
      <c r="I675" s="1709"/>
      <c r="J675" s="1709"/>
      <c r="K675" s="1709"/>
      <c r="L675" s="1709"/>
      <c r="M675" s="1709"/>
      <c r="N675" s="1709"/>
      <c r="O675" s="1709"/>
      <c r="P675" s="1709"/>
      <c r="Q675" s="1709"/>
      <c r="R675" s="1709"/>
      <c r="S675" s="1709"/>
      <c r="T675" s="1709"/>
      <c r="U675" s="1709"/>
      <c r="V675" s="1709"/>
      <c r="W675" s="1709"/>
      <c r="X675" s="1709"/>
      <c r="Y675" s="1709"/>
      <c r="Z675" s="1709"/>
      <c r="AA675" s="1709"/>
      <c r="AB675" s="1709"/>
      <c r="AC675" s="1709"/>
      <c r="AD675" s="170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722</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88" t="s">
        <v>1930</v>
      </c>
      <c r="B694" s="1188"/>
      <c r="C694" s="1188"/>
      <c r="D694" s="1188"/>
      <c r="E694" s="1188"/>
      <c r="F694" s="1188"/>
      <c r="G694" s="1188"/>
      <c r="H694" s="1188"/>
      <c r="I694" s="1188"/>
      <c r="J694" s="1188"/>
      <c r="K694" s="1188"/>
      <c r="L694" s="1188"/>
      <c r="M694" s="1188"/>
      <c r="N694" s="1188"/>
      <c r="O694" s="1188"/>
      <c r="P694" s="1188"/>
      <c r="Q694" s="1188"/>
      <c r="R694" s="1188"/>
      <c r="S694" s="1188"/>
      <c r="T694" s="1188"/>
      <c r="U694" s="1188"/>
      <c r="V694" s="1188"/>
      <c r="W694" s="1188"/>
      <c r="X694" s="1188"/>
      <c r="Y694" s="1188"/>
      <c r="Z694" s="1188"/>
      <c r="AA694" s="1188"/>
      <c r="AB694" s="1188"/>
      <c r="AC694" s="1188"/>
      <c r="AD694" s="1188"/>
      <c r="AE694" s="1188"/>
      <c r="AF694" s="1188"/>
      <c r="AG694" s="1188"/>
      <c r="AH694" s="1188"/>
      <c r="AI694" s="1188"/>
      <c r="AJ694" s="1188"/>
      <c r="AK694" s="1188"/>
      <c r="AL694" s="1188"/>
      <c r="AM694" s="1188"/>
      <c r="AO694" s="204">
        <f>IF(T703&gt;15,15,T703)</f>
        <v>15</v>
      </c>
      <c r="AP694" s="204"/>
      <c r="AQ694" s="204"/>
    </row>
    <row r="695" spans="1:43">
      <c r="A695" s="1188" t="s">
        <v>1931</v>
      </c>
      <c r="B695" s="1188"/>
      <c r="C695" s="1188"/>
      <c r="D695" s="1188"/>
      <c r="E695" s="1188"/>
      <c r="F695" s="1188"/>
      <c r="G695" s="1188"/>
      <c r="H695" s="1188"/>
      <c r="I695" s="1188"/>
      <c r="J695" s="1188"/>
      <c r="K695" s="1188"/>
      <c r="L695" s="1188"/>
      <c r="M695" s="1188"/>
      <c r="N695" s="1188"/>
      <c r="O695" s="1188"/>
      <c r="P695" s="1188"/>
      <c r="Q695" s="1188"/>
      <c r="R695" s="1188"/>
      <c r="S695" s="1188"/>
      <c r="T695" s="1188"/>
      <c r="U695" s="1188"/>
      <c r="V695" s="1188"/>
      <c r="W695" s="1188"/>
      <c r="X695" s="1188"/>
      <c r="Y695" s="1188"/>
      <c r="Z695" s="1188"/>
      <c r="AA695" s="1188"/>
      <c r="AB695" s="1188"/>
      <c r="AC695" s="1188"/>
      <c r="AD695" s="1188"/>
      <c r="AE695" s="1188"/>
      <c r="AF695" s="1188"/>
      <c r="AG695" s="1188"/>
      <c r="AH695" s="1188"/>
      <c r="AI695" s="1188"/>
      <c r="AJ695" s="1188"/>
      <c r="AK695" s="1188"/>
      <c r="AL695" s="1188"/>
      <c r="AM695" s="118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4" t="s">
        <v>234</v>
      </c>
      <c r="U696" s="1536"/>
      <c r="V696" s="1536"/>
      <c r="W696" s="1536"/>
      <c r="X696" s="1536"/>
      <c r="Y696" s="1537"/>
      <c r="Z696" s="1554" t="s">
        <v>233</v>
      </c>
      <c r="AA696" s="1536"/>
      <c r="AB696" s="1536"/>
      <c r="AC696" s="1536"/>
      <c r="AD696" s="1536"/>
      <c r="AE696" s="1537"/>
      <c r="AF696" s="1554" t="s">
        <v>235</v>
      </c>
      <c r="AG696" s="1536"/>
      <c r="AH696" s="1536"/>
      <c r="AI696" s="1536"/>
      <c r="AJ696" s="1536"/>
      <c r="AK696" s="1537"/>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30"/>
      <c r="U697" s="1531"/>
      <c r="V697" s="1531"/>
      <c r="W697" s="1531"/>
      <c r="X697" s="1531"/>
      <c r="Y697" s="1532"/>
      <c r="Z697" s="1530"/>
      <c r="AA697" s="1531"/>
      <c r="AB697" s="1531"/>
      <c r="AC697" s="1531"/>
      <c r="AD697" s="1531"/>
      <c r="AE697" s="1532"/>
      <c r="AF697" s="1530"/>
      <c r="AG697" s="1531"/>
      <c r="AH697" s="1531"/>
      <c r="AI697" s="1531"/>
      <c r="AJ697" s="1531"/>
      <c r="AK697" s="1532"/>
      <c r="AL697" s="775"/>
      <c r="AM697" s="20"/>
    </row>
    <row r="698" spans="1:43">
      <c r="A698" s="591" t="s">
        <v>653</v>
      </c>
      <c r="B698" s="1659" t="s">
        <v>270</v>
      </c>
      <c r="C698" s="1659"/>
      <c r="D698" s="1659"/>
      <c r="E698" s="1659"/>
      <c r="F698" s="1659"/>
      <c r="G698" s="1659"/>
      <c r="H698" s="1659"/>
      <c r="I698" s="1659"/>
      <c r="J698" s="1659"/>
      <c r="K698" s="1659"/>
      <c r="L698" s="1659"/>
      <c r="M698" s="1659"/>
      <c r="N698" s="1659"/>
      <c r="O698" s="1659"/>
      <c r="P698" s="1659"/>
      <c r="Q698" s="1659"/>
      <c r="R698" s="1659"/>
      <c r="S698" s="1660"/>
      <c r="T698" s="1658">
        <f>SUM(T699:Y700)</f>
        <v>10</v>
      </c>
      <c r="U698" s="1658"/>
      <c r="V698" s="1658"/>
      <c r="W698" s="1658"/>
      <c r="X698" s="1658"/>
      <c r="Y698" s="1658"/>
      <c r="Z698" s="1503">
        <v>10</v>
      </c>
      <c r="AA698" s="1503"/>
      <c r="AB698" s="1503"/>
      <c r="AC698" s="1503"/>
      <c r="AD698" s="1503"/>
      <c r="AE698" s="1503"/>
      <c r="AF698" s="1503">
        <f>IF(T698&gt;Z698,Z698,T698)</f>
        <v>10</v>
      </c>
      <c r="AG698" s="1503"/>
      <c r="AH698" s="1503"/>
      <c r="AI698" s="1503"/>
      <c r="AJ698" s="1503"/>
      <c r="AK698" s="1503"/>
      <c r="AL698" s="775"/>
      <c r="AM698" s="20"/>
      <c r="AO698" s="4">
        <f>IF(T707&gt;50,50,T707)</f>
        <v>50</v>
      </c>
    </row>
    <row r="699" spans="1:43">
      <c r="A699" s="611"/>
      <c r="B699" s="612"/>
      <c r="C699" s="617"/>
      <c r="D699" s="304" t="s">
        <v>210</v>
      </c>
      <c r="E699" s="1662" t="s">
        <v>236</v>
      </c>
      <c r="F699" s="1662"/>
      <c r="G699" s="1662"/>
      <c r="H699" s="1662"/>
      <c r="I699" s="1662"/>
      <c r="J699" s="1662"/>
      <c r="K699" s="1662"/>
      <c r="L699" s="1662"/>
      <c r="M699" s="1662"/>
      <c r="N699" s="1662"/>
      <c r="O699" s="1662"/>
      <c r="P699" s="1662"/>
      <c r="Q699" s="1662"/>
      <c r="R699" s="1662"/>
      <c r="S699" s="1663"/>
      <c r="T699" s="1661">
        <f>AJ31</f>
        <v>7</v>
      </c>
      <c r="U699" s="1661"/>
      <c r="V699" s="1661"/>
      <c r="W699" s="1661"/>
      <c r="X699" s="1661"/>
      <c r="Y699" s="1661"/>
      <c r="Z699" s="1664">
        <v>7</v>
      </c>
      <c r="AA699" s="1664"/>
      <c r="AB699" s="1664"/>
      <c r="AC699" s="1664"/>
      <c r="AD699" s="1664"/>
      <c r="AE699" s="1664"/>
      <c r="AF699" s="1825"/>
      <c r="AG699" s="1825"/>
      <c r="AH699" s="1825"/>
      <c r="AI699" s="1825"/>
      <c r="AJ699" s="1825"/>
      <c r="AK699" s="1825"/>
      <c r="AL699" s="775"/>
      <c r="AM699" s="20"/>
    </row>
    <row r="700" spans="1:43">
      <c r="A700" s="613"/>
      <c r="B700" s="612"/>
      <c r="C700" s="612"/>
      <c r="D700" s="304" t="s">
        <v>428</v>
      </c>
      <c r="E700" s="1662" t="s">
        <v>237</v>
      </c>
      <c r="F700" s="1662"/>
      <c r="G700" s="1662"/>
      <c r="H700" s="1662"/>
      <c r="I700" s="1662"/>
      <c r="J700" s="1662"/>
      <c r="K700" s="1662"/>
      <c r="L700" s="1662"/>
      <c r="M700" s="1662"/>
      <c r="N700" s="1662"/>
      <c r="O700" s="1662"/>
      <c r="P700" s="1662"/>
      <c r="Q700" s="1662"/>
      <c r="R700" s="1662"/>
      <c r="S700" s="1663"/>
      <c r="T700" s="1661">
        <f>AJ47</f>
        <v>3</v>
      </c>
      <c r="U700" s="1661"/>
      <c r="V700" s="1661"/>
      <c r="W700" s="1661"/>
      <c r="X700" s="1661"/>
      <c r="Y700" s="1661"/>
      <c r="Z700" s="1664">
        <v>3</v>
      </c>
      <c r="AA700" s="1664"/>
      <c r="AB700" s="1664"/>
      <c r="AC700" s="1664"/>
      <c r="AD700" s="1664"/>
      <c r="AE700" s="1664"/>
      <c r="AF700" s="1825"/>
      <c r="AG700" s="1825"/>
      <c r="AH700" s="1825"/>
      <c r="AI700" s="1825"/>
      <c r="AJ700" s="1825"/>
      <c r="AK700" s="1825"/>
      <c r="AL700" s="775"/>
      <c r="AM700" s="20"/>
    </row>
    <row r="701" spans="1:43">
      <c r="A701" s="591" t="s">
        <v>8</v>
      </c>
      <c r="B701" s="1659" t="s">
        <v>271</v>
      </c>
      <c r="C701" s="1659"/>
      <c r="D701" s="1659"/>
      <c r="E701" s="1659"/>
      <c r="F701" s="1659"/>
      <c r="G701" s="1659"/>
      <c r="H701" s="1659"/>
      <c r="I701" s="1659"/>
      <c r="J701" s="1659"/>
      <c r="K701" s="1659"/>
      <c r="L701" s="1659"/>
      <c r="M701" s="1659"/>
      <c r="N701" s="1659"/>
      <c r="O701" s="1659"/>
      <c r="P701" s="1659"/>
      <c r="Q701" s="1659"/>
      <c r="R701" s="1659"/>
      <c r="S701" s="1660"/>
      <c r="T701" s="1658">
        <f>AK68</f>
        <v>10</v>
      </c>
      <c r="U701" s="1658"/>
      <c r="V701" s="1658"/>
      <c r="W701" s="1658"/>
      <c r="X701" s="1658"/>
      <c r="Y701" s="1658"/>
      <c r="Z701" s="1503">
        <v>10</v>
      </c>
      <c r="AA701" s="1503"/>
      <c r="AB701" s="1503"/>
      <c r="AC701" s="1503"/>
      <c r="AD701" s="1503"/>
      <c r="AE701" s="1503"/>
      <c r="AF701" s="1503">
        <f>IF(T701&gt;Z701,Z701,T701)</f>
        <v>10</v>
      </c>
      <c r="AG701" s="1503"/>
      <c r="AH701" s="1503"/>
      <c r="AI701" s="1503"/>
      <c r="AJ701" s="1503"/>
      <c r="AK701" s="1503"/>
      <c r="AL701" s="775"/>
      <c r="AM701" s="20"/>
    </row>
    <row r="702" spans="1:43">
      <c r="A702" s="591" t="s">
        <v>119</v>
      </c>
      <c r="B702" s="1659" t="s">
        <v>272</v>
      </c>
      <c r="C702" s="1659"/>
      <c r="D702" s="1659"/>
      <c r="E702" s="1659"/>
      <c r="F702" s="1659"/>
      <c r="G702" s="1659"/>
      <c r="H702" s="1659"/>
      <c r="I702" s="1659"/>
      <c r="J702" s="1659"/>
      <c r="K702" s="1659"/>
      <c r="L702" s="1659"/>
      <c r="M702" s="1659"/>
      <c r="N702" s="1659"/>
      <c r="O702" s="1659"/>
      <c r="P702" s="1659"/>
      <c r="Q702" s="1659"/>
      <c r="R702" s="1659"/>
      <c r="S702" s="1660"/>
      <c r="T702" s="1658">
        <f>AO693</f>
        <v>25</v>
      </c>
      <c r="U702" s="1658">
        <f>IF(AND(AND(A703&gt;15,15+A704),A704&gt;10,A703+10),A702,0)</f>
        <v>0</v>
      </c>
      <c r="V702" s="1658">
        <f>IF(AND(AND(B703&gt;15,15+B704),B704&gt;10,B703+10),#REF!,0)</f>
        <v>0</v>
      </c>
      <c r="W702" s="1658">
        <f>IF(AND(AND(C703&gt;15,15+C704),C704&gt;10,C703+10),B702,0)</f>
        <v>0</v>
      </c>
      <c r="X702" s="1658" t="e">
        <f>IF(AND(AND(D703&gt;15,15+D704),D704&gt;10,D703+10),D702,0)</f>
        <v>#VALUE!</v>
      </c>
      <c r="Y702" s="1658"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5"/>
      <c r="AM702" s="20"/>
    </row>
    <row r="703" spans="1:43">
      <c r="A703" s="591"/>
      <c r="B703" s="612"/>
      <c r="C703" s="612"/>
      <c r="D703" s="304" t="s">
        <v>1466</v>
      </c>
      <c r="E703" s="1662" t="s">
        <v>294</v>
      </c>
      <c r="F703" s="1662"/>
      <c r="G703" s="1662"/>
      <c r="H703" s="1662"/>
      <c r="I703" s="1662"/>
      <c r="J703" s="1662"/>
      <c r="K703" s="1662"/>
      <c r="L703" s="1662"/>
      <c r="M703" s="1662"/>
      <c r="N703" s="1662"/>
      <c r="O703" s="1662"/>
      <c r="P703" s="1662"/>
      <c r="Q703" s="1662"/>
      <c r="R703" s="1662"/>
      <c r="S703" s="1663"/>
      <c r="T703" s="1661">
        <f>AK283</f>
        <v>20</v>
      </c>
      <c r="U703" s="1661"/>
      <c r="V703" s="1661"/>
      <c r="W703" s="1661"/>
      <c r="X703" s="1661"/>
      <c r="Y703" s="1661"/>
      <c r="Z703" s="1664">
        <v>15</v>
      </c>
      <c r="AA703" s="1664"/>
      <c r="AB703" s="1664"/>
      <c r="AC703" s="1664"/>
      <c r="AD703" s="1664"/>
      <c r="AE703" s="1664"/>
      <c r="AF703" s="1825"/>
      <c r="AG703" s="1825"/>
      <c r="AH703" s="1825"/>
      <c r="AI703" s="1825"/>
      <c r="AJ703" s="1825"/>
      <c r="AK703" s="1825"/>
      <c r="AL703" s="775"/>
      <c r="AM703" s="20"/>
    </row>
    <row r="704" spans="1:43">
      <c r="A704" s="614"/>
      <c r="B704" s="90"/>
      <c r="C704" s="90"/>
      <c r="D704" s="615" t="s">
        <v>1467</v>
      </c>
      <c r="E704" s="1662" t="s">
        <v>295</v>
      </c>
      <c r="F704" s="1662"/>
      <c r="G704" s="1662"/>
      <c r="H704" s="1662"/>
      <c r="I704" s="1662"/>
      <c r="J704" s="1662"/>
      <c r="K704" s="1662"/>
      <c r="L704" s="1662"/>
      <c r="M704" s="1662"/>
      <c r="N704" s="1662"/>
      <c r="O704" s="1662"/>
      <c r="P704" s="1662"/>
      <c r="Q704" s="1662"/>
      <c r="R704" s="1662"/>
      <c r="S704" s="1663"/>
      <c r="T704" s="1661">
        <f>AK474</f>
        <v>10</v>
      </c>
      <c r="U704" s="1661"/>
      <c r="V704" s="1661"/>
      <c r="W704" s="1661"/>
      <c r="X704" s="1661"/>
      <c r="Y704" s="1661"/>
      <c r="Z704" s="1664">
        <v>10</v>
      </c>
      <c r="AA704" s="1664"/>
      <c r="AB704" s="1664"/>
      <c r="AC704" s="1664"/>
      <c r="AD704" s="1664"/>
      <c r="AE704" s="1664"/>
      <c r="AF704" s="1825"/>
      <c r="AG704" s="1825"/>
      <c r="AH704" s="1825"/>
      <c r="AI704" s="1825"/>
      <c r="AJ704" s="1825"/>
      <c r="AK704" s="1825"/>
      <c r="AL704" s="775"/>
      <c r="AM704" s="20"/>
    </row>
    <row r="705" spans="1:39" hidden="1">
      <c r="A705" s="591" t="s">
        <v>122</v>
      </c>
      <c r="B705" s="1659" t="s">
        <v>540</v>
      </c>
      <c r="C705" s="1659"/>
      <c r="D705" s="1659"/>
      <c r="E705" s="1659"/>
      <c r="F705" s="1659"/>
      <c r="G705" s="1659"/>
      <c r="H705" s="1659"/>
      <c r="I705" s="1659"/>
      <c r="J705" s="1659"/>
      <c r="K705" s="1659"/>
      <c r="L705" s="1659"/>
      <c r="M705" s="1659"/>
      <c r="N705" s="1659"/>
      <c r="O705" s="1659"/>
      <c r="P705" s="1659"/>
      <c r="Q705" s="1659"/>
      <c r="R705" s="1659"/>
      <c r="S705" s="1660"/>
      <c r="T705" s="1658"/>
      <c r="U705" s="1658"/>
      <c r="V705" s="1658"/>
      <c r="W705" s="1658"/>
      <c r="X705" s="1658"/>
      <c r="Y705" s="1658"/>
      <c r="Z705" s="1503"/>
      <c r="AA705" s="1503"/>
      <c r="AB705" s="1503"/>
      <c r="AC705" s="1503"/>
      <c r="AD705" s="1503"/>
      <c r="AE705" s="1503"/>
      <c r="AF705" s="1503"/>
      <c r="AG705" s="1503"/>
      <c r="AH705" s="1503"/>
      <c r="AI705" s="1503"/>
      <c r="AJ705" s="1503"/>
      <c r="AK705" s="1503"/>
      <c r="AL705" s="775"/>
      <c r="AM705" s="20"/>
    </row>
    <row r="706" spans="1:39">
      <c r="A706" s="591" t="s">
        <v>122</v>
      </c>
      <c r="B706" s="1659" t="s">
        <v>541</v>
      </c>
      <c r="C706" s="1659"/>
      <c r="D706" s="1659"/>
      <c r="E706" s="1659"/>
      <c r="F706" s="1659"/>
      <c r="G706" s="1659"/>
      <c r="H706" s="1659"/>
      <c r="I706" s="1659"/>
      <c r="J706" s="1659"/>
      <c r="K706" s="1659"/>
      <c r="L706" s="1659"/>
      <c r="M706" s="1659"/>
      <c r="N706" s="1659"/>
      <c r="O706" s="1659"/>
      <c r="P706" s="1659"/>
      <c r="Q706" s="1659"/>
      <c r="R706" s="1659"/>
      <c r="S706" s="1660"/>
      <c r="T706" s="1882">
        <f>IF(SUM(T707:Y708)&gt;52,52,SUM(T707:Y708))</f>
        <v>52</v>
      </c>
      <c r="U706" s="1657"/>
      <c r="V706" s="1657"/>
      <c r="W706" s="1657"/>
      <c r="X706" s="1657"/>
      <c r="Y706" s="1657"/>
      <c r="Z706" s="1657">
        <v>52</v>
      </c>
      <c r="AA706" s="1657"/>
      <c r="AB706" s="1657"/>
      <c r="AC706" s="1657"/>
      <c r="AD706" s="1657"/>
      <c r="AE706" s="1657"/>
      <c r="AF706" s="1657">
        <f>$AO$698+$T$708</f>
        <v>52</v>
      </c>
      <c r="AG706" s="1657"/>
      <c r="AH706" s="1657"/>
      <c r="AI706" s="1657"/>
      <c r="AJ706" s="1657"/>
      <c r="AK706" s="1657"/>
      <c r="AL706" s="775"/>
      <c r="AM706" s="20"/>
    </row>
    <row r="707" spans="1:39">
      <c r="A707" s="616"/>
      <c r="B707" s="618"/>
      <c r="C707" s="618"/>
      <c r="D707" s="619" t="s">
        <v>2201</v>
      </c>
      <c r="E707" s="1662" t="s">
        <v>183</v>
      </c>
      <c r="F707" s="1662"/>
      <c r="G707" s="1662"/>
      <c r="H707" s="1662"/>
      <c r="I707" s="1662"/>
      <c r="J707" s="1662"/>
      <c r="K707" s="1662"/>
      <c r="L707" s="1662"/>
      <c r="M707" s="1662"/>
      <c r="N707" s="1662"/>
      <c r="O707" s="1662"/>
      <c r="P707" s="1662"/>
      <c r="Q707" s="1662"/>
      <c r="R707" s="1662"/>
      <c r="S707" s="1663"/>
      <c r="T707" s="1877">
        <f>AC592</f>
        <v>50</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2202</v>
      </c>
      <c r="E708" s="1662" t="s">
        <v>269</v>
      </c>
      <c r="F708" s="1662"/>
      <c r="G708" s="1662"/>
      <c r="H708" s="1662"/>
      <c r="I708" s="1662"/>
      <c r="J708" s="1662"/>
      <c r="K708" s="1662"/>
      <c r="L708" s="1662"/>
      <c r="M708" s="1662"/>
      <c r="N708" s="1662"/>
      <c r="O708" s="1662"/>
      <c r="P708" s="1662"/>
      <c r="Q708" s="1662"/>
      <c r="R708" s="1662"/>
      <c r="S708" s="1663"/>
      <c r="T708" s="1792">
        <f>IF(AJ617&gt;0,2,0)</f>
        <v>2</v>
      </c>
      <c r="U708" s="1793"/>
      <c r="V708" s="1793"/>
      <c r="W708" s="1793"/>
      <c r="X708" s="1793"/>
      <c r="Y708" s="1794"/>
      <c r="Z708" s="1265">
        <v>2</v>
      </c>
      <c r="AA708" s="1266"/>
      <c r="AB708" s="1266"/>
      <c r="AC708" s="1266"/>
      <c r="AD708" s="1266"/>
      <c r="AE708" s="1267"/>
      <c r="AF708" s="1828"/>
      <c r="AG708" s="1829"/>
      <c r="AH708" s="1829"/>
      <c r="AI708" s="1829"/>
      <c r="AJ708" s="1829"/>
      <c r="AK708" s="1830"/>
      <c r="AL708" s="775"/>
      <c r="AM708" s="4"/>
    </row>
    <row r="709" spans="1:39">
      <c r="A709" s="616" t="s">
        <v>123</v>
      </c>
      <c r="B709" s="1659" t="s">
        <v>542</v>
      </c>
      <c r="C709" s="1659"/>
      <c r="D709" s="1659"/>
      <c r="E709" s="1659"/>
      <c r="F709" s="1659"/>
      <c r="G709" s="1659"/>
      <c r="H709" s="1659"/>
      <c r="I709" s="1659"/>
      <c r="J709" s="1659"/>
      <c r="K709" s="1659"/>
      <c r="L709" s="1659"/>
      <c r="M709" s="1659"/>
      <c r="N709" s="1659"/>
      <c r="O709" s="1659"/>
      <c r="P709" s="1659"/>
      <c r="Q709" s="1659"/>
      <c r="R709" s="1659"/>
      <c r="S709" s="1660"/>
      <c r="T709" s="1658">
        <f>AK645</f>
        <v>10</v>
      </c>
      <c r="U709" s="1658"/>
      <c r="V709" s="1658"/>
      <c r="W709" s="1658"/>
      <c r="X709" s="1658"/>
      <c r="Y709" s="1658"/>
      <c r="Z709" s="1503">
        <v>10</v>
      </c>
      <c r="AA709" s="1503"/>
      <c r="AB709" s="1503"/>
      <c r="AC709" s="1503"/>
      <c r="AD709" s="1503"/>
      <c r="AE709" s="1503"/>
      <c r="AF709" s="1372">
        <f>IF(T709&gt;Z709,Z709,T709)</f>
        <v>10</v>
      </c>
      <c r="AG709" s="1373"/>
      <c r="AH709" s="1373"/>
      <c r="AI709" s="1373"/>
      <c r="AJ709" s="1373"/>
      <c r="AK709" s="1374"/>
      <c r="AL709" s="775"/>
      <c r="AM709" s="20"/>
    </row>
    <row r="710" spans="1:39">
      <c r="A710" s="616" t="s">
        <v>125</v>
      </c>
      <c r="B710" s="1659" t="s">
        <v>985</v>
      </c>
      <c r="C710" s="1659"/>
      <c r="D710" s="1659"/>
      <c r="E710" s="1659"/>
      <c r="F710" s="1659"/>
      <c r="G710" s="1659"/>
      <c r="H710" s="1659"/>
      <c r="I710" s="1659"/>
      <c r="J710" s="1659"/>
      <c r="K710" s="1659"/>
      <c r="L710" s="1659"/>
      <c r="M710" s="1659"/>
      <c r="N710" s="1659"/>
      <c r="O710" s="1659"/>
      <c r="P710" s="1659"/>
      <c r="Q710" s="1659"/>
      <c r="R710" s="1659"/>
      <c r="S710" s="1660"/>
      <c r="T710" s="1883">
        <f>IF(AK688&gt;2,2,AK688)</f>
        <v>2</v>
      </c>
      <c r="U710" s="1884"/>
      <c r="V710" s="1884"/>
      <c r="W710" s="1884"/>
      <c r="X710" s="1884"/>
      <c r="Y710" s="1885"/>
      <c r="Z710" s="1372">
        <v>2</v>
      </c>
      <c r="AA710" s="1373"/>
      <c r="AB710" s="1373"/>
      <c r="AC710" s="1373"/>
      <c r="AD710" s="1373"/>
      <c r="AE710" s="1374"/>
      <c r="AF710" s="1372">
        <f>IF(T710&gt;Z710,Z710,T710)</f>
        <v>2</v>
      </c>
      <c r="AG710" s="1826"/>
      <c r="AH710" s="1826"/>
      <c r="AI710" s="1826"/>
      <c r="AJ710" s="1826"/>
      <c r="AK710" s="1827"/>
      <c r="AL710" s="3"/>
      <c r="AM710" s="20"/>
    </row>
    <row r="711" spans="1:39">
      <c r="A711" s="1904" t="s">
        <v>297</v>
      </c>
      <c r="B711" s="1659"/>
      <c r="C711" s="1659"/>
      <c r="D711" s="1659"/>
      <c r="E711" s="1659"/>
      <c r="F711" s="1659"/>
      <c r="G711" s="1659"/>
      <c r="H711" s="1659"/>
      <c r="I711" s="1659"/>
      <c r="J711" s="1659"/>
      <c r="K711" s="1659"/>
      <c r="L711" s="1659"/>
      <c r="M711" s="1659"/>
      <c r="N711" s="1659"/>
      <c r="O711" s="1659"/>
      <c r="P711" s="1659"/>
      <c r="Q711" s="1659"/>
      <c r="R711" s="1659"/>
      <c r="S711" s="1660"/>
      <c r="T711" s="1134"/>
      <c r="U711" s="1134"/>
      <c r="V711" s="1134"/>
      <c r="W711" s="1134"/>
      <c r="X711" s="1134"/>
      <c r="Y711" s="1134"/>
      <c r="Z711" s="1664" t="s">
        <v>296</v>
      </c>
      <c r="AA711" s="1664"/>
      <c r="AB711" s="1664"/>
      <c r="AC711" s="1664"/>
      <c r="AD711" s="1664"/>
      <c r="AE711" s="1664"/>
      <c r="AF711" s="1372">
        <f>IF(T711&gt;0,T711,0)</f>
        <v>0</v>
      </c>
      <c r="AG711" s="1373"/>
      <c r="AH711" s="1373"/>
      <c r="AI711" s="1373"/>
      <c r="AJ711" s="1373"/>
      <c r="AK711" s="1374"/>
      <c r="AL711" s="18"/>
      <c r="AM711" s="20"/>
    </row>
    <row r="712" spans="1:39" ht="15.75">
      <c r="A712" s="1867" t="s">
        <v>721</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109</v>
      </c>
      <c r="AG712" s="1818"/>
      <c r="AH712" s="1818"/>
      <c r="AI712" s="1818"/>
      <c r="AJ712" s="1818"/>
      <c r="AK712" s="1819"/>
      <c r="AL712" s="776"/>
      <c r="AM712" s="4"/>
    </row>
    <row r="713" spans="1:39" ht="12.4"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3"/>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Sheet1</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Sylvia Martinez</cp:lastModifiedBy>
  <cp:lastPrinted>2025-06-30T22:07:46Z</cp:lastPrinted>
  <dcterms:created xsi:type="dcterms:W3CDTF">2007-12-27T18:26:28Z</dcterms:created>
  <dcterms:modified xsi:type="dcterms:W3CDTF">2025-07-07T17:43:25Z</dcterms:modified>
</cp:coreProperties>
</file>